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iff" ContentType="image/tiff"/>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omments1.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929"/>
  <workbookPr codeName="ThisWorkbook" hidePivotFieldList="1" autoCompressPictures="0" defaultThemeVersion="124226"/>
  <mc:AlternateContent xmlns:mc="http://schemas.openxmlformats.org/markup-compatibility/2006">
    <mc:Choice Requires="x15">
      <x15ac:absPath xmlns:x15ac="http://schemas.microsoft.com/office/spreadsheetml/2010/11/ac" url="D:\"/>
    </mc:Choice>
  </mc:AlternateContent>
  <xr:revisionPtr revIDLastSave="0" documentId="8_{CC5883A4-4C57-4AAE-92B9-BECF60A75736}" xr6:coauthVersionLast="46" xr6:coauthVersionMax="46" xr10:uidLastSave="{00000000-0000-0000-0000-000000000000}"/>
  <bookViews>
    <workbookView xWindow="-120" yWindow="-120" windowWidth="29040" windowHeight="15840" tabRatio="763" xr2:uid="{00000000-000D-0000-FFFF-FFFF00000000}"/>
  </bookViews>
  <sheets>
    <sheet name="1 QUESTIONÁRIO" sheetId="1" r:id="rId1"/>
    <sheet name="2 GEOPROCESSAMENTO" sheetId="13" r:id="rId2"/>
    <sheet name="3 INDICADORES" sheetId="4" r:id="rId3"/>
    <sheet name="4 RELATÓRIO" sheetId="2" r:id="rId4"/>
    <sheet name="Plan1" sheetId="8" state="hidden" r:id="rId5"/>
    <sheet name="Sheet3" sheetId="22" state="hidden" r:id="rId6"/>
    <sheet name="Sheet4" sheetId="23" state="hidden" r:id="rId7"/>
    <sheet name="Sheet5" sheetId="24" state="hidden" r:id="rId8"/>
    <sheet name="Sheet6" sheetId="25" state="hidden" r:id="rId9"/>
    <sheet name="Relatório de Assist (2)" sheetId="28" state="hidden" r:id="rId10"/>
    <sheet name="GUIA DE APLICAÇÃO" sheetId="15" r:id="rId11"/>
    <sheet name="Banco de dados" sheetId="35" r:id="rId12"/>
  </sheets>
  <definedNames>
    <definedName name="_xlnm._FilterDatabase" localSheetId="2" hidden="1">'3 INDICADORES'!#REF!</definedName>
    <definedName name="a" localSheetId="2">'3 INDICADORES'!#REF!</definedName>
    <definedName name="Al" localSheetId="2">'3 INDICADORES'!#REF!</definedName>
    <definedName name="Altroc" localSheetId="2">'3 INDICADORES'!#REF!+'3 INDICADORES'!#REF!</definedName>
    <definedName name="Altrocavel" localSheetId="2">'3 INDICADORES'!#REF!</definedName>
    <definedName name="b" localSheetId="2">'3 INDICADORES'!#REF!</definedName>
    <definedName name="Ca" localSheetId="2">'3 INDICADORES'!#REF!</definedName>
    <definedName name="Cerrado___Cerradão">'3 INDICADORES'!$U$361:$U$372</definedName>
    <definedName name="CTC" localSheetId="2">'3 INDICADORES'!#REF!</definedName>
    <definedName name="CTCtotal" localSheetId="2">'3 INDICADORES'!#REF!</definedName>
    <definedName name="Floresta_estacional_semidecidual">'GUIA DE APLICAÇÃO'!$I$1155:$I$1167</definedName>
    <definedName name="Gráfico_MOS" localSheetId="9">'3 INDICADORES'!#REF!</definedName>
    <definedName name="Gráfico_MOS">'3 INDICADORES'!#REF!</definedName>
    <definedName name="GráficoCa" localSheetId="2">'3 INDICADORES'!#REF!+'3 INDICADORES'!#REF!</definedName>
    <definedName name="GráficoMOS" localSheetId="9">'3 INDICADORES'!#REF!</definedName>
    <definedName name="GráficoMOS">'3 INDICADORES'!#REF!</definedName>
    <definedName name="GráficoReceita" localSheetId="9">'3 INDICADORES'!#REF!</definedName>
    <definedName name="GráficoReceita">'3 INDICADORES'!#REF!</definedName>
    <definedName name="GráficoValorPago">'3 INDICADORES'!$AH$17:$AL$17</definedName>
    <definedName name="K" localSheetId="2">'3 INDICADORES'!#REF!</definedName>
    <definedName name="Matéria" localSheetId="2">'3 INDICADORES'!#REF!</definedName>
    <definedName name="Mg" localSheetId="2">'3 INDICADORES'!#REF!</definedName>
    <definedName name="MOS" localSheetId="9">'3 INDICADORES'!#REF!</definedName>
    <definedName name="MOS">'3 INDICADORES'!#REF!</definedName>
    <definedName name="MOS_2" localSheetId="2">'3 INDICADORES'!#REF!</definedName>
    <definedName name="MOS_arenosa" localSheetId="9">'3 INDICADORES'!#REF!</definedName>
    <definedName name="MOS_arenosa">'3 INDICADORES'!#REF!</definedName>
    <definedName name="P_arenosa" localSheetId="2">'3 INDICADORES'!#REF!</definedName>
    <definedName name="Paren" localSheetId="2">'3 INDICADORES'!#REF!</definedName>
    <definedName name="Pargilosa" localSheetId="2">'3 INDICADORES'!#REF!</definedName>
    <definedName name="pHcres" localSheetId="2">'3 INDICADORES'!#REF!</definedName>
    <definedName name="pHdecrs" localSheetId="2">'3 INDICADORES'!#REF!</definedName>
    <definedName name="Pmédia" localSheetId="2">'3 INDICADORES'!#REF!</definedName>
    <definedName name="Pmuito" localSheetId="2">'3 INDICADORES'!#REF!</definedName>
    <definedName name="SBc" localSheetId="2">'3 INDICADORES'!#REF!</definedName>
    <definedName name="SBd" localSheetId="2">'3 INDICADORES'!#REF!</definedName>
    <definedName name="Terraço">'3 INDICADORES'!$AF$367:$AF$371</definedName>
    <definedName name="Vc" localSheetId="2">"Imagem 20"</definedName>
    <definedName name="Vcresc" localSheetId="2">'3 INDICADORES'!#REF!</definedName>
    <definedName name="Vcresc2" localSheetId="2">'3 INDICADORES'!#REF!</definedName>
    <definedName name="Vdec" localSheetId="2">'3 INDICADORES'!#REF!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645" i="15" l="1"/>
  <c r="F645" i="15"/>
  <c r="G646" i="15"/>
  <c r="F646" i="15"/>
  <c r="G647" i="15"/>
  <c r="F647" i="15"/>
  <c r="G648" i="15"/>
  <c r="F648" i="15"/>
  <c r="F650" i="15"/>
  <c r="F649" i="15"/>
  <c r="C79" i="4"/>
  <c r="G163" i="1"/>
  <c r="G164" i="1"/>
  <c r="G165" i="1"/>
  <c r="G166" i="1"/>
  <c r="G155" i="1"/>
  <c r="G11" i="2"/>
  <c r="D114" i="1"/>
  <c r="F118" i="1"/>
  <c r="F114" i="1"/>
  <c r="F120" i="1"/>
  <c r="F119" i="1"/>
  <c r="D113" i="1"/>
  <c r="F113" i="1"/>
  <c r="D115" i="1"/>
  <c r="F115" i="1"/>
  <c r="D116" i="1"/>
  <c r="F116" i="1"/>
  <c r="F117" i="1"/>
  <c r="F121" i="1"/>
  <c r="F123" i="1"/>
  <c r="K546" i="15"/>
  <c r="H546" i="15"/>
  <c r="I546" i="15"/>
  <c r="K547" i="15"/>
  <c r="H547" i="15"/>
  <c r="I547" i="15"/>
  <c r="K548" i="15"/>
  <c r="H548" i="15"/>
  <c r="I548" i="15"/>
  <c r="G196" i="1"/>
  <c r="G197" i="1"/>
  <c r="G198" i="1"/>
  <c r="G199" i="1"/>
  <c r="K549" i="15"/>
  <c r="H549" i="15"/>
  <c r="I549" i="15"/>
  <c r="K550" i="15"/>
  <c r="H550" i="15"/>
  <c r="I550" i="15"/>
  <c r="G153" i="1"/>
  <c r="G154" i="1"/>
  <c r="G157" i="1"/>
  <c r="G162" i="1"/>
  <c r="G167" i="1"/>
  <c r="G168" i="1"/>
  <c r="G169" i="1"/>
  <c r="G170" i="1"/>
  <c r="G171" i="1"/>
  <c r="G173" i="1"/>
  <c r="J191" i="1"/>
  <c r="J207" i="1"/>
  <c r="E117" i="1"/>
  <c r="E118" i="1"/>
  <c r="E119" i="1"/>
  <c r="E120" i="1"/>
  <c r="E121" i="1"/>
  <c r="G546" i="15"/>
  <c r="E546" i="15"/>
  <c r="E115" i="1"/>
  <c r="G547" i="15"/>
  <c r="E547" i="15"/>
  <c r="E114" i="1"/>
  <c r="G548" i="15"/>
  <c r="E548" i="15"/>
  <c r="E199" i="1"/>
  <c r="G549" i="15"/>
  <c r="E549" i="15"/>
  <c r="E113" i="1"/>
  <c r="E116" i="1"/>
  <c r="G550" i="15"/>
  <c r="E550" i="15"/>
  <c r="J554" i="15"/>
  <c r="E157" i="1"/>
  <c r="E173" i="1"/>
  <c r="F191" i="1"/>
  <c r="G207" i="1"/>
  <c r="J555" i="15"/>
  <c r="J556" i="15"/>
  <c r="J557" i="15"/>
  <c r="J558" i="15"/>
  <c r="J560" i="15"/>
  <c r="L559" i="15"/>
  <c r="L560" i="15"/>
  <c r="H556" i="15"/>
  <c r="G119" i="2"/>
  <c r="H558" i="15"/>
  <c r="G118" i="2"/>
  <c r="J1221" i="15"/>
  <c r="J1226" i="15"/>
  <c r="J1225" i="15"/>
  <c r="J1220" i="15"/>
  <c r="J1222" i="15"/>
  <c r="J1223" i="15"/>
  <c r="J1224" i="15"/>
  <c r="J1227" i="15"/>
  <c r="J1228" i="15"/>
  <c r="J1229" i="15"/>
  <c r="K1220" i="15"/>
  <c r="L1220" i="15"/>
  <c r="K1221" i="15"/>
  <c r="L1221" i="15"/>
  <c r="K1222" i="15"/>
  <c r="L1222" i="15"/>
  <c r="K1223" i="15"/>
  <c r="L1223" i="15"/>
  <c r="K1224" i="15"/>
  <c r="L1224" i="15"/>
  <c r="K1225" i="15"/>
  <c r="L1225" i="15"/>
  <c r="K1226" i="15"/>
  <c r="L1226" i="15"/>
  <c r="K1227" i="15"/>
  <c r="L1227" i="15"/>
  <c r="K1228" i="15"/>
  <c r="L1228" i="15"/>
  <c r="L1229" i="15"/>
  <c r="K1229" i="15"/>
  <c r="E332" i="4"/>
  <c r="E406" i="4"/>
  <c r="I136" i="1"/>
  <c r="G382" i="4"/>
  <c r="D1042" i="15"/>
  <c r="I322" i="1"/>
  <c r="G110" i="2"/>
  <c r="K1151" i="15"/>
  <c r="K1150" i="15"/>
  <c r="K1148" i="15"/>
  <c r="K1149" i="15"/>
  <c r="F320" i="4"/>
  <c r="K1124" i="15"/>
  <c r="K1123" i="15"/>
  <c r="K1122" i="15"/>
  <c r="L1148" i="15"/>
  <c r="L1149" i="15"/>
  <c r="L1150" i="15"/>
  <c r="L1151" i="15"/>
  <c r="H1148" i="15"/>
  <c r="H1149" i="15"/>
  <c r="CD10" i="35"/>
  <c r="CC10" i="35"/>
  <c r="CB10" i="35"/>
  <c r="CA10" i="35"/>
  <c r="BZ10" i="35"/>
  <c r="BY10" i="35"/>
  <c r="BX10" i="35"/>
  <c r="BW10" i="35"/>
  <c r="BV10" i="35"/>
  <c r="BU10" i="35"/>
  <c r="BT10" i="35"/>
  <c r="BS10" i="35"/>
  <c r="BR10" i="35"/>
  <c r="BQ10" i="35"/>
  <c r="BP10" i="35"/>
  <c r="BO10" i="35"/>
  <c r="BN10" i="35"/>
  <c r="BM10" i="35"/>
  <c r="BL10" i="35"/>
  <c r="BK10" i="35"/>
  <c r="BJ10" i="35"/>
  <c r="BI10" i="35"/>
  <c r="BH10" i="35"/>
  <c r="BG10" i="35"/>
  <c r="BF10" i="35"/>
  <c r="BE10" i="35"/>
  <c r="BD10" i="35"/>
  <c r="BC10" i="35"/>
  <c r="BB10" i="35"/>
  <c r="BA10" i="35"/>
  <c r="AZ10" i="35"/>
  <c r="AY10" i="35"/>
  <c r="AX10" i="35"/>
  <c r="AW10" i="35"/>
  <c r="AV10" i="35"/>
  <c r="AU10" i="35"/>
  <c r="AT10" i="35"/>
  <c r="AS10" i="35"/>
  <c r="AR10" i="35"/>
  <c r="AQ10" i="35"/>
  <c r="AP10" i="35"/>
  <c r="AO10" i="35"/>
  <c r="AN10" i="35"/>
  <c r="AM10" i="35"/>
  <c r="AL10" i="35"/>
  <c r="AK10" i="35"/>
  <c r="AJ10" i="35"/>
  <c r="AI10" i="35"/>
  <c r="AH10" i="35"/>
  <c r="AG10" i="35"/>
  <c r="AF10" i="35"/>
  <c r="AE10" i="35"/>
  <c r="AD10" i="35"/>
  <c r="AC10" i="35"/>
  <c r="AB10" i="35"/>
  <c r="AA10" i="35"/>
  <c r="Z10" i="35"/>
  <c r="Y10" i="35"/>
  <c r="X10" i="35"/>
  <c r="W10" i="35"/>
  <c r="V10" i="35"/>
  <c r="U10" i="35"/>
  <c r="T10" i="35"/>
  <c r="S10" i="35"/>
  <c r="R10" i="35"/>
  <c r="Q10" i="35"/>
  <c r="P10" i="35"/>
  <c r="O10" i="35"/>
  <c r="N10" i="35"/>
  <c r="M10" i="35"/>
  <c r="L10" i="35"/>
  <c r="K10" i="35"/>
  <c r="J10" i="35"/>
  <c r="I10" i="35"/>
  <c r="H10" i="35"/>
  <c r="G10" i="35"/>
  <c r="F10" i="35"/>
  <c r="E10" i="35"/>
  <c r="D10" i="35"/>
  <c r="C10" i="35"/>
  <c r="B10" i="35"/>
  <c r="M1216" i="15"/>
  <c r="H1215" i="15"/>
  <c r="F1204" i="15"/>
  <c r="E39" i="13"/>
  <c r="D392" i="4"/>
  <c r="G1199" i="15"/>
  <c r="H1198" i="15"/>
  <c r="E1182" i="15"/>
  <c r="E1160" i="15"/>
  <c r="B1169" i="15"/>
  <c r="B1162" i="15"/>
  <c r="N1158" i="15"/>
  <c r="B1158" i="15"/>
  <c r="N1157" i="15"/>
  <c r="N1156" i="15"/>
  <c r="L1153" i="15"/>
  <c r="L1152" i="15"/>
  <c r="B1152" i="15"/>
  <c r="B1151" i="15"/>
  <c r="B1150" i="15"/>
  <c r="G1149" i="15"/>
  <c r="B1149" i="15"/>
  <c r="G1148" i="15"/>
  <c r="B1148" i="15"/>
  <c r="B1142" i="15"/>
  <c r="H1141" i="15"/>
  <c r="B1141" i="15"/>
  <c r="H1140" i="15"/>
  <c r="B1140" i="15"/>
  <c r="H1139" i="15"/>
  <c r="G1139" i="15"/>
  <c r="E1139" i="15"/>
  <c r="J1137" i="15"/>
  <c r="G1136" i="15"/>
  <c r="G1126" i="15"/>
  <c r="F1126" i="15"/>
  <c r="E1126" i="15"/>
  <c r="E1113" i="15"/>
  <c r="D1113" i="15"/>
  <c r="C1113" i="15"/>
  <c r="B1113" i="15"/>
  <c r="E1105" i="15"/>
  <c r="D1105" i="15"/>
  <c r="C1105" i="15"/>
  <c r="B1105" i="15"/>
  <c r="D1102" i="15"/>
  <c r="H1099" i="15"/>
  <c r="G1104" i="15"/>
  <c r="G1099" i="15"/>
  <c r="H1102" i="15"/>
  <c r="F1099" i="15"/>
  <c r="G1102" i="15"/>
  <c r="E1099" i="15"/>
  <c r="F1102" i="15"/>
  <c r="D1099" i="15"/>
  <c r="E1102" i="15"/>
  <c r="B1099" i="15"/>
  <c r="H1098" i="15"/>
  <c r="G1098" i="15"/>
  <c r="F1098" i="15"/>
  <c r="E1098" i="15"/>
  <c r="D1098" i="15"/>
  <c r="B1098" i="15"/>
  <c r="H1097" i="15"/>
  <c r="G1097" i="15"/>
  <c r="F1097" i="15"/>
  <c r="E1097" i="15"/>
  <c r="D1097" i="15"/>
  <c r="B1097" i="15"/>
  <c r="B1092" i="15"/>
  <c r="B1091" i="15"/>
  <c r="B1090" i="15"/>
  <c r="I1087" i="15"/>
  <c r="H1087" i="15"/>
  <c r="G1087" i="15"/>
  <c r="F1087" i="15"/>
  <c r="E1087" i="15"/>
  <c r="D1087" i="15"/>
  <c r="B1086" i="15"/>
  <c r="B1085" i="15"/>
  <c r="B1083" i="15"/>
  <c r="B1082" i="15"/>
  <c r="B1081" i="15"/>
  <c r="I1079" i="15"/>
  <c r="H1079" i="15"/>
  <c r="G1079" i="15"/>
  <c r="F1079" i="15"/>
  <c r="E1079" i="15"/>
  <c r="D1079" i="15"/>
  <c r="B1078" i="15"/>
  <c r="B1077" i="15"/>
  <c r="B1076" i="15"/>
  <c r="B1075" i="15"/>
  <c r="B1070" i="15"/>
  <c r="B1069" i="15"/>
  <c r="B1068" i="15"/>
  <c r="L1065" i="15"/>
  <c r="K1065" i="15"/>
  <c r="J1065" i="15"/>
  <c r="I1065" i="15"/>
  <c r="H1065" i="15"/>
  <c r="G1065" i="15"/>
  <c r="F1065" i="15"/>
  <c r="E1065" i="15"/>
  <c r="D1065" i="15"/>
  <c r="B1064" i="15"/>
  <c r="B1063" i="15"/>
  <c r="B1061" i="15"/>
  <c r="B1060" i="15"/>
  <c r="B1059" i="15"/>
  <c r="L1057" i="15"/>
  <c r="K1057" i="15"/>
  <c r="J1057" i="15"/>
  <c r="I1057" i="15"/>
  <c r="H1057" i="15"/>
  <c r="G1057" i="15"/>
  <c r="F1057" i="15"/>
  <c r="E1057" i="15"/>
  <c r="D1057" i="15"/>
  <c r="B1056" i="15"/>
  <c r="B1055" i="15"/>
  <c r="B1054" i="15"/>
  <c r="B1053" i="15"/>
  <c r="B1048" i="15"/>
  <c r="B1047" i="15"/>
  <c r="B1046" i="15"/>
  <c r="B1045" i="15"/>
  <c r="C999" i="15"/>
  <c r="L1043" i="15"/>
  <c r="N987" i="15"/>
  <c r="J1043" i="15"/>
  <c r="L987" i="15"/>
  <c r="H1043" i="15"/>
  <c r="J987" i="15"/>
  <c r="F1043" i="15"/>
  <c r="L1042" i="15"/>
  <c r="K1042" i="15"/>
  <c r="J1042" i="15"/>
  <c r="I1042" i="15"/>
  <c r="H1042" i="15"/>
  <c r="G1042" i="15"/>
  <c r="F1042" i="15"/>
  <c r="E1042" i="15"/>
  <c r="B1041" i="15"/>
  <c r="B1040" i="15"/>
  <c r="B1039" i="15"/>
  <c r="B1038" i="15"/>
  <c r="B1037" i="15"/>
  <c r="B1036" i="15"/>
  <c r="L1034" i="15"/>
  <c r="K1034" i="15"/>
  <c r="J1034" i="15"/>
  <c r="I1034" i="15"/>
  <c r="H1034" i="15"/>
  <c r="G1034" i="15"/>
  <c r="F1034" i="15"/>
  <c r="E1034" i="15"/>
  <c r="D1034" i="15"/>
  <c r="B1034" i="15"/>
  <c r="B1033" i="15"/>
  <c r="B1032" i="15"/>
  <c r="B1031" i="15"/>
  <c r="B1030" i="15"/>
  <c r="E1006" i="15"/>
  <c r="I1093" i="15"/>
  <c r="D1006" i="15"/>
  <c r="H1093" i="15"/>
  <c r="C1006" i="15"/>
  <c r="G1093" i="15"/>
  <c r="B1006" i="15"/>
  <c r="F1093" i="15"/>
  <c r="E1005" i="15"/>
  <c r="I1088" i="15"/>
  <c r="D1005" i="15"/>
  <c r="H1088" i="15"/>
  <c r="C1005" i="15"/>
  <c r="G1088" i="15"/>
  <c r="B1005" i="15"/>
  <c r="F1088" i="15"/>
  <c r="D1004" i="15"/>
  <c r="C1004" i="15"/>
  <c r="B1004" i="15"/>
  <c r="N1000" i="15"/>
  <c r="E1093" i="15"/>
  <c r="M1000" i="15"/>
  <c r="D1093" i="15"/>
  <c r="L1000" i="15"/>
  <c r="L1071" i="15"/>
  <c r="K1000" i="15"/>
  <c r="K1071" i="15"/>
  <c r="J1000" i="15"/>
  <c r="J1071" i="15"/>
  <c r="I1000" i="15"/>
  <c r="I1071" i="15"/>
  <c r="H1000" i="15"/>
  <c r="H1071" i="15"/>
  <c r="G1000" i="15"/>
  <c r="G1071" i="15"/>
  <c r="F1000" i="15"/>
  <c r="F1071" i="15"/>
  <c r="E1000" i="15"/>
  <c r="E1071" i="15"/>
  <c r="D1000" i="15"/>
  <c r="D1071" i="15"/>
  <c r="C1000" i="15"/>
  <c r="L1048" i="15"/>
  <c r="B1000" i="15"/>
  <c r="K1048" i="15"/>
  <c r="N999" i="15"/>
  <c r="E1088" i="15"/>
  <c r="M999" i="15"/>
  <c r="D1088" i="15"/>
  <c r="L999" i="15"/>
  <c r="L1066" i="15"/>
  <c r="K999" i="15"/>
  <c r="K1066" i="15"/>
  <c r="J999" i="15"/>
  <c r="J1066" i="15"/>
  <c r="I999" i="15"/>
  <c r="I1066" i="15"/>
  <c r="H999" i="15"/>
  <c r="H1066" i="15"/>
  <c r="G999" i="15"/>
  <c r="G1066" i="15"/>
  <c r="F999" i="15"/>
  <c r="F1066" i="15"/>
  <c r="E999" i="15"/>
  <c r="E1066" i="15"/>
  <c r="D999" i="15"/>
  <c r="D1066" i="15"/>
  <c r="B999" i="15"/>
  <c r="K1043" i="15"/>
  <c r="N998" i="15"/>
  <c r="M998" i="15"/>
  <c r="L998" i="15"/>
  <c r="K998" i="15"/>
  <c r="J998" i="15"/>
  <c r="I998" i="15"/>
  <c r="H998" i="15"/>
  <c r="G998" i="15"/>
  <c r="F998" i="15"/>
  <c r="E998" i="15"/>
  <c r="D998" i="15"/>
  <c r="C998" i="15"/>
  <c r="B998" i="15"/>
  <c r="N988" i="15"/>
  <c r="J1048" i="15"/>
  <c r="M988" i="15"/>
  <c r="I1048" i="15"/>
  <c r="L988" i="15"/>
  <c r="H1048" i="15"/>
  <c r="K988" i="15"/>
  <c r="G1048" i="15"/>
  <c r="J988" i="15"/>
  <c r="F1048" i="15"/>
  <c r="I988" i="15"/>
  <c r="E1048" i="15"/>
  <c r="H988" i="15"/>
  <c r="D1048" i="15"/>
  <c r="G988" i="15"/>
  <c r="F988" i="15"/>
  <c r="E988" i="15"/>
  <c r="D988" i="15"/>
  <c r="C988" i="15"/>
  <c r="M987" i="15"/>
  <c r="I1043" i="15"/>
  <c r="K987" i="15"/>
  <c r="G1043" i="15"/>
  <c r="I987" i="15"/>
  <c r="E1043" i="15"/>
  <c r="H987" i="15"/>
  <c r="D1043" i="15"/>
  <c r="G987" i="15"/>
  <c r="F987" i="15"/>
  <c r="E987" i="15"/>
  <c r="D987" i="15"/>
  <c r="C987" i="15"/>
  <c r="N986" i="15"/>
  <c r="M986" i="15"/>
  <c r="L986" i="15"/>
  <c r="K986" i="15"/>
  <c r="J986" i="15"/>
  <c r="I986" i="15"/>
  <c r="H986" i="15"/>
  <c r="G986" i="15"/>
  <c r="F986" i="15"/>
  <c r="E986" i="15"/>
  <c r="D986" i="15"/>
  <c r="C986" i="15"/>
  <c r="B970" i="15"/>
  <c r="B962" i="15"/>
  <c r="B956" i="15"/>
  <c r="C939" i="15"/>
  <c r="B939" i="15"/>
  <c r="C931" i="15"/>
  <c r="B931" i="15"/>
  <c r="C922" i="15"/>
  <c r="B922" i="15"/>
  <c r="C913" i="15"/>
  <c r="B913" i="15"/>
  <c r="G890" i="15"/>
  <c r="F890" i="15"/>
  <c r="G873" i="15"/>
  <c r="F873" i="15"/>
  <c r="G856" i="15"/>
  <c r="F856" i="15"/>
  <c r="J840" i="15"/>
  <c r="H840" i="15"/>
  <c r="G840" i="15"/>
  <c r="F840" i="15"/>
  <c r="H823" i="15"/>
  <c r="G823" i="15"/>
  <c r="F823" i="15"/>
  <c r="H807" i="15"/>
  <c r="G807" i="15"/>
  <c r="F807" i="15"/>
  <c r="H792" i="15"/>
  <c r="G792" i="15"/>
  <c r="F792" i="15"/>
  <c r="I792" i="15"/>
  <c r="D197" i="4"/>
  <c r="I88" i="2"/>
  <c r="L768" i="15"/>
  <c r="K768" i="15"/>
  <c r="J768" i="15"/>
  <c r="M768" i="15"/>
  <c r="E769" i="15"/>
  <c r="D768" i="15"/>
  <c r="C768" i="15"/>
  <c r="B768" i="15"/>
  <c r="E768" i="15"/>
  <c r="D769" i="15"/>
  <c r="L767" i="15"/>
  <c r="K767" i="15"/>
  <c r="J767" i="15"/>
  <c r="M767" i="15"/>
  <c r="C769" i="15"/>
  <c r="E767" i="15"/>
  <c r="D767" i="15"/>
  <c r="C767" i="15"/>
  <c r="B767" i="15"/>
  <c r="F767" i="15"/>
  <c r="B769" i="15"/>
  <c r="K734" i="15"/>
  <c r="J734" i="15"/>
  <c r="F734" i="15"/>
  <c r="E734" i="15"/>
  <c r="M729" i="15"/>
  <c r="K729" i="15"/>
  <c r="J729" i="15"/>
  <c r="F729" i="15"/>
  <c r="E729" i="15"/>
  <c r="M728" i="15"/>
  <c r="M727" i="15"/>
  <c r="M726" i="15"/>
  <c r="H715" i="15"/>
  <c r="B715" i="15"/>
  <c r="H714" i="15"/>
  <c r="F714" i="15"/>
  <c r="B714" i="15"/>
  <c r="B713" i="15"/>
  <c r="B712" i="15"/>
  <c r="B709" i="15"/>
  <c r="B708" i="15"/>
  <c r="B707" i="15"/>
  <c r="I706" i="15"/>
  <c r="H706" i="15"/>
  <c r="B706" i="15"/>
  <c r="B705" i="15"/>
  <c r="B700" i="15"/>
  <c r="B699" i="15"/>
  <c r="F698" i="15"/>
  <c r="C141" i="4"/>
  <c r="G41" i="2"/>
  <c r="B698" i="15"/>
  <c r="B697" i="15"/>
  <c r="B689" i="15"/>
  <c r="B688" i="15"/>
  <c r="B687" i="15"/>
  <c r="B686" i="15"/>
  <c r="B685" i="15"/>
  <c r="B684" i="15"/>
  <c r="B683" i="15"/>
  <c r="B682" i="15"/>
  <c r="B673" i="15"/>
  <c r="B672" i="15"/>
  <c r="B671" i="15"/>
  <c r="B670" i="15"/>
  <c r="B669" i="15"/>
  <c r="B668" i="15"/>
  <c r="G667" i="15"/>
  <c r="F667" i="15"/>
  <c r="B667" i="15"/>
  <c r="G666" i="15"/>
  <c r="F666" i="15"/>
  <c r="B666" i="15"/>
  <c r="B665" i="15"/>
  <c r="B664" i="15"/>
  <c r="I660" i="15"/>
  <c r="H660" i="15"/>
  <c r="G660" i="15"/>
  <c r="F660" i="15"/>
  <c r="I659" i="15"/>
  <c r="H659" i="15"/>
  <c r="G659" i="15"/>
  <c r="F659" i="15"/>
  <c r="F661" i="15"/>
  <c r="B659" i="15"/>
  <c r="B658" i="15"/>
  <c r="B657" i="15"/>
  <c r="B656" i="15"/>
  <c r="B655" i="15"/>
  <c r="B654" i="15"/>
  <c r="B653" i="15"/>
  <c r="B645" i="15"/>
  <c r="B644" i="15"/>
  <c r="B643" i="15"/>
  <c r="B638" i="15"/>
  <c r="B637" i="15"/>
  <c r="B636" i="15"/>
  <c r="B635" i="15"/>
  <c r="B634" i="15"/>
  <c r="B633" i="15"/>
  <c r="I632" i="15"/>
  <c r="G635" i="15"/>
  <c r="F635" i="15"/>
  <c r="B632" i="15"/>
  <c r="B631" i="15"/>
  <c r="B630" i="15"/>
  <c r="G625" i="15"/>
  <c r="F625" i="15"/>
  <c r="G624" i="15"/>
  <c r="F624" i="15"/>
  <c r="G623" i="15"/>
  <c r="F623" i="15"/>
  <c r="G593" i="15"/>
  <c r="F593" i="15"/>
  <c r="E593" i="15"/>
  <c r="G592" i="15"/>
  <c r="F592" i="15"/>
  <c r="E592" i="15"/>
  <c r="H587" i="15"/>
  <c r="G596" i="15"/>
  <c r="G587" i="15"/>
  <c r="F596" i="15"/>
  <c r="F587" i="15"/>
  <c r="E596" i="15"/>
  <c r="H586" i="15"/>
  <c r="G595" i="15"/>
  <c r="G586" i="15"/>
  <c r="F595" i="15"/>
  <c r="F586" i="15"/>
  <c r="E595" i="15"/>
  <c r="F576" i="15"/>
  <c r="F575" i="15"/>
  <c r="F573" i="15"/>
  <c r="F572" i="15"/>
  <c r="M569" i="15"/>
  <c r="S1" i="28"/>
  <c r="R1" i="28"/>
  <c r="G116" i="2"/>
  <c r="H112" i="2"/>
  <c r="G107" i="2"/>
  <c r="G106" i="2"/>
  <c r="G105" i="2"/>
  <c r="G104" i="2"/>
  <c r="G103" i="2"/>
  <c r="G102" i="2"/>
  <c r="G101" i="2"/>
  <c r="G100" i="2"/>
  <c r="G99" i="2"/>
  <c r="G94" i="2"/>
  <c r="G93" i="2"/>
  <c r="G92" i="2"/>
  <c r="G91" i="2"/>
  <c r="G90" i="2"/>
  <c r="G89" i="2"/>
  <c r="G88" i="2"/>
  <c r="G87" i="2"/>
  <c r="G86" i="2"/>
  <c r="G81" i="2"/>
  <c r="G79" i="2"/>
  <c r="G78" i="2"/>
  <c r="G77" i="2"/>
  <c r="G76" i="2"/>
  <c r="G75" i="2"/>
  <c r="G74" i="2"/>
  <c r="G71" i="2"/>
  <c r="G13" i="2"/>
  <c r="G10" i="2"/>
  <c r="G9" i="2"/>
  <c r="G8" i="2"/>
  <c r="G7" i="2"/>
  <c r="G6" i="2"/>
  <c r="G5" i="2"/>
  <c r="H366" i="4"/>
  <c r="H350" i="4"/>
  <c r="H349" i="4"/>
  <c r="G1123" i="15"/>
  <c r="H303" i="4"/>
  <c r="G303" i="4"/>
  <c r="F303" i="4"/>
  <c r="E303" i="4"/>
  <c r="D303" i="4"/>
  <c r="H298" i="4"/>
  <c r="G298" i="4"/>
  <c r="F298" i="4"/>
  <c r="E298" i="4"/>
  <c r="D298" i="4"/>
  <c r="H297" i="4"/>
  <c r="G297" i="4"/>
  <c r="F297" i="4"/>
  <c r="E297" i="4"/>
  <c r="D297" i="4"/>
  <c r="H289" i="4"/>
  <c r="G289" i="4"/>
  <c r="F289" i="4"/>
  <c r="E289" i="4"/>
  <c r="D289" i="4"/>
  <c r="H276" i="4"/>
  <c r="D276" i="4"/>
  <c r="D272" i="4"/>
  <c r="H260" i="4"/>
  <c r="D260" i="4"/>
  <c r="H259" i="4"/>
  <c r="D259" i="4"/>
  <c r="H255" i="4"/>
  <c r="D255" i="4"/>
  <c r="H254" i="4"/>
  <c r="D254" i="4"/>
  <c r="B176" i="4"/>
  <c r="G150" i="4"/>
  <c r="G149" i="4"/>
  <c r="G147" i="4"/>
  <c r="C129" i="4"/>
  <c r="G40" i="2"/>
  <c r="D113" i="4"/>
  <c r="F33" i="4"/>
  <c r="D56" i="13"/>
  <c r="G383" i="4"/>
  <c r="D49" i="13"/>
  <c r="E48" i="13"/>
  <c r="E47" i="13"/>
  <c r="I1137" i="15"/>
  <c r="I325" i="1"/>
  <c r="G304" i="1"/>
  <c r="G305" i="1"/>
  <c r="H293" i="1"/>
  <c r="J293" i="1"/>
  <c r="H292" i="1"/>
  <c r="J292" i="1"/>
  <c r="H290" i="1"/>
  <c r="J290" i="1"/>
  <c r="H289" i="1"/>
  <c r="J289" i="1"/>
  <c r="H287" i="1"/>
  <c r="J287" i="1"/>
  <c r="H286" i="1"/>
  <c r="J286" i="1"/>
  <c r="H284" i="1"/>
  <c r="J284" i="1"/>
  <c r="H283" i="1"/>
  <c r="J283" i="1"/>
  <c r="H281" i="1"/>
  <c r="J281" i="1"/>
  <c r="H280" i="1"/>
  <c r="J280" i="1"/>
  <c r="H278" i="1"/>
  <c r="J278" i="1"/>
  <c r="H277" i="1"/>
  <c r="J277" i="1"/>
  <c r="H275" i="1"/>
  <c r="J275" i="1"/>
  <c r="H274" i="1"/>
  <c r="J274" i="1"/>
  <c r="H272" i="1"/>
  <c r="J272" i="1"/>
  <c r="H271" i="1"/>
  <c r="J271" i="1"/>
  <c r="H269" i="1"/>
  <c r="J269" i="1"/>
  <c r="H268" i="1"/>
  <c r="J268" i="1"/>
  <c r="H266" i="1"/>
  <c r="J266" i="1"/>
  <c r="H265" i="1"/>
  <c r="J265" i="1"/>
  <c r="G80" i="2"/>
  <c r="G115" i="2"/>
  <c r="G114" i="2"/>
  <c r="G113" i="2"/>
  <c r="K141" i="1"/>
  <c r="F23" i="4"/>
  <c r="F141" i="1"/>
  <c r="F24" i="4"/>
  <c r="I137" i="1"/>
  <c r="I135" i="1"/>
  <c r="I134" i="1"/>
  <c r="I133" i="1"/>
  <c r="I132" i="1"/>
  <c r="G112" i="2"/>
  <c r="G45" i="1"/>
  <c r="J990" i="15"/>
  <c r="F1050" i="15"/>
  <c r="D1002" i="15"/>
  <c r="D1073" i="15"/>
  <c r="F1002" i="15"/>
  <c r="F1073" i="15"/>
  <c r="H1002" i="15"/>
  <c r="H1073" i="15"/>
  <c r="J1002" i="15"/>
  <c r="J1073" i="15"/>
  <c r="L1002" i="15"/>
  <c r="L1073" i="15"/>
  <c r="B1008" i="15"/>
  <c r="F1095" i="15"/>
  <c r="D1008" i="15"/>
  <c r="H1095" i="15"/>
  <c r="N1002" i="15"/>
  <c r="E1095" i="15"/>
  <c r="B1002" i="15"/>
  <c r="K1050" i="15"/>
  <c r="L990" i="15"/>
  <c r="H1050" i="15"/>
  <c r="N990" i="15"/>
  <c r="J1050" i="15"/>
  <c r="H990" i="15"/>
  <c r="D1050" i="15"/>
  <c r="H661" i="15"/>
  <c r="G706" i="15"/>
  <c r="F706" i="15"/>
  <c r="F707" i="15"/>
  <c r="C155" i="4"/>
  <c r="G42" i="2"/>
  <c r="H666" i="15"/>
  <c r="F668" i="15"/>
  <c r="G661" i="15"/>
  <c r="C54" i="4"/>
  <c r="D1158" i="15"/>
  <c r="C1159" i="15"/>
  <c r="F35" i="4"/>
  <c r="E1159" i="15"/>
  <c r="J595" i="15"/>
  <c r="C1160" i="15"/>
  <c r="G108" i="2"/>
  <c r="G111" i="2"/>
  <c r="G109" i="2"/>
  <c r="F318" i="4"/>
  <c r="I1119" i="15"/>
  <c r="I1120" i="15"/>
  <c r="I1118" i="15"/>
  <c r="F319" i="4"/>
  <c r="G1121" i="15"/>
  <c r="F574" i="15"/>
  <c r="G574" i="15"/>
  <c r="G69" i="2"/>
  <c r="M566" i="15"/>
  <c r="M567" i="15"/>
  <c r="F1203" i="15"/>
  <c r="G1204" i="15"/>
  <c r="G1205" i="15"/>
  <c r="F1207" i="15"/>
  <c r="C1158" i="15"/>
  <c r="E1158" i="15"/>
  <c r="B1159" i="15"/>
  <c r="D1159" i="15"/>
  <c r="B1160" i="15"/>
  <c r="D1160" i="15"/>
  <c r="F1160" i="15"/>
  <c r="H873" i="15"/>
  <c r="D232" i="4"/>
  <c r="I93" i="2"/>
  <c r="H890" i="15"/>
  <c r="C241" i="4"/>
  <c r="F1134" i="15"/>
  <c r="F1135" i="15"/>
  <c r="F1136" i="15"/>
  <c r="F34" i="4"/>
  <c r="G1213" i="15"/>
  <c r="I990" i="15"/>
  <c r="E1050" i="15"/>
  <c r="K990" i="15"/>
  <c r="G1050" i="15"/>
  <c r="M990" i="15"/>
  <c r="I1050" i="15"/>
  <c r="M1002" i="15"/>
  <c r="D1095" i="15"/>
  <c r="G1214" i="15"/>
  <c r="E55" i="13"/>
  <c r="I807" i="15"/>
  <c r="D204" i="4"/>
  <c r="I89" i="2"/>
  <c r="I823" i="15"/>
  <c r="D211" i="4"/>
  <c r="I90" i="2"/>
  <c r="H856" i="15"/>
  <c r="D225" i="4"/>
  <c r="I92" i="2"/>
  <c r="C1002" i="15"/>
  <c r="L1050" i="15"/>
  <c r="E1213" i="15"/>
  <c r="E1214" i="15"/>
  <c r="E1215" i="15"/>
  <c r="H1134" i="15"/>
  <c r="H1135" i="15"/>
  <c r="H1136" i="15"/>
  <c r="I840" i="15"/>
  <c r="D218" i="4"/>
  <c r="I91" i="2"/>
  <c r="F35" i="13"/>
  <c r="F36" i="4"/>
  <c r="G332" i="4"/>
  <c r="G406" i="4"/>
  <c r="F332" i="4"/>
  <c r="F406" i="4"/>
  <c r="D123" i="1"/>
  <c r="E123" i="1"/>
  <c r="D332" i="4"/>
  <c r="D406" i="4"/>
  <c r="H336" i="4"/>
  <c r="H412" i="4"/>
  <c r="F37" i="13"/>
  <c r="E40" i="13"/>
  <c r="E54" i="13"/>
  <c r="F1187" i="15"/>
  <c r="G67" i="2"/>
  <c r="G573" i="15"/>
  <c r="E1183" i="15"/>
  <c r="F36" i="13"/>
  <c r="F38" i="13"/>
  <c r="G68" i="2"/>
  <c r="G572" i="15"/>
  <c r="G575" i="15"/>
  <c r="G70" i="2"/>
  <c r="F1213" i="15"/>
  <c r="H1213" i="15"/>
  <c r="F1214" i="15"/>
  <c r="H1214" i="15"/>
  <c r="G1215" i="15"/>
  <c r="F1215" i="15"/>
  <c r="E1002" i="15"/>
  <c r="E1073" i="15"/>
  <c r="G1002" i="15"/>
  <c r="G1073" i="15"/>
  <c r="I1002" i="15"/>
  <c r="I1073" i="15"/>
  <c r="K1002" i="15"/>
  <c r="K1073" i="15"/>
  <c r="C1008" i="15"/>
  <c r="G1095" i="15"/>
  <c r="E1008" i="15"/>
  <c r="I1095" i="15"/>
  <c r="F1139" i="15"/>
  <c r="F1140" i="15"/>
  <c r="F1149" i="15"/>
  <c r="E1149" i="15"/>
  <c r="F990" i="15"/>
  <c r="G305" i="4"/>
  <c r="G632" i="15"/>
  <c r="F632" i="15"/>
  <c r="H667" i="15"/>
  <c r="F1159" i="15"/>
  <c r="C1166" i="15"/>
  <c r="C1169" i="15"/>
  <c r="D1169" i="15"/>
  <c r="F372" i="4"/>
  <c r="G990" i="15"/>
  <c r="H305" i="4"/>
  <c r="E1134" i="15"/>
  <c r="G1134" i="15"/>
  <c r="E1135" i="15"/>
  <c r="G1135" i="15"/>
  <c r="E1136" i="15"/>
  <c r="J1136" i="15"/>
  <c r="M730" i="15"/>
  <c r="C184" i="4"/>
  <c r="I86" i="2"/>
  <c r="I94" i="2"/>
  <c r="F769" i="15"/>
  <c r="C192" i="4"/>
  <c r="I87" i="2"/>
  <c r="E278" i="4"/>
  <c r="F577" i="15"/>
  <c r="G577" i="15"/>
  <c r="G72" i="2"/>
  <c r="G576" i="15"/>
  <c r="G633" i="15"/>
  <c r="F633" i="15"/>
  <c r="G634" i="15"/>
  <c r="F634" i="15"/>
  <c r="I661" i="15"/>
  <c r="F1100" i="15"/>
  <c r="G1100" i="15"/>
  <c r="H1100" i="15"/>
  <c r="F1101" i="15"/>
  <c r="G1101" i="15"/>
  <c r="H1101" i="15"/>
  <c r="E1104" i="15"/>
  <c r="F1104" i="15"/>
  <c r="G1119" i="15"/>
  <c r="G1120" i="15"/>
  <c r="H1118" i="15"/>
  <c r="E1123" i="15"/>
  <c r="E1124" i="15"/>
  <c r="G1116" i="15"/>
  <c r="I1123" i="15"/>
  <c r="I1124" i="15"/>
  <c r="I1116" i="15"/>
  <c r="M568" i="15"/>
  <c r="G12" i="2"/>
  <c r="I54" i="13"/>
  <c r="I55" i="13"/>
  <c r="E56" i="13"/>
  <c r="G385" i="4"/>
  <c r="J1188" i="15"/>
  <c r="G1194" i="15"/>
  <c r="I56" i="13"/>
  <c r="F1148" i="15"/>
  <c r="E1148" i="15"/>
  <c r="I1121" i="15"/>
  <c r="E1100" i="15"/>
  <c r="E1101" i="15"/>
  <c r="E990" i="15"/>
  <c r="F305" i="4"/>
  <c r="D990" i="15"/>
  <c r="E305" i="4"/>
  <c r="D1101" i="15"/>
  <c r="D1104" i="15"/>
  <c r="G120" i="2"/>
  <c r="B994" i="15"/>
  <c r="B995" i="15"/>
  <c r="C990" i="15"/>
  <c r="D305" i="4"/>
  <c r="G714" i="15"/>
  <c r="C165" i="4"/>
  <c r="F603" i="15"/>
  <c r="F27" i="4"/>
  <c r="F25" i="4"/>
  <c r="J295" i="1"/>
  <c r="D262" i="4"/>
  <c r="J943" i="15"/>
  <c r="J296" i="1"/>
  <c r="D263" i="4"/>
  <c r="K944" i="15"/>
  <c r="K659" i="15"/>
  <c r="K660" i="15"/>
  <c r="C97" i="4"/>
  <c r="G38" i="2"/>
  <c r="G36" i="2"/>
  <c r="F399" i="4"/>
  <c r="L572" i="15"/>
  <c r="J1189" i="15"/>
  <c r="G668" i="15"/>
  <c r="H668" i="15"/>
  <c r="C115" i="4"/>
  <c r="G39" i="2"/>
  <c r="E1119" i="15"/>
  <c r="E1120" i="15"/>
  <c r="G1118" i="15"/>
  <c r="D57" i="13"/>
  <c r="J596" i="15"/>
  <c r="K596" i="15"/>
  <c r="C16" i="4"/>
  <c r="G33" i="2"/>
  <c r="E1121" i="15"/>
  <c r="E1122" i="15"/>
  <c r="G1117" i="15"/>
  <c r="G603" i="15"/>
  <c r="H603" i="15"/>
  <c r="F1158" i="15"/>
  <c r="H365" i="4"/>
  <c r="G1103" i="15"/>
  <c r="I1149" i="15"/>
  <c r="I1148" i="15"/>
  <c r="J1148" i="15"/>
  <c r="J1149" i="15"/>
  <c r="C357" i="4"/>
  <c r="G49" i="2"/>
  <c r="M1214" i="15"/>
  <c r="G1124" i="15"/>
  <c r="H1116" i="15"/>
  <c r="M1213" i="15"/>
  <c r="M1212" i="15"/>
  <c r="K943" i="15"/>
  <c r="L943" i="15"/>
  <c r="F265" i="4"/>
  <c r="G551" i="15"/>
  <c r="H39" i="13"/>
  <c r="B1161" i="15"/>
  <c r="C1161" i="15"/>
  <c r="E368" i="4"/>
  <c r="B1163" i="15"/>
  <c r="I1198" i="15"/>
  <c r="D63" i="13"/>
  <c r="L573" i="15"/>
  <c r="H633" i="15"/>
  <c r="H634" i="15"/>
  <c r="H632" i="15"/>
  <c r="C70" i="4"/>
  <c r="J1135" i="15"/>
  <c r="J1134" i="15"/>
  <c r="G43" i="2"/>
  <c r="G28" i="2"/>
  <c r="H1104" i="15"/>
  <c r="H1103" i="15"/>
  <c r="F1103" i="15"/>
  <c r="D243" i="4"/>
  <c r="G44" i="2"/>
  <c r="G48" i="1"/>
  <c r="G567" i="15"/>
  <c r="J1190" i="15"/>
  <c r="G1187" i="15"/>
  <c r="H1187" i="15"/>
  <c r="I1122" i="15"/>
  <c r="G1122" i="15"/>
  <c r="E1103" i="15"/>
  <c r="D1100" i="15"/>
  <c r="C311" i="4"/>
  <c r="G46" i="2"/>
  <c r="B991" i="15"/>
  <c r="C995" i="15"/>
  <c r="C996" i="15"/>
  <c r="B996" i="15"/>
  <c r="D1103" i="15"/>
  <c r="J944" i="15"/>
  <c r="L944" i="15"/>
  <c r="F266" i="4"/>
  <c r="E1127" i="15"/>
  <c r="D393" i="4"/>
  <c r="F395" i="4"/>
  <c r="G1198" i="15"/>
  <c r="G1201" i="15"/>
  <c r="E552" i="15"/>
  <c r="C28" i="4"/>
  <c r="G34" i="2"/>
  <c r="C412" i="4"/>
  <c r="G73" i="2"/>
  <c r="D394" i="4"/>
  <c r="C377" i="4"/>
  <c r="G50" i="2"/>
  <c r="C81" i="4"/>
  <c r="G37" i="2"/>
  <c r="I1187" i="15"/>
  <c r="I1188" i="15"/>
  <c r="E1140" i="15"/>
  <c r="G29" i="2"/>
  <c r="H1200" i="15"/>
  <c r="I1200" i="15"/>
  <c r="G1127" i="15"/>
  <c r="I1117" i="15"/>
  <c r="F1127" i="15"/>
  <c r="H1117" i="15"/>
  <c r="F949" i="15"/>
  <c r="E280" i="4"/>
  <c r="G45" i="2"/>
  <c r="G27" i="2"/>
  <c r="E414" i="4"/>
  <c r="C416" i="4"/>
  <c r="C421" i="4"/>
  <c r="G53" i="2"/>
  <c r="C342" i="4"/>
  <c r="G48" i="2"/>
  <c r="F1188" i="15"/>
  <c r="F1200" i="15"/>
  <c r="I1201" i="15"/>
  <c r="K551" i="15"/>
  <c r="E1125" i="15"/>
  <c r="C327" i="4"/>
  <c r="G47" i="2"/>
  <c r="G30" i="2"/>
  <c r="G1200" i="15"/>
  <c r="F1201" i="15"/>
  <c r="C401" i="4"/>
  <c r="G52" i="2"/>
  <c r="C389" i="4"/>
  <c r="G51" i="2"/>
  <c r="G31" i="2"/>
  <c r="J552" i="15"/>
  <c r="H1199" i="15"/>
  <c r="M610" i="15"/>
  <c r="K610" i="15"/>
  <c r="H554" i="15"/>
  <c r="F37" i="4"/>
  <c r="M611" i="15"/>
  <c r="G117" i="2"/>
  <c r="M609" i="15"/>
  <c r="K609" i="15"/>
  <c r="M608" i="15"/>
  <c r="K608" i="15"/>
  <c r="M607" i="15"/>
  <c r="G32" i="2"/>
  <c r="F39" i="4"/>
  <c r="F38" i="4"/>
  <c r="K607" i="15"/>
  <c r="K613" i="15"/>
  <c r="F612" i="15"/>
  <c r="K611" i="15"/>
  <c r="M612" i="15"/>
  <c r="G612" i="15"/>
  <c r="H612" i="15"/>
  <c r="I612" i="15"/>
  <c r="C41" i="4"/>
  <c r="G35" i="2"/>
  <c r="G24" i="2"/>
  <c r="G25" i="2"/>
  <c r="G18" i="2"/>
  <c r="G26" i="2"/>
  <c r="G23"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B11" authorId="0" shapeId="0" xr:uid="{00000000-0006-0000-0A00-000001000000}">
      <text>
        <r>
          <rPr>
            <b/>
            <sz val="10"/>
            <color indexed="10"/>
            <rFont val="Arial"/>
            <family val="2"/>
          </rPr>
          <t xml:space="preserve">
Relatar a assistência técnica ou seja o trabalho do técnico junto ao produtor rural , procurando abordar:
</t>
        </r>
        <r>
          <rPr>
            <b/>
            <sz val="10"/>
            <color indexed="12"/>
            <rFont val="Arial"/>
            <family val="2"/>
          </rPr>
          <t xml:space="preserve"> 1- SITUAÇÃO ATUAL DA(S) EXPLORAÇÃO(ÕES)/ATIVIDADE(S):</t>
        </r>
        <r>
          <rPr>
            <b/>
            <sz val="10"/>
            <color indexed="8"/>
            <rFont val="Arial"/>
            <family val="2"/>
          </rPr>
          <t xml:space="preserve"> 
-Informar se as atividades objeto do projeto foram executadas    conforme programadas, o estágio de desenvolvimento das culturas/criações, a previsão de produção, eventuais perdas/aumento de produção em função de ocorrências climáticas;
</t>
        </r>
        <r>
          <rPr>
            <b/>
            <sz val="10"/>
            <color indexed="12"/>
            <rFont val="Arial"/>
            <family val="2"/>
          </rPr>
          <t xml:space="preserve"> 2- ORIENTAÇÕES TÉCNICAS E/OU GERENCIAIS:
</t>
        </r>
        <r>
          <rPr>
            <b/>
            <sz val="10"/>
            <rFont val="Arial"/>
            <family val="2"/>
          </rPr>
          <t xml:space="preserve">- Informar as orientações técnicas e/ou gerenciais fornecidas ao produtor, devendo ser coerente com a situação atual das explorações. Quando se tratar de crédito rural, informar a tecnologia  e custo de produção prescrita no projeto ou, se necessário esclarecer possíveis alterações justificadas. 
</t>
        </r>
        <r>
          <rPr>
            <b/>
            <sz val="10"/>
            <color indexed="10"/>
            <rFont val="Arial"/>
            <family val="2"/>
          </rPr>
          <t xml:space="preserve">Obs.: O técnico deve ter o cuidado de ser preciso nas orientações  de variedades, fertilizantes, corretivos, manejos, impacto ambiental , preservação  do meio ambiente, lembrando que as recomendações de defensivos agrícolas devem ser feitas  por meio do "RECEITUÁRIO AGRONÔMICO”, utilizando o software WINFIT (Intranet / Empresa / ASINF) . Com relação a viabilidade econômica do projeto, o técnico junto com o produtor deve evidenciar a análise de custo de produção.
</t>
        </r>
        <r>
          <rPr>
            <b/>
            <sz val="10"/>
            <color indexed="12"/>
            <rFont val="Arial"/>
            <family val="2"/>
          </rPr>
          <t xml:space="preserve"> 3-RECOMENDAÇÕES:
</t>
        </r>
        <r>
          <rPr>
            <b/>
            <sz val="10"/>
            <color indexed="8"/>
            <rFont val="Arial"/>
            <family val="2"/>
          </rPr>
          <t xml:space="preserve">- Informar as recomendações fornecidas ao produtor tais como: ( visitar outras propriedades; participar de curso e treinamento; ir ao Banco financiador; recorrer ao PROAGRO; ir ao escritório da EMATER-MG ; etc.)
</t>
        </r>
        <r>
          <rPr>
            <b/>
            <sz val="10"/>
            <color indexed="12"/>
            <rFont val="Arial"/>
            <family val="2"/>
          </rPr>
          <t xml:space="preserve"> 4-OBSERVAÇÕES:
</t>
        </r>
        <r>
          <rPr>
            <b/>
            <sz val="10"/>
            <color indexed="8"/>
            <rFont val="Arial"/>
            <family val="2"/>
          </rPr>
          <t xml:space="preserve">- Informar outras observações que julgar necessário , tais como (advertência ao produtor pela não execução da atividade financiada, marcando prazo para execução, etc.)
- </t>
        </r>
        <r>
          <rPr>
            <b/>
            <sz val="12"/>
            <color indexed="10"/>
            <rFont val="Arial"/>
            <family val="2"/>
          </rPr>
          <t xml:space="preserve">EPI </t>
        </r>
        <r>
          <rPr>
            <b/>
            <sz val="12"/>
            <color indexed="8"/>
            <rFont val="Arial"/>
            <family val="2"/>
          </rPr>
          <t xml:space="preserve">– Relacionar e descrever sobre o uso do </t>
        </r>
        <r>
          <rPr>
            <b/>
            <sz val="12"/>
            <color indexed="10"/>
            <rFont val="Arial"/>
            <family val="2"/>
          </rPr>
          <t xml:space="preserve">EPI </t>
        </r>
        <r>
          <rPr>
            <b/>
            <sz val="12"/>
            <color indexed="8"/>
            <rFont val="Arial"/>
            <family val="2"/>
          </rPr>
          <t xml:space="preserve">adequado à atividade.
</t>
        </r>
        <r>
          <rPr>
            <b/>
            <sz val="10"/>
            <color indexed="8"/>
            <rFont val="Arial"/>
            <family val="2"/>
          </rPr>
          <t xml:space="preserve">
</t>
        </r>
        <r>
          <rPr>
            <b/>
            <sz val="10"/>
            <color indexed="14"/>
            <rFont val="Arial"/>
            <family val="2"/>
          </rPr>
          <t>ATENÇÃO!  QUANDO O RELATÓRIO DE ASSISTÊNCIA TÉCNICA  FOR GRUPAL, relacionar, na segunda folha do relatório , os nomes e nº do CPF dos produtores ,  coletar as assinaturas e relacionar as  Cédulas Rurais se necessário .</t>
        </r>
      </text>
    </comment>
    <comment ref="C44" authorId="0" shapeId="0" xr:uid="{00000000-0006-0000-0A00-000002000000}">
      <text>
        <r>
          <rPr>
            <b/>
            <sz val="10.5"/>
            <color indexed="10"/>
            <rFont val="Arial"/>
            <family val="2"/>
          </rPr>
          <t xml:space="preserve">Informar a data da assistência técnica.
</t>
        </r>
      </text>
    </comment>
    <comment ref="G44" authorId="0" shapeId="0" xr:uid="{00000000-0006-0000-0A00-000003000000}">
      <text>
        <r>
          <rPr>
            <b/>
            <sz val="10"/>
            <color indexed="10"/>
            <rFont val="Arial"/>
            <family val="2"/>
          </rPr>
          <t>Assinatura do técnico e Nº do Conselho ao qual pertence</t>
        </r>
      </text>
    </comment>
  </commentList>
</comments>
</file>

<file path=xl/sharedStrings.xml><?xml version="1.0" encoding="utf-8"?>
<sst xmlns="http://schemas.openxmlformats.org/spreadsheetml/2006/main" count="1857" uniqueCount="1236">
  <si>
    <r>
      <t>I</t>
    </r>
    <r>
      <rPr>
        <b/>
        <sz val="36"/>
        <color rgb="FF306631"/>
        <rFont val="Raavi"/>
        <family val="2"/>
      </rPr>
      <t>S</t>
    </r>
    <r>
      <rPr>
        <b/>
        <sz val="36"/>
        <color rgb="FF418B43"/>
        <rFont val="Raavi"/>
        <family val="2"/>
      </rPr>
      <t>A</t>
    </r>
  </si>
  <si>
    <t>INDICADORES DE SUSTENTABILIDADE EM AGROECOSSISTEMAS</t>
  </si>
  <si>
    <t>ISBN 978-85-99764-26-8</t>
  </si>
  <si>
    <t>QUESTIONÁRIO</t>
  </si>
  <si>
    <t>Preencher todos os campos em amarelo</t>
  </si>
  <si>
    <t>DATA DA ENTREVISTA</t>
  </si>
  <si>
    <t>IDENTIFICAÇÃO DO ENTREVISTADOR</t>
  </si>
  <si>
    <t>2.1 - Nome</t>
  </si>
  <si>
    <t>2.2 - CPF</t>
  </si>
  <si>
    <t>LOCALIZAÇÃO E IDENTIFICAÇÃO DO IMÓVEL RURAL</t>
  </si>
  <si>
    <t>3.1 - Coordenadas geográficas do imóvel rural - GPS</t>
  </si>
  <si>
    <t>Grau</t>
  </si>
  <si>
    <t>Minutos</t>
  </si>
  <si>
    <t>Segundos</t>
  </si>
  <si>
    <t>Latitude</t>
  </si>
  <si>
    <t>Longitude</t>
  </si>
  <si>
    <t>Altitude</t>
  </si>
  <si>
    <t>DATUM</t>
  </si>
  <si>
    <t>3.2 - Nome do município</t>
  </si>
  <si>
    <t>3.3 - Nome do curso d'água principal mais próximo da propriedade</t>
  </si>
  <si>
    <t>3.4 - Código do imóvel rural*</t>
  </si>
  <si>
    <r>
      <t xml:space="preserve">*1º </t>
    </r>
    <r>
      <rPr>
        <sz val="8"/>
        <rFont val="Arial"/>
        <family val="2"/>
      </rPr>
      <t>Unidade de Planejamento e Gestão de Recursos Hídricos UPGRH; 2º Código do município (IBGE); 3º Iniciais ou o nome do principal curso d'água; 4º Número do establecimento gerado pelo técnico; 5º ano da aplicação da planilha</t>
    </r>
  </si>
  <si>
    <t>IDENTIFICAÇÃO DO ENTREVISTADO</t>
  </si>
  <si>
    <t>4.1 - Nome</t>
  </si>
  <si>
    <t>4.2 - CPF</t>
  </si>
  <si>
    <t>POSSE DA TERRA</t>
  </si>
  <si>
    <t>marque as opções com x</t>
  </si>
  <si>
    <t>Proprietário</t>
  </si>
  <si>
    <t>Posseiro</t>
  </si>
  <si>
    <r>
      <t xml:space="preserve">Outros </t>
    </r>
    <r>
      <rPr>
        <sz val="9"/>
        <rFont val="Arial"/>
        <family val="2"/>
      </rPr>
      <t>(Arrendatário; Parceiro; Assentado; Reassentado; Cessionário)</t>
    </r>
  </si>
  <si>
    <t>PERFIL DO PRODUTOR</t>
  </si>
  <si>
    <t>Idade do proprietário</t>
  </si>
  <si>
    <t>DESCRIÇÃO DO IMÓVEL RURAL</t>
  </si>
  <si>
    <t>7.1 - Nome do imóvel rural</t>
  </si>
  <si>
    <t>7.2 - Descrição do(s) terreno(s) que compõe(m) o imóvel rural (lançar somente áreas contíguas = CAR)*</t>
  </si>
  <si>
    <t>Identificação dos locais</t>
  </si>
  <si>
    <t>Área (ha)</t>
  </si>
  <si>
    <t>Terreno 1</t>
  </si>
  <si>
    <t>Terreno 2</t>
  </si>
  <si>
    <t>Área total do imóvel rural</t>
  </si>
  <si>
    <t>Terreno (n)</t>
  </si>
  <si>
    <t>*Estas áreas serão objeto de adequação nesta planilha</t>
  </si>
  <si>
    <t>7.3 - Enquadramento do imóvel rural</t>
  </si>
  <si>
    <t>Módulos Fiscais</t>
  </si>
  <si>
    <t>Tamanho do módulo fiscal no município (ha)</t>
  </si>
  <si>
    <t>Caso afirmativo marque x</t>
  </si>
  <si>
    <t>Enquadramento como Agricultura Familiar</t>
  </si>
  <si>
    <t>7.4 - Descrição de outras áreas não contíguas ao imóvel rural e/ou áreas de arrendamento que integram a renda do produtor*</t>
  </si>
  <si>
    <t>*Estas áreas não serão objeto de adequação nesta planilha</t>
  </si>
  <si>
    <t>DESCRIÇÃO DOS FUNCIONÁRIOS/PARCERIAS</t>
  </si>
  <si>
    <t>Funcionários/parcerias</t>
  </si>
  <si>
    <t>Nº</t>
  </si>
  <si>
    <t>Permanentes</t>
  </si>
  <si>
    <t>Temporários</t>
  </si>
  <si>
    <r>
      <t xml:space="preserve">Meeiros </t>
    </r>
    <r>
      <rPr>
        <sz val="11"/>
        <color theme="1"/>
        <rFont val="Arial"/>
        <family val="2"/>
      </rPr>
      <t>(incluindo os familiares com vínculo direto com a produção)</t>
    </r>
  </si>
  <si>
    <t>Troca de serviço (mutirão)</t>
  </si>
  <si>
    <t>RESIDÊNCIAS NO IMÓVEL RURAL</t>
  </si>
  <si>
    <t>9.1 - Número de residências de familiares do produtor</t>
  </si>
  <si>
    <t>9.2 - Número de residências de funcionários e/ou meeiros</t>
  </si>
  <si>
    <t>USO E OCUPAÇÃO DO SOLO NO IMÓVEL RURAL</t>
  </si>
  <si>
    <t>10.1 - Especificações das áreas de produção no imóvel rural</t>
  </si>
  <si>
    <t>Lavouras permanentes</t>
  </si>
  <si>
    <t>Área      (ha)</t>
  </si>
  <si>
    <t xml:space="preserve">Lavouras temporárias </t>
  </si>
  <si>
    <t>Pastagens</t>
  </si>
  <si>
    <t xml:space="preserve">Silvicultura         </t>
  </si>
  <si>
    <r>
      <t xml:space="preserve">10.2 - </t>
    </r>
    <r>
      <rPr>
        <sz val="11"/>
        <color theme="1"/>
        <rFont val="Arial"/>
        <family val="2"/>
      </rPr>
      <t xml:space="preserve">Uso e ocupação do solo atual e </t>
    </r>
    <r>
      <rPr>
        <sz val="11"/>
        <color rgb="FFC00000"/>
        <rFont val="Arial"/>
        <family val="2"/>
      </rPr>
      <t>histórico</t>
    </r>
  </si>
  <si>
    <t>Descrição</t>
  </si>
  <si>
    <t xml:space="preserve">Uso atual Área (ha) </t>
  </si>
  <si>
    <t>proporção em relação a área total%</t>
  </si>
  <si>
    <t>Histórico Área(ha)</t>
  </si>
  <si>
    <t xml:space="preserve">                 </t>
  </si>
  <si>
    <t>Lavouras temporárias</t>
  </si>
  <si>
    <t>Silvicultura</t>
  </si>
  <si>
    <t>Pousio</t>
  </si>
  <si>
    <t>Área não agrícola</t>
  </si>
  <si>
    <t>Espelho d'água</t>
  </si>
  <si>
    <t>Vegetação nativa</t>
  </si>
  <si>
    <t>Outros</t>
  </si>
  <si>
    <t>Total</t>
  </si>
  <si>
    <r>
      <t xml:space="preserve">10.3 - </t>
    </r>
    <r>
      <rPr>
        <sz val="12"/>
        <color rgb="FFC00000"/>
        <rFont val="Arial"/>
        <family val="2"/>
      </rPr>
      <t>Referência valor histórico (anos)* =&gt;</t>
    </r>
  </si>
  <si>
    <t>*Mudar em caso de reaplicação da planilha por um período inferior ou superior a 4 anos</t>
  </si>
  <si>
    <t>RENDA BRUTA ESTIMADA DENTRO E FORA DO EMPREENDIMENTO RURAL</t>
  </si>
  <si>
    <r>
      <t xml:space="preserve">11.1 - Renda bruta </t>
    </r>
    <r>
      <rPr>
        <sz val="12"/>
        <color rgb="FFC00000"/>
        <rFont val="Arial"/>
        <family val="2"/>
      </rPr>
      <t>anual</t>
    </r>
    <r>
      <rPr>
        <sz val="12"/>
        <rFont val="Arial"/>
        <family val="2"/>
      </rPr>
      <t xml:space="preserve"> estimada (</t>
    </r>
    <r>
      <rPr>
        <sz val="12"/>
        <color rgb="FFC00000"/>
        <rFont val="Arial"/>
        <family val="2"/>
      </rPr>
      <t>proveniente do empreendimento rural</t>
    </r>
    <r>
      <rPr>
        <sz val="12"/>
        <rFont val="Arial"/>
        <family val="2"/>
      </rPr>
      <t>)</t>
    </r>
  </si>
  <si>
    <r>
      <t xml:space="preserve">Atividades/Produtos </t>
    </r>
    <r>
      <rPr>
        <sz val="10"/>
        <color theme="1"/>
        <rFont val="Arial"/>
        <family val="2"/>
      </rPr>
      <t>(</t>
    </r>
    <r>
      <rPr>
        <sz val="10"/>
        <color rgb="FFC00000"/>
        <rFont val="Arial"/>
        <family val="2"/>
      </rPr>
      <t>ordem decrescente de valores - R$</t>
    </r>
    <r>
      <rPr>
        <sz val="10"/>
        <color theme="1"/>
        <rFont val="Arial"/>
        <family val="2"/>
      </rPr>
      <t>)</t>
    </r>
  </si>
  <si>
    <r>
      <rPr>
        <sz val="12"/>
        <color theme="1"/>
        <rFont val="Arial"/>
        <family val="2"/>
      </rPr>
      <t xml:space="preserve">Valor </t>
    </r>
    <r>
      <rPr>
        <sz val="10"/>
        <color theme="1"/>
        <rFont val="Arial"/>
        <family val="2"/>
      </rPr>
      <t>estimado no ano (R$)</t>
    </r>
  </si>
  <si>
    <r>
      <t>11.2 - Renda bruta anual estimada (</t>
    </r>
    <r>
      <rPr>
        <sz val="12"/>
        <color rgb="FFC00000"/>
        <rFont val="Arial"/>
        <family val="2"/>
      </rPr>
      <t>fora do empreendimento rural</t>
    </r>
    <r>
      <rPr>
        <sz val="12"/>
        <rFont val="Arial"/>
        <family val="2"/>
      </rPr>
      <t>)</t>
    </r>
  </si>
  <si>
    <t>Pensão, aposentadoria, ajudas financeiras (bolsas e outros)*</t>
  </si>
  <si>
    <t>Outras atividades/prestação de serviços*</t>
  </si>
  <si>
    <t>*De todas as rendas das pessoas com vínculo direto com o estabelecimento</t>
  </si>
  <si>
    <t>AVALIAÇÃO DOS BENS DO IMÓVEL RURAL</t>
  </si>
  <si>
    <t>12.1 - Instalações e outras benfeitorias</t>
  </si>
  <si>
    <t>Descrição/ano da construção</t>
  </si>
  <si>
    <t>Valor atual</t>
  </si>
  <si>
    <t>Valor histórico*</t>
  </si>
  <si>
    <t>Depreciação vida útil 40 anos</t>
  </si>
  <si>
    <t>*4 anos atrás ou no período referente à última aplicação do ISA.</t>
  </si>
  <si>
    <t>12.2 - Máquinas e Equipamentos</t>
  </si>
  <si>
    <t>Descrição/ano de fabricação</t>
  </si>
  <si>
    <t>Depreciação vida útil 20 anos</t>
  </si>
  <si>
    <t>12.3 - Animais (semoventes)</t>
  </si>
  <si>
    <t>Atual</t>
  </si>
  <si>
    <t>Histórico*</t>
  </si>
  <si>
    <t>Quantidade</t>
  </si>
  <si>
    <t>Valor atual total</t>
  </si>
  <si>
    <t>Valor histórico total</t>
  </si>
  <si>
    <t>Touros</t>
  </si>
  <si>
    <t>Bois</t>
  </si>
  <si>
    <t>Vacas</t>
  </si>
  <si>
    <t>Tourinhos e/ou garrotes</t>
  </si>
  <si>
    <t>Novilhas</t>
  </si>
  <si>
    <t>Bezerros</t>
  </si>
  <si>
    <t>Bezerras</t>
  </si>
  <si>
    <t>Equinos</t>
  </si>
  <si>
    <t>Muares</t>
  </si>
  <si>
    <t>Suínos</t>
  </si>
  <si>
    <t>Caprinos / ovinos</t>
  </si>
  <si>
    <t>Aves</t>
  </si>
  <si>
    <t>Tipos de irrigação</t>
  </si>
  <si>
    <r>
      <t xml:space="preserve">12.4 - Irrigação </t>
    </r>
    <r>
      <rPr>
        <sz val="10"/>
        <rFont val="Arial"/>
        <family val="2"/>
      </rPr>
      <t>(caso afirmativo preencha os dados abaixo)</t>
    </r>
  </si>
  <si>
    <t>Histórico Área Total*</t>
  </si>
  <si>
    <t>Inundação</t>
  </si>
  <si>
    <t>Tipo</t>
  </si>
  <si>
    <t>Área total (ha)</t>
  </si>
  <si>
    <t>Sulcos</t>
  </si>
  <si>
    <t>Aspersão</t>
  </si>
  <si>
    <t>Pivô central</t>
  </si>
  <si>
    <t>Gotejamento/microaspersão</t>
  </si>
  <si>
    <t>Total (ha)</t>
  </si>
  <si>
    <t>ESTIMATIVA DO VALOR PATRIMONIAL DO IMÓVEL RURAL</t>
  </si>
  <si>
    <t>13.1 - Valor de referência da terra na região (R$/ha)</t>
  </si>
  <si>
    <t xml:space="preserve">13.2 - Histórico* - Valor da terra na região </t>
  </si>
  <si>
    <t xml:space="preserve">Histórico* </t>
  </si>
  <si>
    <t>13.3 - Valor total estimado do imóvel rural**</t>
  </si>
  <si>
    <t>** (Somatória de benfeitorias, máquinas, equipamentos, animais e valor da terra)</t>
  </si>
  <si>
    <t>RECURSOS HÍDRICOS</t>
  </si>
  <si>
    <t>14.1 - Número de nascentes e olhos d'água perenes no imóvel rural*</t>
  </si>
  <si>
    <t>* Afloramento natural do lençol freático que apresenta perenidade e dá início a um curso d'água</t>
  </si>
  <si>
    <t>14.2 - Número de lagos e lagoas naturais no imóvel rural</t>
  </si>
  <si>
    <t>14.3 - Número de represas no imóvel rural</t>
  </si>
  <si>
    <t>14.4 - Número de cursos d´água no imóvel rural</t>
  </si>
  <si>
    <t>14.5 - Fonte de água utilizada no estabelecimento:</t>
  </si>
  <si>
    <t>Superficial</t>
  </si>
  <si>
    <t>x</t>
  </si>
  <si>
    <t>Subterrânea*</t>
  </si>
  <si>
    <t>* Nascentes, cisternas, poço tubular (artesiano)</t>
  </si>
  <si>
    <t>14.6 - Problemas de disponibilidade de água (para consumo humano e atividades)*</t>
  </si>
  <si>
    <t>caso afirmativo marque x</t>
  </si>
  <si>
    <t>Especificar</t>
  </si>
  <si>
    <t>*Problemas relacionados à quantidade e à qualidade da água</t>
  </si>
  <si>
    <t>RESÍDUOS E EFLUENTES GERADOS NO IMÓVEL RURAL</t>
  </si>
  <si>
    <t>15.1 - Destino do esgoto gerado nas residências</t>
  </si>
  <si>
    <t>Fossa seca ou rudimentar</t>
  </si>
  <si>
    <t>Fossa séptica</t>
  </si>
  <si>
    <t>Rede de esgoto</t>
  </si>
  <si>
    <t>Joga direto no curso d´água</t>
  </si>
  <si>
    <t>Céu aberto</t>
  </si>
  <si>
    <t>15.2 - Destino do lixo (doméstico e das atividades)</t>
  </si>
  <si>
    <t>Queimado</t>
  </si>
  <si>
    <t>Descartado no rio/vegetação nativa</t>
  </si>
  <si>
    <t>Enterrado no estabelecimento</t>
  </si>
  <si>
    <t>Coletado pela  Prefeitura</t>
  </si>
  <si>
    <t>REGULARIZAÇÃO AMBIENTAL DO IMÓVEL RURAL</t>
  </si>
  <si>
    <t>16.1 - Possui regularização do uso da água (outorga ou uso insignificante)</t>
  </si>
  <si>
    <t>caso afirmativo marque  x</t>
  </si>
  <si>
    <t>Outorga; ou cadastro de uso insignificante; ou cadastro na campanha "água: faça uso legal"; ou cadastro de pequeno núcleo populacional rural.</t>
  </si>
  <si>
    <t xml:space="preserve">16.2 - Possui licenciamento ambiental ou certidão de não passível ou AAF </t>
  </si>
  <si>
    <t>Certidão de não passível (dispensa de licenciamento), Autorização Ambiental de Funcionamento (AAF), Licenciamento Ambiental.</t>
  </si>
  <si>
    <t>16.3 - Possui regularização da Reserva Legal e das Áreas de Preservação Permanente</t>
  </si>
  <si>
    <t>Cadastro Ambiental Rural - CAR.</t>
  </si>
  <si>
    <t>PONTOS CRÍTICOS DO EMPREENDIMENTO</t>
  </si>
  <si>
    <t>Descrição dos principais problemas enfrentados pelo produtor dentro e fora do empreendimento</t>
  </si>
  <si>
    <t>AVALIAÇÃO DA QUALIDADE DA ÁGUA NO IMÓVEL RURAL</t>
  </si>
  <si>
    <t>Avaliação dos ecossistemas aquáticos nos trechos de coleta de amostras de água*</t>
  </si>
  <si>
    <r>
      <t>*</t>
    </r>
    <r>
      <rPr>
        <sz val="7"/>
        <rFont val="Arial"/>
        <family val="2"/>
      </rPr>
      <t>Adaptação CALLISTO et al., 2002 - Aplicação de um protocolo de avaliação rápida de habitats em atividades de ensino e pesquisa.</t>
    </r>
  </si>
  <si>
    <r>
      <t xml:space="preserve">marque somente uma opção com </t>
    </r>
    <r>
      <rPr>
        <b/>
        <sz val="9"/>
        <color rgb="FFC00000"/>
        <rFont val="Arial"/>
        <family val="2"/>
      </rPr>
      <t>x</t>
    </r>
    <r>
      <rPr>
        <sz val="9"/>
        <color rgb="FFC00000"/>
        <rFont val="Arial"/>
        <family val="2"/>
      </rPr>
      <t xml:space="preserve"> em cada linha</t>
    </r>
  </si>
  <si>
    <t>Descrição do ponto</t>
  </si>
  <si>
    <t>Pastagem; agricultura; reflorestamento</t>
  </si>
  <si>
    <t>Residencial; comercial; industrial</t>
  </si>
  <si>
    <t>Fator de ponderação</t>
  </si>
  <si>
    <t>18.1 Tipo de ocupação das margens do corpo d'água (principal atividade)</t>
  </si>
  <si>
    <t>Montante</t>
  </si>
  <si>
    <t>Jusante</t>
  </si>
  <si>
    <t>Ausente</t>
  </si>
  <si>
    <t>Alterações de origem doméstica (esgoto, lixo)</t>
  </si>
  <si>
    <t>Industrial; agroindustrial; urbana (canalização do curso do rio)</t>
  </si>
  <si>
    <t>18.2 Alterações antrópicas</t>
  </si>
  <si>
    <t>Parcial</t>
  </si>
  <si>
    <t>18.3 Sombreamento a partir da cobertura vegetal no leito (a partir das margens)</t>
  </si>
  <si>
    <t>Moderada</t>
  </si>
  <si>
    <t>Acentuada</t>
  </si>
  <si>
    <t>18.4 Erosão próxima e/ou nas margens do corpo d'água e assoreamento em seu leito</t>
  </si>
  <si>
    <t>Transparente</t>
  </si>
  <si>
    <t>Turva, cor de chá forte</t>
  </si>
  <si>
    <t>Opaca ou colorida</t>
  </si>
  <si>
    <t>18.5 Transparência da água</t>
  </si>
  <si>
    <t>Nenhum</t>
  </si>
  <si>
    <t>Esgoto (ovo podre)</t>
  </si>
  <si>
    <t>Óleo/Industrial</t>
  </si>
  <si>
    <t>18.6 Odor da água</t>
  </si>
  <si>
    <t>Abundante</t>
  </si>
  <si>
    <t>18.7 Oleosidade da água</t>
  </si>
  <si>
    <t>18.8 Odor do sedimento (fundo)</t>
  </si>
  <si>
    <t>18.9 Oleosidade do sedimento (fundo)</t>
  </si>
  <si>
    <t>Pedras/ cascalho</t>
  </si>
  <si>
    <t>Lama/areia</t>
  </si>
  <si>
    <t>Cimento/ canalizado</t>
  </si>
  <si>
    <t>18.10 Tipo de fundo</t>
  </si>
  <si>
    <r>
      <t xml:space="preserve">Pontuação de cada trecho </t>
    </r>
    <r>
      <rPr>
        <sz val="10"/>
        <color theme="1"/>
        <rFont val="Arial"/>
        <family val="2"/>
      </rPr>
      <t>(0 a 100)</t>
    </r>
  </si>
  <si>
    <t>P1 M</t>
  </si>
  <si>
    <t>P1 J</t>
  </si>
  <si>
    <r>
      <t>ATIVIDADE PECUÁRIA (</t>
    </r>
    <r>
      <rPr>
        <b/>
        <sz val="12"/>
        <color rgb="FFC00000"/>
        <rFont val="Arial"/>
        <family val="2"/>
      </rPr>
      <t>opcional</t>
    </r>
    <r>
      <rPr>
        <sz val="12"/>
        <color theme="1"/>
        <rFont val="Arial"/>
        <family val="2"/>
      </rPr>
      <t>)</t>
    </r>
  </si>
  <si>
    <r>
      <t xml:space="preserve">19.1 - Utiliza </t>
    </r>
    <r>
      <rPr>
        <sz val="11"/>
        <color rgb="FFC00000"/>
        <rFont val="Arial"/>
        <family val="2"/>
      </rPr>
      <t>pastagens plantadas</t>
    </r>
    <r>
      <rPr>
        <sz val="11"/>
        <rFont val="Arial"/>
        <family val="2"/>
      </rPr>
      <t xml:space="preserve"> para a atividade pecuária</t>
    </r>
  </si>
  <si>
    <r>
      <t xml:space="preserve">Estimativa da área, considerando áreas próprias e arrendadas </t>
    </r>
    <r>
      <rPr>
        <sz val="10"/>
        <color rgb="FFC00000"/>
        <rFont val="Arial"/>
        <family val="2"/>
      </rPr>
      <t>(ha)</t>
    </r>
  </si>
  <si>
    <t>Total de UA (Unidade Animal) do empreendimento - item 12.3 =&gt;</t>
  </si>
  <si>
    <t>Estimativa da taxa média de lotação das áreas com pastagem</t>
  </si>
  <si>
    <r>
      <t>Proporção das</t>
    </r>
    <r>
      <rPr>
        <sz val="10"/>
        <color rgb="FFC00000"/>
        <rFont val="Arial"/>
        <family val="2"/>
      </rPr>
      <t xml:space="preserve"> pastagens no imóvel rural </t>
    </r>
    <r>
      <rPr>
        <sz val="10"/>
        <color theme="1"/>
        <rFont val="Arial"/>
        <family val="2"/>
      </rPr>
      <t xml:space="preserve">que apresentam </t>
    </r>
    <r>
      <rPr>
        <sz val="10"/>
        <color rgb="FFC00000"/>
        <rFont val="Arial"/>
        <family val="2"/>
      </rPr>
      <t>processo de  degradação</t>
    </r>
    <r>
      <rPr>
        <sz val="10"/>
        <color theme="1"/>
        <rFont val="Arial"/>
        <family val="2"/>
      </rPr>
      <t xml:space="preserve"> </t>
    </r>
    <r>
      <rPr>
        <sz val="10"/>
        <color rgb="FFC00000"/>
        <rFont val="Arial"/>
        <family val="2"/>
      </rPr>
      <t>dos solos e baixa capacidade de suporte de animais</t>
    </r>
    <r>
      <rPr>
        <sz val="10"/>
        <color rgb="FFC00000"/>
        <rFont val="Arial"/>
        <family val="2"/>
      </rPr>
      <t xml:space="preserve"> (%)</t>
    </r>
  </si>
  <si>
    <r>
      <t>ADUBAÇÃO NITROGENADA NA LAVOURA DE MILHO (</t>
    </r>
    <r>
      <rPr>
        <b/>
        <sz val="12"/>
        <color rgb="FFC00000"/>
        <rFont val="Arial"/>
        <family val="2"/>
      </rPr>
      <t>opcional</t>
    </r>
    <r>
      <rPr>
        <sz val="12"/>
        <color theme="1"/>
        <rFont val="Arial"/>
        <family val="2"/>
      </rPr>
      <t>)</t>
    </r>
  </si>
  <si>
    <r>
      <t xml:space="preserve">20.1 - Possui lavoura de </t>
    </r>
    <r>
      <rPr>
        <sz val="11"/>
        <color rgb="FFC00000"/>
        <rFont val="Arial"/>
        <family val="2"/>
      </rPr>
      <t>milho</t>
    </r>
    <r>
      <rPr>
        <sz val="11"/>
        <rFont val="Arial"/>
        <family val="2"/>
      </rPr>
      <t xml:space="preserve"> para </t>
    </r>
    <r>
      <rPr>
        <sz val="11"/>
        <color rgb="FFC00000"/>
        <rFont val="Arial"/>
        <family val="2"/>
      </rPr>
      <t>produção de grãos</t>
    </r>
  </si>
  <si>
    <r>
      <t xml:space="preserve">Estimativa da área </t>
    </r>
    <r>
      <rPr>
        <sz val="11"/>
        <color rgb="FFC00000"/>
        <rFont val="Arial"/>
        <family val="2"/>
      </rPr>
      <t>(ha)</t>
    </r>
  </si>
  <si>
    <r>
      <t xml:space="preserve">20.2 - Possui lavoura de </t>
    </r>
    <r>
      <rPr>
        <sz val="11"/>
        <color rgb="FFC00000"/>
        <rFont val="Arial"/>
        <family val="2"/>
      </rPr>
      <t>milho</t>
    </r>
    <r>
      <rPr>
        <sz val="11"/>
        <rFont val="Arial"/>
        <family val="2"/>
      </rPr>
      <t xml:space="preserve"> para </t>
    </r>
    <r>
      <rPr>
        <sz val="11"/>
        <color rgb="FFC00000"/>
        <rFont val="Arial"/>
        <family val="2"/>
      </rPr>
      <t>produção de silagem</t>
    </r>
  </si>
  <si>
    <r>
      <t>Estimativa da área</t>
    </r>
    <r>
      <rPr>
        <sz val="11"/>
        <color rgb="FFC00000"/>
        <rFont val="Arial"/>
        <family val="2"/>
      </rPr>
      <t xml:space="preserve"> (ha)</t>
    </r>
  </si>
  <si>
    <r>
      <t xml:space="preserve">20.3 - Estimativa da </t>
    </r>
    <r>
      <rPr>
        <sz val="11"/>
        <color rgb="FFC00000"/>
        <rFont val="Arial"/>
        <family val="2"/>
      </rPr>
      <t>adubação nitrogenada</t>
    </r>
    <r>
      <rPr>
        <sz val="11"/>
        <rFont val="Arial"/>
        <family val="2"/>
      </rPr>
      <t xml:space="preserve"> para a lavoura de milho (</t>
    </r>
    <r>
      <rPr>
        <sz val="11"/>
        <color rgb="FFC00000"/>
        <rFont val="Arial"/>
        <family val="2"/>
      </rPr>
      <t>kg de N/ha</t>
    </r>
    <r>
      <rPr>
        <sz val="11"/>
        <rFont val="Arial"/>
        <family val="2"/>
      </rPr>
      <t>)*</t>
    </r>
  </si>
  <si>
    <t>*Considerar apenas os adubos nitrogenados solúveis (NPK, ureia, sulfato de amônia, etc.)</t>
  </si>
  <si>
    <r>
      <t xml:space="preserve">20.4 - </t>
    </r>
    <r>
      <rPr>
        <sz val="11"/>
        <color rgb="FFC00000"/>
        <rFont val="Arial"/>
        <family val="2"/>
      </rPr>
      <t xml:space="preserve">Produtividade </t>
    </r>
    <r>
      <rPr>
        <sz val="11"/>
        <rFont val="Arial"/>
        <family val="2"/>
      </rPr>
      <t>da lavoura de milho para grãos (</t>
    </r>
    <r>
      <rPr>
        <sz val="11"/>
        <color rgb="FFC00000"/>
        <rFont val="Arial"/>
        <family val="2"/>
      </rPr>
      <t>sc/ha</t>
    </r>
    <r>
      <rPr>
        <sz val="11"/>
        <rFont val="Arial"/>
        <family val="2"/>
      </rPr>
      <t>)*</t>
    </r>
  </si>
  <si>
    <r>
      <t xml:space="preserve">Estimativa da </t>
    </r>
    <r>
      <rPr>
        <sz val="11"/>
        <color rgb="FFC00000"/>
        <rFont val="Arial"/>
        <family val="2"/>
      </rPr>
      <t>relação</t>
    </r>
    <r>
      <rPr>
        <sz val="11"/>
        <color theme="1"/>
        <rFont val="Arial"/>
        <family val="2"/>
      </rPr>
      <t>:</t>
    </r>
    <r>
      <rPr>
        <sz val="11"/>
        <color rgb="FFC00000"/>
        <rFont val="Arial"/>
        <family val="2"/>
      </rPr>
      <t xml:space="preserve"> sc milho</t>
    </r>
    <r>
      <rPr>
        <sz val="11"/>
        <color theme="1"/>
        <rFont val="Arial"/>
        <family val="2"/>
      </rPr>
      <t xml:space="preserve"> produzido (60 Kg)/</t>
    </r>
    <r>
      <rPr>
        <sz val="11"/>
        <rFont val="Arial"/>
        <family val="2"/>
      </rPr>
      <t>kg de N</t>
    </r>
    <r>
      <rPr>
        <sz val="11"/>
        <color theme="1"/>
        <rFont val="Arial"/>
        <family val="2"/>
      </rPr>
      <t xml:space="preserve"> via adubação/</t>
    </r>
    <r>
      <rPr>
        <sz val="11"/>
        <rFont val="Arial"/>
        <family val="2"/>
      </rPr>
      <t xml:space="preserve">ha </t>
    </r>
  </si>
  <si>
    <r>
      <t xml:space="preserve">20.5 - </t>
    </r>
    <r>
      <rPr>
        <sz val="11"/>
        <color rgb="FFC00000"/>
        <rFont val="Arial"/>
        <family val="2"/>
      </rPr>
      <t>Produtividade</t>
    </r>
    <r>
      <rPr>
        <sz val="11"/>
        <rFont val="Arial"/>
        <family val="2"/>
      </rPr>
      <t xml:space="preserve"> da lavoura de milho para silagem (</t>
    </r>
    <r>
      <rPr>
        <sz val="11"/>
        <color rgb="FFC00000"/>
        <rFont val="Arial"/>
        <family val="2"/>
      </rPr>
      <t>t/ha</t>
    </r>
    <r>
      <rPr>
        <sz val="11"/>
        <rFont val="Arial"/>
        <family val="2"/>
      </rPr>
      <t>)*</t>
    </r>
  </si>
  <si>
    <r>
      <t xml:space="preserve">Estimativa da </t>
    </r>
    <r>
      <rPr>
        <sz val="11"/>
        <color rgb="FFC00000"/>
        <rFont val="Arial"/>
        <family val="2"/>
      </rPr>
      <t>relação</t>
    </r>
    <r>
      <rPr>
        <sz val="11"/>
        <color theme="1"/>
        <rFont val="Arial"/>
        <family val="2"/>
      </rPr>
      <t xml:space="preserve">: </t>
    </r>
    <r>
      <rPr>
        <sz val="11"/>
        <color rgb="FFC00000"/>
        <rFont val="Arial"/>
        <family val="2"/>
      </rPr>
      <t>tonelada (t)</t>
    </r>
    <r>
      <rPr>
        <sz val="11"/>
        <color theme="1"/>
        <rFont val="Arial"/>
        <family val="2"/>
      </rPr>
      <t xml:space="preserve"> </t>
    </r>
    <r>
      <rPr>
        <sz val="11"/>
        <color rgb="FFC00000"/>
        <rFont val="Arial"/>
        <family val="2"/>
      </rPr>
      <t>de milho</t>
    </r>
    <r>
      <rPr>
        <sz val="11"/>
        <color theme="1"/>
        <rFont val="Arial"/>
        <family val="2"/>
      </rPr>
      <t xml:space="preserve"> produzido (</t>
    </r>
    <r>
      <rPr>
        <sz val="11"/>
        <color rgb="FFC00000"/>
        <rFont val="Arial"/>
        <family val="2"/>
      </rPr>
      <t>silagem</t>
    </r>
    <r>
      <rPr>
        <sz val="11"/>
        <color theme="1"/>
        <rFont val="Arial"/>
        <family val="2"/>
      </rPr>
      <t>)/</t>
    </r>
    <r>
      <rPr>
        <sz val="11"/>
        <rFont val="Arial"/>
        <family val="2"/>
      </rPr>
      <t xml:space="preserve">kg de N via adubação/ha </t>
    </r>
  </si>
  <si>
    <t xml:space="preserve">    GEOPROCESSAMENTO</t>
  </si>
  <si>
    <t>CROQUI DO IMÓVEL RURAL</t>
  </si>
  <si>
    <r>
      <t xml:space="preserve">2.1 - </t>
    </r>
    <r>
      <rPr>
        <sz val="10"/>
        <color rgb="FFC00000"/>
        <rFont val="Arial"/>
        <family val="2"/>
      </rPr>
      <t>Uso e ocupação do solo conforme croqui do CAR</t>
    </r>
  </si>
  <si>
    <t xml:space="preserve">Área (ha) </t>
  </si>
  <si>
    <t>Lavouras/Pastagem/Silvicultura/área não agrícola*</t>
  </si>
  <si>
    <t>Área de pousio</t>
  </si>
  <si>
    <t>Espelho d'água (reservatórios) e cursos d'água</t>
  </si>
  <si>
    <t>Remanescente de Vegetação Nativa</t>
  </si>
  <si>
    <t>* Correspondente ou não ao  uso consolidado no CAR</t>
  </si>
  <si>
    <t>ÁREA TOTAL</t>
  </si>
  <si>
    <t>Diferença entre a área gerada no questionário e no geoprocessamento</t>
  </si>
  <si>
    <r>
      <rPr>
        <sz val="10"/>
        <color theme="1"/>
        <rFont val="Arial"/>
        <family val="2"/>
      </rPr>
      <t xml:space="preserve">2.2 - </t>
    </r>
    <r>
      <rPr>
        <sz val="10"/>
        <color rgb="FFC00000"/>
        <rFont val="Arial"/>
        <family val="2"/>
      </rPr>
      <t>Servidão administrativa</t>
    </r>
    <r>
      <rPr>
        <sz val="11"/>
        <color theme="1"/>
        <rFont val="Arial"/>
        <family val="2"/>
      </rPr>
      <t>*</t>
    </r>
  </si>
  <si>
    <t>* Área de Infraestrutura Pública; Área de Utilidade Pública; Reservatório para Abastecimento ou Geração de Energia; Entorno de Reservatório para Abastecimento ou Geração de Energia</t>
  </si>
  <si>
    <t>ÁREAS DE PRESERVAÇÃO PERMANENTE (APPs) NO IMÓVEL RURAL</t>
  </si>
  <si>
    <r>
      <t xml:space="preserve">3.1 - </t>
    </r>
    <r>
      <rPr>
        <sz val="10"/>
        <color rgb="FFC00000"/>
        <rFont val="Arial"/>
        <family val="2"/>
      </rPr>
      <t>APPs úmidas* e secas**</t>
    </r>
  </si>
  <si>
    <t>%</t>
  </si>
  <si>
    <t>APPs úmidas</t>
  </si>
  <si>
    <t>APPs secas</t>
  </si>
  <si>
    <t>TOTAL</t>
  </si>
  <si>
    <t>*Recursos hídricos naturais (nascentes, cursos d'água, veredas e lagos e lagoas naturais) e reservatórios.</t>
  </si>
  <si>
    <t>** Topo de Morro; Áreas de declividade acima de 45 graus; Borda de chapadas; Altitude acima de 1.800 metros.</t>
  </si>
  <si>
    <r>
      <t xml:space="preserve">3.2 - </t>
    </r>
    <r>
      <rPr>
        <sz val="10"/>
        <color rgb="FFC00000"/>
        <rFont val="Arial"/>
        <family val="2"/>
      </rPr>
      <t>Uso do solo nas APPs</t>
    </r>
  </si>
  <si>
    <t>proporção em relação a área total (%)</t>
  </si>
  <si>
    <t>Área a ser recuperada*</t>
  </si>
  <si>
    <t>Área de uso consolidado</t>
  </si>
  <si>
    <t>*Área a ser recuperada para imóveis até 4MF</t>
  </si>
  <si>
    <t>REMANESCENTES DE VEGETAÇÃO NATIVA NO IMÓVEL RURAL</t>
  </si>
  <si>
    <r>
      <rPr>
        <sz val="10"/>
        <rFont val="Arial"/>
        <family val="2"/>
      </rPr>
      <t xml:space="preserve">4.1 - </t>
    </r>
    <r>
      <rPr>
        <sz val="10"/>
        <color rgb="FFC00000"/>
        <rFont val="Arial"/>
        <family val="2"/>
      </rPr>
      <t>Vegetação nativa fora das APPs</t>
    </r>
  </si>
  <si>
    <t>Área de vegetação nativa (ha)</t>
  </si>
  <si>
    <r>
      <rPr>
        <sz val="10"/>
        <rFont val="Arial"/>
        <family val="2"/>
      </rPr>
      <t xml:space="preserve">4.2 - </t>
    </r>
    <r>
      <rPr>
        <sz val="10"/>
        <color rgb="FFC00000"/>
        <rFont val="Arial"/>
        <family val="2"/>
      </rPr>
      <t>Área com vegetação nativa excedente à area exigida para RL no imóvel rural</t>
    </r>
  </si>
  <si>
    <t>* Áreas com declividade entre 25 e 45 graus.</t>
  </si>
  <si>
    <t>INDICADORES</t>
  </si>
  <si>
    <t>ÍNDICES DE PRODUTIVIDADE E PREÇOS DE VENDA APURADOS</t>
  </si>
  <si>
    <t xml:space="preserve">Fator de ponderação (para produtividade e preço de venda) </t>
  </si>
  <si>
    <t>Principais atividades do estabelecimento</t>
  </si>
  <si>
    <r>
      <rPr>
        <sz val="10"/>
        <rFont val="Arial"/>
        <family val="2"/>
      </rPr>
      <t>1.1 -</t>
    </r>
    <r>
      <rPr>
        <sz val="12"/>
        <rFont val="Arial"/>
        <family val="2"/>
      </rPr>
      <t xml:space="preserve"> </t>
    </r>
    <r>
      <rPr>
        <sz val="11"/>
        <color rgb="FFC00000"/>
        <rFont val="Arial"/>
        <family val="2"/>
      </rPr>
      <t>Descrição das atividades</t>
    </r>
  </si>
  <si>
    <r>
      <rPr>
        <sz val="10"/>
        <rFont val="Arial"/>
        <family val="2"/>
      </rPr>
      <t>1.2 -</t>
    </r>
    <r>
      <rPr>
        <sz val="12"/>
        <rFont val="Arial"/>
        <family val="2"/>
      </rPr>
      <t xml:space="preserve"> </t>
    </r>
    <r>
      <rPr>
        <sz val="11"/>
        <color rgb="FFC00000"/>
        <rFont val="Arial"/>
        <family val="2"/>
      </rPr>
      <t>Unidades de medida</t>
    </r>
  </si>
  <si>
    <t>&gt; 20%</t>
  </si>
  <si>
    <r>
      <rPr>
        <sz val="10"/>
        <rFont val="Arial"/>
        <family val="2"/>
      </rPr>
      <t>1.3 -</t>
    </r>
    <r>
      <rPr>
        <sz val="12"/>
        <rFont val="Arial"/>
        <family val="2"/>
      </rPr>
      <t xml:space="preserve"> </t>
    </r>
    <r>
      <rPr>
        <sz val="11"/>
        <rFont val="Arial"/>
        <family val="2"/>
      </rPr>
      <t>Produtividade média atual</t>
    </r>
  </si>
  <si>
    <t>produção ou preço de venda = ao regional</t>
  </si>
  <si>
    <r>
      <rPr>
        <sz val="10"/>
        <rFont val="Arial"/>
        <family val="2"/>
      </rPr>
      <t>1.4 -</t>
    </r>
    <r>
      <rPr>
        <sz val="12"/>
        <rFont val="Arial"/>
        <family val="2"/>
      </rPr>
      <t xml:space="preserve"> </t>
    </r>
    <r>
      <rPr>
        <sz val="11"/>
        <rFont val="Arial"/>
        <family val="2"/>
      </rPr>
      <t>Preço médio de venda  (</t>
    </r>
    <r>
      <rPr>
        <sz val="11"/>
        <color rgb="FFC00000"/>
        <rFont val="Arial"/>
        <family val="2"/>
      </rPr>
      <t>R$/un</t>
    </r>
    <r>
      <rPr>
        <sz val="11"/>
        <rFont val="Arial"/>
        <family val="2"/>
      </rPr>
      <t>.)</t>
    </r>
  </si>
  <si>
    <r>
      <rPr>
        <sz val="10"/>
        <rFont val="Arial"/>
        <family val="2"/>
      </rPr>
      <t>1.5 -</t>
    </r>
    <r>
      <rPr>
        <sz val="12"/>
        <rFont val="Arial"/>
        <family val="2"/>
      </rPr>
      <t xml:space="preserve"> </t>
    </r>
    <r>
      <rPr>
        <sz val="11"/>
        <rFont val="Arial"/>
        <family val="2"/>
      </rPr>
      <t>Produtividade média na região*</t>
    </r>
  </si>
  <si>
    <t>&lt; 20%</t>
  </si>
  <si>
    <r>
      <rPr>
        <sz val="10"/>
        <rFont val="Arial"/>
        <family val="2"/>
      </rPr>
      <t>1.6 -</t>
    </r>
    <r>
      <rPr>
        <sz val="12"/>
        <rFont val="Arial"/>
        <family val="2"/>
      </rPr>
      <t xml:space="preserve"> </t>
    </r>
    <r>
      <rPr>
        <sz val="11"/>
        <rFont val="Arial"/>
        <family val="2"/>
      </rPr>
      <t>Média de preço da região (</t>
    </r>
    <r>
      <rPr>
        <sz val="11"/>
        <color rgb="FFC00000"/>
        <rFont val="Arial"/>
        <family val="2"/>
      </rPr>
      <t>R$/un</t>
    </r>
    <r>
      <rPr>
        <sz val="11"/>
        <rFont val="Arial"/>
        <family val="2"/>
      </rPr>
      <t>.)*</t>
    </r>
  </si>
  <si>
    <t>&lt; 40%</t>
  </si>
  <si>
    <t>* Base de dados  - Cooperativa no município, Emater, IBGE, etc.</t>
  </si>
  <si>
    <t>Resultado</t>
  </si>
  <si>
    <t>Referência -  Depontti (2001); Correa (2007); Mattos Filho (2004); Lopez e Ridaura (2001).</t>
  </si>
  <si>
    <t>DIVERSIDADE DE RENDA</t>
  </si>
  <si>
    <t>Proporção da renda (%)</t>
  </si>
  <si>
    <t>Das pessoas com vínculo direto com as atividades do empreendimento rural</t>
  </si>
  <si>
    <r>
      <rPr>
        <sz val="10"/>
        <rFont val="Arial"/>
        <family val="2"/>
      </rPr>
      <t>2.1 -</t>
    </r>
    <r>
      <rPr>
        <sz val="12"/>
        <rFont val="Arial"/>
        <family val="2"/>
      </rPr>
      <t xml:space="preserve"> </t>
    </r>
    <r>
      <rPr>
        <sz val="11"/>
        <rFont val="Arial"/>
        <family val="2"/>
      </rPr>
      <t>Atividades agrícolas, pecuárias e florestais</t>
    </r>
  </si>
  <si>
    <r>
      <rPr>
        <sz val="10"/>
        <rFont val="Arial"/>
        <family val="2"/>
      </rPr>
      <t>2.2 -</t>
    </r>
    <r>
      <rPr>
        <sz val="12"/>
        <rFont val="Arial"/>
        <family val="2"/>
      </rPr>
      <t xml:space="preserve"> </t>
    </r>
    <r>
      <rPr>
        <sz val="11"/>
        <rFont val="Arial"/>
        <family val="2"/>
      </rPr>
      <t>Outras atividades no estabelecimento: turismo, artesanato, agroindústria</t>
    </r>
  </si>
  <si>
    <r>
      <rPr>
        <sz val="10"/>
        <rFont val="Arial"/>
        <family val="2"/>
      </rPr>
      <t>2.3 -</t>
    </r>
    <r>
      <rPr>
        <sz val="11"/>
        <rFont val="Arial"/>
        <family val="2"/>
      </rPr>
      <t xml:space="preserve"> Outras atividades fora do estabelecimento</t>
    </r>
  </si>
  <si>
    <r>
      <rPr>
        <sz val="10"/>
        <rFont val="Arial"/>
        <family val="2"/>
      </rPr>
      <t>2.4 -</t>
    </r>
    <r>
      <rPr>
        <sz val="12"/>
        <rFont val="Arial"/>
        <family val="2"/>
      </rPr>
      <t xml:space="preserve"> </t>
    </r>
    <r>
      <rPr>
        <sz val="11"/>
        <rFont val="Arial"/>
        <family val="2"/>
      </rPr>
      <t>Aposentadoria; Pensão; Ajuda Financeira; Outras fontes de renda</t>
    </r>
  </si>
  <si>
    <r>
      <rPr>
        <sz val="10"/>
        <rFont val="Arial"/>
        <family val="2"/>
      </rPr>
      <t>2.5 -</t>
    </r>
    <r>
      <rPr>
        <sz val="12"/>
        <rFont val="Arial"/>
        <family val="2"/>
      </rPr>
      <t xml:space="preserve"> </t>
    </r>
    <r>
      <rPr>
        <sz val="11"/>
        <rFont val="Arial"/>
        <family val="2"/>
      </rPr>
      <t xml:space="preserve">Verificação - ocorrência de concentração da renda agropecuária em uma única atividade </t>
    </r>
    <r>
      <rPr>
        <sz val="10"/>
        <rFont val="Arial"/>
        <family val="2"/>
      </rPr>
      <t>(&gt; 80% da renda total apurada dentro e fora do empreendimento rural)</t>
    </r>
  </si>
  <si>
    <t>Verificação da proporção de renda</t>
  </si>
  <si>
    <t>Adaptação APOIA-NovoRural (Rodrigues et al, 2003), também sugerido por Depontti (2001).</t>
  </si>
  <si>
    <t>EVOLUÇÃO PATRIMONIAL DO IMÓVEL RURAL</t>
  </si>
  <si>
    <t>Evolução no período (%)</t>
  </si>
  <si>
    <t>Considera o período histórico (4 anos) ou o período entre a última avaliação</t>
  </si>
  <si>
    <t>Fator externo</t>
  </si>
  <si>
    <r>
      <rPr>
        <sz val="10"/>
        <rFont val="Arial"/>
        <family val="2"/>
      </rPr>
      <t>3.1 -</t>
    </r>
    <r>
      <rPr>
        <sz val="12"/>
        <rFont val="Arial"/>
        <family val="2"/>
      </rPr>
      <t xml:space="preserve"> </t>
    </r>
    <r>
      <rPr>
        <sz val="11"/>
        <rFont val="Arial"/>
        <family val="2"/>
      </rPr>
      <t>Valor da terra na região</t>
    </r>
  </si>
  <si>
    <t>Fatores internos em relação ao imóvel rural</t>
  </si>
  <si>
    <r>
      <rPr>
        <sz val="10"/>
        <rFont val="Arial"/>
        <family val="2"/>
      </rPr>
      <t>3.2 -</t>
    </r>
    <r>
      <rPr>
        <sz val="12"/>
        <rFont val="Arial"/>
        <family val="2"/>
      </rPr>
      <t xml:space="preserve"> </t>
    </r>
    <r>
      <rPr>
        <sz val="11"/>
        <rFont val="Arial"/>
        <family val="2"/>
      </rPr>
      <t>Benfeitorias</t>
    </r>
  </si>
  <si>
    <r>
      <rPr>
        <sz val="10"/>
        <rFont val="Arial"/>
        <family val="2"/>
      </rPr>
      <t xml:space="preserve">3.3 - </t>
    </r>
    <r>
      <rPr>
        <sz val="11"/>
        <rFont val="Arial"/>
        <family val="2"/>
      </rPr>
      <t>Equipamentos</t>
    </r>
  </si>
  <si>
    <r>
      <rPr>
        <sz val="10"/>
        <rFont val="Arial"/>
        <family val="2"/>
      </rPr>
      <t>3.4 -</t>
    </r>
    <r>
      <rPr>
        <sz val="12"/>
        <rFont val="Arial"/>
        <family val="2"/>
      </rPr>
      <t xml:space="preserve"> </t>
    </r>
    <r>
      <rPr>
        <sz val="11"/>
        <rFont val="Arial"/>
        <family val="2"/>
      </rPr>
      <t>Semoventes</t>
    </r>
  </si>
  <si>
    <r>
      <rPr>
        <sz val="10"/>
        <rFont val="Arial"/>
        <family val="2"/>
      </rPr>
      <t>3.5 -</t>
    </r>
    <r>
      <rPr>
        <sz val="12"/>
        <rFont val="Arial"/>
        <family val="2"/>
      </rPr>
      <t xml:space="preserve"> </t>
    </r>
    <r>
      <rPr>
        <sz val="10"/>
        <rFont val="Arial"/>
        <family val="2"/>
      </rPr>
      <t>Ampliação da área de lavoura e/ou agricultura irrigada</t>
    </r>
  </si>
  <si>
    <r>
      <rPr>
        <sz val="10"/>
        <color theme="1"/>
        <rFont val="Arial"/>
        <family val="2"/>
      </rPr>
      <t>3.6 -</t>
    </r>
    <r>
      <rPr>
        <sz val="12"/>
        <color theme="1"/>
        <rFont val="Arial"/>
        <family val="2"/>
      </rPr>
      <t xml:space="preserve"> </t>
    </r>
    <r>
      <rPr>
        <sz val="11"/>
        <color theme="1"/>
        <rFont val="Arial"/>
        <family val="2"/>
      </rPr>
      <t>Balanço patrimonial</t>
    </r>
  </si>
  <si>
    <r>
      <rPr>
        <sz val="10"/>
        <color theme="1"/>
        <rFont val="Arial"/>
        <family val="2"/>
      </rPr>
      <t>3.7 -</t>
    </r>
    <r>
      <rPr>
        <sz val="12"/>
        <color theme="1"/>
        <rFont val="Arial"/>
        <family val="2"/>
      </rPr>
      <t xml:space="preserve"> </t>
    </r>
    <r>
      <rPr>
        <sz val="11"/>
        <color theme="1"/>
        <rFont val="Arial"/>
        <family val="2"/>
      </rPr>
      <t>Balanço patrimonial sem contar com a valorização da terra</t>
    </r>
  </si>
  <si>
    <t>Adaptação APOIA-NovoRural (Rodrigues et al, 2003); Gitman (1987).</t>
  </si>
  <si>
    <t>GRAU DE ENDIVIDAMENTO</t>
  </si>
  <si>
    <t>Total das dívidas de custeio e investimentos em relação ao valor patrimonial  (%)</t>
  </si>
  <si>
    <t>Marque a opção   com x</t>
  </si>
  <si>
    <r>
      <rPr>
        <sz val="10"/>
        <rFont val="Arial"/>
        <family val="2"/>
      </rPr>
      <t>4.1 -</t>
    </r>
    <r>
      <rPr>
        <sz val="12"/>
        <rFont val="Arial"/>
        <family val="2"/>
      </rPr>
      <t xml:space="preserve"> </t>
    </r>
    <r>
      <rPr>
        <sz val="11"/>
        <rFont val="Arial"/>
        <family val="2"/>
      </rPr>
      <t>Valor da dívida em relação ao patrimônio (%)</t>
    </r>
  </si>
  <si>
    <t>0 - 5%</t>
  </si>
  <si>
    <t>5 - 10%</t>
  </si>
  <si>
    <t>10 - 15%</t>
  </si>
  <si>
    <t>15 - 20%</t>
  </si>
  <si>
    <t>20 - 25%</t>
  </si>
  <si>
    <t>&gt;25%</t>
  </si>
  <si>
    <t>SERVIÇOS BÁSICOS DISPONÍVEIS PARA O IMÓVEL RURAL/SEGURANÇA ALIMENTAR</t>
  </si>
  <si>
    <r>
      <rPr>
        <sz val="10"/>
        <color rgb="FFC00000"/>
        <rFont val="Arial"/>
        <family val="2"/>
      </rPr>
      <t>Marque as opções:</t>
    </r>
    <r>
      <rPr>
        <b/>
        <sz val="10"/>
        <color rgb="FFC00000"/>
        <rFont val="Arial"/>
        <family val="2"/>
      </rPr>
      <t xml:space="preserve"> 1</t>
    </r>
    <r>
      <rPr>
        <sz val="10"/>
        <color rgb="FFC00000"/>
        <rFont val="Arial"/>
        <family val="2"/>
      </rPr>
      <t xml:space="preserve"> (atende satisfatoriamente);</t>
    </r>
    <r>
      <rPr>
        <b/>
        <sz val="10"/>
        <color rgb="FFC00000"/>
        <rFont val="Arial"/>
        <family val="2"/>
      </rPr>
      <t xml:space="preserve"> 0,5 </t>
    </r>
    <r>
      <rPr>
        <sz val="10"/>
        <color rgb="FFC00000"/>
        <rFont val="Arial"/>
        <family val="2"/>
      </rPr>
      <t xml:space="preserve">(atende parcialmente); </t>
    </r>
    <r>
      <rPr>
        <b/>
        <sz val="10"/>
        <color rgb="FFC00000"/>
        <rFont val="Arial"/>
        <family val="2"/>
      </rPr>
      <t>0</t>
    </r>
    <r>
      <rPr>
        <sz val="10"/>
        <color rgb="FFC00000"/>
        <rFont val="Arial"/>
        <family val="2"/>
      </rPr>
      <t xml:space="preserve"> (não existe)           </t>
    </r>
  </si>
  <si>
    <t>5.1 - Serviços básicos disponíveis nas residências</t>
  </si>
  <si>
    <t>Residência rural (1)</t>
  </si>
  <si>
    <t>Residência rural (2)</t>
  </si>
  <si>
    <t>Residência rural (3)</t>
  </si>
  <si>
    <t>Residência rural (n)</t>
  </si>
  <si>
    <r>
      <rPr>
        <sz val="11"/>
        <rFont val="Arial"/>
        <family val="2"/>
      </rPr>
      <t>Disponibilidade de água</t>
    </r>
    <r>
      <rPr>
        <sz val="12"/>
        <rFont val="Arial"/>
        <family val="2"/>
      </rPr>
      <t xml:space="preserve"> </t>
    </r>
    <r>
      <rPr>
        <sz val="8"/>
        <rFont val="Arial"/>
        <family val="2"/>
      </rPr>
      <t>(quantidade e qualidade)</t>
    </r>
  </si>
  <si>
    <t>1,0 ou 3,0**</t>
  </si>
  <si>
    <t>Acesso a energia elétrica</t>
  </si>
  <si>
    <t>Acesso regular para escoamento da produção e recebimento de insumos</t>
  </si>
  <si>
    <t>Acesso ao serviço de saúde*</t>
  </si>
  <si>
    <t>Acesso regular ao transporte escolar</t>
  </si>
  <si>
    <r>
      <t xml:space="preserve">Segurança no campo </t>
    </r>
    <r>
      <rPr>
        <sz val="8"/>
        <rFont val="Arial"/>
        <family val="2"/>
      </rPr>
      <t>(patrulha para policiamento rural)</t>
    </r>
  </si>
  <si>
    <r>
      <rPr>
        <sz val="11"/>
        <rFont val="Arial"/>
        <family val="2"/>
      </rPr>
      <t xml:space="preserve">Telefone </t>
    </r>
    <r>
      <rPr>
        <sz val="8"/>
        <rFont val="Arial"/>
        <family val="2"/>
      </rPr>
      <t>(celular, celular rural, ou fixo)</t>
    </r>
  </si>
  <si>
    <t>Internet</t>
  </si>
  <si>
    <t>Coleta pública de lixo</t>
  </si>
  <si>
    <t xml:space="preserve">* Produtor atendido pelo Programa Saúde da Família - PSF </t>
  </si>
  <si>
    <t>** Se o produtor tem problemas de escasses de água (item 14.6 do questionário) o peso será = 3,0</t>
  </si>
  <si>
    <t>Resultado Parcial</t>
  </si>
  <si>
    <t>Adaptação APOIA-NovoRural (Rodrigues et al, 2003).</t>
  </si>
  <si>
    <r>
      <t>5.2 - Segurança Alimentar (direcionada aos estabelecimentos enquadrados como</t>
    </r>
    <r>
      <rPr>
        <b/>
        <sz val="10"/>
        <color rgb="FFC00000"/>
        <rFont val="Arial"/>
        <family val="2"/>
      </rPr>
      <t xml:space="preserve"> Agricultura Familiar</t>
    </r>
    <r>
      <rPr>
        <sz val="10"/>
        <color rgb="FFC00000"/>
        <rFont val="Arial"/>
        <family val="2"/>
      </rPr>
      <t>). Verificar o entorno das residências (consumo familiar próprio).</t>
    </r>
  </si>
  <si>
    <t>Hortaliças, grãos e tubérculos</t>
  </si>
  <si>
    <t>Pomar</t>
  </si>
  <si>
    <t>Criação de animais</t>
  </si>
  <si>
    <t>Referência - Correa (2007).</t>
  </si>
  <si>
    <t>ESCOLARIDADE/CURSOS DIRECIONADOS ÀS PRINCIPAIS ATIVIDADES NO IMÓVEL RURAL</t>
  </si>
  <si>
    <t>Integrantes da família com vínculo direto</t>
  </si>
  <si>
    <t>Dependentes dos integrantes***</t>
  </si>
  <si>
    <t>Trabalhadores permanentes</t>
  </si>
  <si>
    <t>Dependentes  de trabalhadores residentes***</t>
  </si>
  <si>
    <t>Marque o nº de pessoas em cada campo</t>
  </si>
  <si>
    <r>
      <rPr>
        <sz val="10"/>
        <rFont val="Arial"/>
        <family val="2"/>
      </rPr>
      <t xml:space="preserve">6.1 - </t>
    </r>
    <r>
      <rPr>
        <sz val="11"/>
        <rFont val="Arial"/>
        <family val="2"/>
      </rPr>
      <t>Número de pessoas no estabelecimento</t>
    </r>
  </si>
  <si>
    <r>
      <rPr>
        <sz val="10"/>
        <rFont val="Arial"/>
        <family val="2"/>
      </rPr>
      <t>6.2 -</t>
    </r>
    <r>
      <rPr>
        <sz val="12"/>
        <rFont val="Arial"/>
        <family val="2"/>
      </rPr>
      <t xml:space="preserve"> </t>
    </r>
    <r>
      <rPr>
        <sz val="11"/>
        <rFont val="Arial"/>
        <family val="2"/>
      </rPr>
      <t>Menos de 5 anos de estudo</t>
    </r>
  </si>
  <si>
    <r>
      <rPr>
        <sz val="10"/>
        <rFont val="Arial"/>
        <family val="2"/>
      </rPr>
      <t xml:space="preserve">6.3 - </t>
    </r>
    <r>
      <rPr>
        <sz val="11"/>
        <rFont val="Arial"/>
        <family val="2"/>
      </rPr>
      <t>5 a 9 anos de estudo</t>
    </r>
  </si>
  <si>
    <r>
      <rPr>
        <sz val="10"/>
        <rFont val="Arial"/>
        <family val="2"/>
      </rPr>
      <t xml:space="preserve">6.4 - </t>
    </r>
    <r>
      <rPr>
        <sz val="11"/>
        <rFont val="Arial"/>
        <family val="2"/>
      </rPr>
      <t>Acima de 9 anos de estudo</t>
    </r>
  </si>
  <si>
    <r>
      <rPr>
        <sz val="10"/>
        <rFont val="Arial"/>
        <family val="2"/>
      </rPr>
      <t>6.5 -</t>
    </r>
    <r>
      <rPr>
        <sz val="12"/>
        <rFont val="Arial"/>
        <family val="2"/>
      </rPr>
      <t xml:space="preserve"> </t>
    </r>
    <r>
      <rPr>
        <sz val="11"/>
        <rFont val="Arial"/>
        <family val="2"/>
      </rPr>
      <t>Curso superior</t>
    </r>
  </si>
  <si>
    <r>
      <rPr>
        <sz val="10"/>
        <rFont val="Arial"/>
        <family val="2"/>
      </rPr>
      <t>6.6 -</t>
    </r>
    <r>
      <rPr>
        <sz val="12"/>
        <rFont val="Arial"/>
        <family val="2"/>
      </rPr>
      <t xml:space="preserve"> </t>
    </r>
    <r>
      <rPr>
        <sz val="11"/>
        <rFont val="Arial"/>
        <family val="2"/>
      </rPr>
      <t>Capacitação curta temporada*</t>
    </r>
  </si>
  <si>
    <r>
      <rPr>
        <sz val="10"/>
        <rFont val="Arial"/>
        <family val="2"/>
      </rPr>
      <t xml:space="preserve">6.7 - </t>
    </r>
    <r>
      <rPr>
        <sz val="11"/>
        <rFont val="Arial"/>
        <family val="2"/>
      </rPr>
      <t>Capacitação longa temporada**</t>
    </r>
  </si>
  <si>
    <r>
      <rPr>
        <sz val="10"/>
        <rFont val="Arial"/>
        <family val="2"/>
      </rPr>
      <t xml:space="preserve">6.8 - </t>
    </r>
    <r>
      <rPr>
        <sz val="11"/>
        <rFont val="Arial"/>
        <family val="2"/>
      </rPr>
      <t>Frequenta rede de ensino</t>
    </r>
    <r>
      <rPr>
        <sz val="12"/>
        <rFont val="Arial"/>
        <family val="2"/>
      </rPr>
      <t xml:space="preserve"> </t>
    </r>
  </si>
  <si>
    <t>* nº de pessoas que fizeram cursos de especialização direcionados às atividades.</t>
  </si>
  <si>
    <t xml:space="preserve">** nº de pessoas que fizeram cursos técnicos em agropecuária ou afins. </t>
  </si>
  <si>
    <t>*** Dependentes (6 a 18 anos) que residem no estabelecimento (até o 2º grau).</t>
  </si>
  <si>
    <t>Referência: Calorio (1997), Correa (2007) e Rodrigues et al. (2003).</t>
  </si>
  <si>
    <t>QUALIDADE DA OCUPAÇÃO E DO EMPREGO GERADO</t>
  </si>
  <si>
    <t>Contratação efetiva</t>
  </si>
  <si>
    <t xml:space="preserve">Contratação temporária </t>
  </si>
  <si>
    <r>
      <rPr>
        <sz val="10"/>
        <rFont val="Arial"/>
        <family val="2"/>
      </rPr>
      <t xml:space="preserve">7.1 - </t>
    </r>
    <r>
      <rPr>
        <sz val="11"/>
        <rFont val="Arial"/>
        <family val="2"/>
      </rPr>
      <t>Total de pessoas no imóvel rural</t>
    </r>
  </si>
  <si>
    <r>
      <rPr>
        <sz val="10"/>
        <rFont val="Arial"/>
        <family val="2"/>
      </rPr>
      <t>7.2 -</t>
    </r>
    <r>
      <rPr>
        <sz val="12"/>
        <rFont val="Arial"/>
        <family val="2"/>
      </rPr>
      <t xml:space="preserve"> </t>
    </r>
    <r>
      <rPr>
        <sz val="11"/>
        <rFont val="Arial"/>
        <family val="2"/>
      </rPr>
      <t xml:space="preserve">Registro de funcionários </t>
    </r>
    <r>
      <rPr>
        <sz val="8"/>
        <rFont val="Arial"/>
        <family val="2"/>
      </rPr>
      <t>(carteira de trabalho)</t>
    </r>
  </si>
  <si>
    <r>
      <rPr>
        <sz val="10"/>
        <rFont val="Arial"/>
        <family val="2"/>
      </rPr>
      <t>7.3 -</t>
    </r>
    <r>
      <rPr>
        <sz val="12"/>
        <rFont val="Arial"/>
        <family val="2"/>
      </rPr>
      <t xml:space="preserve"> </t>
    </r>
    <r>
      <rPr>
        <sz val="11"/>
        <rFont val="Arial"/>
        <family val="2"/>
      </rPr>
      <t>Pagamento de hora extra (ou banco de horas*)</t>
    </r>
  </si>
  <si>
    <r>
      <rPr>
        <sz val="10"/>
        <rFont val="Arial"/>
        <family val="2"/>
      </rPr>
      <t>7.4 -</t>
    </r>
    <r>
      <rPr>
        <sz val="12"/>
        <rFont val="Arial"/>
        <family val="2"/>
      </rPr>
      <t xml:space="preserve"> </t>
    </r>
    <r>
      <rPr>
        <sz val="11"/>
        <rFont val="Arial"/>
        <family val="2"/>
      </rPr>
      <t>Acima de 1 salário mínimo</t>
    </r>
  </si>
  <si>
    <r>
      <rPr>
        <sz val="10"/>
        <rFont val="Arial"/>
        <family val="2"/>
      </rPr>
      <t>7.5 -</t>
    </r>
    <r>
      <rPr>
        <sz val="12"/>
        <rFont val="Arial"/>
        <family val="2"/>
      </rPr>
      <t xml:space="preserve"> </t>
    </r>
    <r>
      <rPr>
        <sz val="11"/>
        <rFont val="Arial"/>
        <family val="2"/>
      </rPr>
      <t>Auxílio alimentação</t>
    </r>
  </si>
  <si>
    <r>
      <rPr>
        <sz val="10"/>
        <rFont val="Arial"/>
        <family val="2"/>
      </rPr>
      <t>7.6 -</t>
    </r>
    <r>
      <rPr>
        <sz val="12"/>
        <rFont val="Arial"/>
        <family val="2"/>
      </rPr>
      <t xml:space="preserve"> </t>
    </r>
    <r>
      <rPr>
        <sz val="11"/>
        <rFont val="Arial"/>
        <family val="2"/>
      </rPr>
      <t>Auxílio moradia</t>
    </r>
  </si>
  <si>
    <r>
      <rPr>
        <sz val="10"/>
        <rFont val="Arial"/>
        <family val="2"/>
      </rPr>
      <t>7.7 -</t>
    </r>
    <r>
      <rPr>
        <sz val="12"/>
        <rFont val="Arial"/>
        <family val="2"/>
      </rPr>
      <t xml:space="preserve"> </t>
    </r>
    <r>
      <rPr>
        <sz val="11"/>
        <rFont val="Arial"/>
        <family val="2"/>
      </rPr>
      <t>Auxílio educação e transporte</t>
    </r>
  </si>
  <si>
    <r>
      <rPr>
        <sz val="10"/>
        <rFont val="Arial"/>
        <family val="2"/>
      </rPr>
      <t xml:space="preserve">7.8 - </t>
    </r>
    <r>
      <rPr>
        <sz val="11"/>
        <rFont val="Arial"/>
        <family val="2"/>
      </rPr>
      <t>Participação nos lucros</t>
    </r>
  </si>
  <si>
    <r>
      <rPr>
        <sz val="10"/>
        <rFont val="Arial"/>
        <family val="2"/>
      </rPr>
      <t xml:space="preserve">7.9 - </t>
    </r>
    <r>
      <rPr>
        <sz val="11"/>
        <rFont val="Arial"/>
        <family val="2"/>
      </rPr>
      <t>Seguro contra acidentes</t>
    </r>
  </si>
  <si>
    <r>
      <rPr>
        <sz val="10"/>
        <rFont val="Arial"/>
        <family val="2"/>
      </rPr>
      <t>7.10-</t>
    </r>
    <r>
      <rPr>
        <sz val="12"/>
        <rFont val="Arial"/>
        <family val="2"/>
      </rPr>
      <t xml:space="preserve"> </t>
    </r>
    <r>
      <rPr>
        <sz val="11"/>
        <rFont val="Arial"/>
        <family val="2"/>
      </rPr>
      <t>Acesso a lazer</t>
    </r>
  </si>
  <si>
    <r>
      <rPr>
        <sz val="10"/>
        <rFont val="Arial"/>
        <family val="2"/>
      </rPr>
      <t xml:space="preserve">7.11 - </t>
    </r>
    <r>
      <rPr>
        <sz val="11"/>
        <rFont val="Arial"/>
        <family val="2"/>
      </rPr>
      <t>Espaço para cultivo de alimentos</t>
    </r>
    <r>
      <rPr>
        <sz val="12"/>
        <rFont val="Arial"/>
        <family val="2"/>
      </rPr>
      <t xml:space="preserve"> </t>
    </r>
  </si>
  <si>
    <t>N° de funcionários permanentes e temporários</t>
  </si>
  <si>
    <t>* Permitido em contrato sindical.</t>
  </si>
  <si>
    <t>GESTÃO DO EMPREENDIMENTO</t>
  </si>
  <si>
    <r>
      <t xml:space="preserve">Dados:                     </t>
    </r>
    <r>
      <rPr>
        <b/>
        <sz val="10"/>
        <color rgb="FFC00000"/>
        <rFont val="Arial"/>
        <family val="2"/>
      </rPr>
      <t xml:space="preserve">1 </t>
    </r>
    <r>
      <rPr>
        <sz val="10"/>
        <color rgb="FFC00000"/>
        <rFont val="Arial"/>
        <family val="2"/>
      </rPr>
      <t xml:space="preserve">(suficiente);           </t>
    </r>
    <r>
      <rPr>
        <b/>
        <sz val="10"/>
        <color rgb="FFC00000"/>
        <rFont val="Arial"/>
        <family val="2"/>
      </rPr>
      <t>0,5</t>
    </r>
    <r>
      <rPr>
        <sz val="10"/>
        <color rgb="FFC00000"/>
        <rFont val="Arial"/>
        <family val="2"/>
      </rPr>
      <t xml:space="preserve"> (parcial);          </t>
    </r>
    <r>
      <rPr>
        <b/>
        <sz val="10"/>
        <color rgb="FFC00000"/>
        <rFont val="Arial"/>
        <family val="2"/>
      </rPr>
      <t>0</t>
    </r>
    <r>
      <rPr>
        <sz val="10"/>
        <color rgb="FFC00000"/>
        <rFont val="Arial"/>
        <family val="2"/>
      </rPr>
      <t xml:space="preserve"> (inexistente)          </t>
    </r>
  </si>
  <si>
    <t>Contabilidade das atividades</t>
  </si>
  <si>
    <r>
      <rPr>
        <sz val="10"/>
        <rFont val="Arial"/>
        <family val="2"/>
      </rPr>
      <t>8.1 -</t>
    </r>
    <r>
      <rPr>
        <sz val="12"/>
        <rFont val="Arial"/>
        <family val="2"/>
      </rPr>
      <t xml:space="preserve"> </t>
    </r>
    <r>
      <rPr>
        <sz val="11"/>
        <rFont val="Arial"/>
        <family val="2"/>
      </rPr>
      <t>Fluxo de caixa (receita/despesa)</t>
    </r>
  </si>
  <si>
    <r>
      <rPr>
        <sz val="10"/>
        <rFont val="Arial"/>
        <family val="2"/>
      </rPr>
      <t>8.2 -</t>
    </r>
    <r>
      <rPr>
        <sz val="12"/>
        <rFont val="Arial"/>
        <family val="2"/>
      </rPr>
      <t xml:space="preserve"> </t>
    </r>
    <r>
      <rPr>
        <sz val="11"/>
        <rFont val="Arial"/>
        <family val="2"/>
      </rPr>
      <t>Custo de produção das atividades</t>
    </r>
  </si>
  <si>
    <r>
      <rPr>
        <sz val="10"/>
        <rFont val="Arial"/>
        <family val="2"/>
      </rPr>
      <t>8.3 -</t>
    </r>
    <r>
      <rPr>
        <sz val="12"/>
        <rFont val="Arial"/>
        <family val="2"/>
      </rPr>
      <t xml:space="preserve"> </t>
    </r>
    <r>
      <rPr>
        <sz val="11"/>
        <rFont val="Arial"/>
        <family val="2"/>
      </rPr>
      <t>Acesso à assistência técnica (particular ou pública)*</t>
    </r>
  </si>
  <si>
    <r>
      <rPr>
        <sz val="10"/>
        <rFont val="Arial"/>
        <family val="2"/>
      </rPr>
      <t xml:space="preserve">8.4 - </t>
    </r>
    <r>
      <rPr>
        <sz val="11"/>
        <rFont val="Arial"/>
        <family val="2"/>
      </rPr>
      <t>Participação - formas associativas - ativa (1) ou passiva (0,5)</t>
    </r>
  </si>
  <si>
    <r>
      <rPr>
        <sz val="10"/>
        <rFont val="Arial"/>
        <family val="2"/>
      </rPr>
      <t xml:space="preserve">8.5 - </t>
    </r>
    <r>
      <rPr>
        <sz val="11"/>
        <rFont val="Arial"/>
        <family val="2"/>
      </rPr>
      <t xml:space="preserve">Regularização ambiental </t>
    </r>
    <r>
      <rPr>
        <sz val="9"/>
        <rFont val="Arial"/>
        <family val="2"/>
      </rPr>
      <t>(uso da água, RL, APP e licenciamento)</t>
    </r>
    <r>
      <rPr>
        <sz val="11"/>
        <rFont val="Arial"/>
        <family val="2"/>
      </rPr>
      <t>**</t>
    </r>
  </si>
  <si>
    <t>Utilização de crédito formal</t>
  </si>
  <si>
    <r>
      <rPr>
        <sz val="10"/>
        <rFont val="Arial"/>
        <family val="2"/>
      </rPr>
      <t xml:space="preserve">8.6 - </t>
    </r>
    <r>
      <rPr>
        <sz val="11"/>
        <rFont val="Arial"/>
        <family val="2"/>
      </rPr>
      <t>Utiliza crédito para investimento</t>
    </r>
  </si>
  <si>
    <r>
      <rPr>
        <sz val="10"/>
        <rFont val="Arial"/>
        <family val="2"/>
      </rPr>
      <t xml:space="preserve">8.7 - </t>
    </r>
    <r>
      <rPr>
        <sz val="11"/>
        <rFont val="Arial"/>
        <family val="2"/>
      </rPr>
      <t>Utiliza crédito para custeio</t>
    </r>
  </si>
  <si>
    <r>
      <t xml:space="preserve">8.8 - </t>
    </r>
    <r>
      <rPr>
        <sz val="11"/>
        <rFont val="Arial"/>
        <family val="2"/>
      </rPr>
      <t>Utiliza crédito para comercialização</t>
    </r>
  </si>
  <si>
    <t>* Não considerar assistência técnica de revendas de insumos.</t>
  </si>
  <si>
    <t>** Verificar Cadastramento Ambiental Rural (CAR).</t>
  </si>
  <si>
    <t>Referência: Correa (2007).</t>
  </si>
  <si>
    <t xml:space="preserve">GESTÃO DA INFORMAÇÃO </t>
  </si>
  <si>
    <r>
      <rPr>
        <sz val="10"/>
        <rFont val="Arial"/>
        <family val="2"/>
      </rPr>
      <t>9.1 -</t>
    </r>
    <r>
      <rPr>
        <sz val="12"/>
        <rFont val="Arial"/>
        <family val="2"/>
      </rPr>
      <t xml:space="preserve"> </t>
    </r>
    <r>
      <rPr>
        <sz val="11"/>
        <rFont val="Arial"/>
        <family val="2"/>
      </rPr>
      <t xml:space="preserve">Busca informação para comercialização da produção/busca diversificar os compradores </t>
    </r>
    <r>
      <rPr>
        <sz val="12"/>
        <rFont val="Arial"/>
        <family val="2"/>
      </rPr>
      <t xml:space="preserve"> </t>
    </r>
  </si>
  <si>
    <r>
      <rPr>
        <sz val="10"/>
        <rFont val="Arial"/>
        <family val="2"/>
      </rPr>
      <t xml:space="preserve">9.2 - </t>
    </r>
    <r>
      <rPr>
        <sz val="11"/>
        <rFont val="Arial"/>
        <family val="2"/>
      </rPr>
      <t>Gera produtos certificados e/ou mercado institucional</t>
    </r>
  </si>
  <si>
    <r>
      <rPr>
        <sz val="10"/>
        <rFont val="Arial"/>
        <family val="2"/>
      </rPr>
      <t xml:space="preserve">9.3 - </t>
    </r>
    <r>
      <rPr>
        <sz val="11"/>
        <rFont val="Arial"/>
        <family val="2"/>
      </rPr>
      <t>Adoção de técnicas inovadoras*</t>
    </r>
  </si>
  <si>
    <t xml:space="preserve">Descrição </t>
  </si>
  <si>
    <r>
      <rPr>
        <sz val="10"/>
        <rFont val="Arial"/>
        <family val="2"/>
      </rPr>
      <t xml:space="preserve">9.4 - </t>
    </r>
    <r>
      <rPr>
        <sz val="11"/>
        <rFont val="Arial"/>
        <family val="2"/>
      </rPr>
      <t>Capacidade de inovação ou liderança na comunidade</t>
    </r>
  </si>
  <si>
    <t>* Conceito, ideia, prática ou tecnologia, percebidas como nova pelo indivíduo e/ou grupo social. Conhecimento científico e tecnológico transformados em boas práticas.</t>
  </si>
  <si>
    <t>GERENCIAMENTO DE RESÍDUOS E EFLUENTES GERADOS NO IMÓVEL RURAL</t>
  </si>
  <si>
    <t>Dados: (%)</t>
  </si>
  <si>
    <t>Deixar o campo em branco quando não houver geração de efluentes líquidos e/ou gasosos</t>
  </si>
  <si>
    <r>
      <rPr>
        <sz val="10"/>
        <rFont val="Arial"/>
        <family val="2"/>
      </rPr>
      <t>10.1 -</t>
    </r>
    <r>
      <rPr>
        <sz val="12"/>
        <rFont val="Arial"/>
        <family val="2"/>
      </rPr>
      <t xml:space="preserve"> </t>
    </r>
    <r>
      <rPr>
        <sz val="11"/>
        <rFont val="Arial"/>
        <family val="2"/>
      </rPr>
      <t xml:space="preserve">Coleta e destinação adequada dos resíduos </t>
    </r>
    <r>
      <rPr>
        <sz val="9"/>
        <rFont val="Arial"/>
        <family val="2"/>
      </rPr>
      <t>(lixo doméstico e proveniente das atividades, reciclável e não reciclável)</t>
    </r>
  </si>
  <si>
    <r>
      <rPr>
        <sz val="10"/>
        <rFont val="Arial"/>
        <family val="2"/>
      </rPr>
      <t>10.2 -</t>
    </r>
    <r>
      <rPr>
        <sz val="12"/>
        <rFont val="Arial"/>
        <family val="2"/>
      </rPr>
      <t xml:space="preserve"> </t>
    </r>
    <r>
      <rPr>
        <sz val="11"/>
        <rFont val="Arial"/>
        <family val="2"/>
      </rPr>
      <t>Destinação adequada do esgoto doméstico</t>
    </r>
  </si>
  <si>
    <r>
      <rPr>
        <sz val="10"/>
        <rFont val="Arial"/>
        <family val="2"/>
      </rPr>
      <t>10.3 -</t>
    </r>
    <r>
      <rPr>
        <sz val="11"/>
        <rFont val="Arial"/>
        <family val="2"/>
      </rPr>
      <t xml:space="preserve"> Compostagem e/ou reaproveitamento de resíduos sólidos orgânicos </t>
    </r>
  </si>
  <si>
    <r>
      <rPr>
        <sz val="10"/>
        <rFont val="Arial"/>
        <family val="2"/>
      </rPr>
      <t>10.4 -</t>
    </r>
    <r>
      <rPr>
        <sz val="12"/>
        <rFont val="Arial"/>
        <family val="2"/>
      </rPr>
      <t xml:space="preserve"> </t>
    </r>
    <r>
      <rPr>
        <sz val="11"/>
        <rFont val="Arial"/>
        <family val="2"/>
      </rPr>
      <t>Destinação adequada e tratamento de efluentes líquidos</t>
    </r>
    <r>
      <rPr>
        <sz val="12"/>
        <rFont val="Arial"/>
        <family val="2"/>
      </rPr>
      <t xml:space="preserve"> </t>
    </r>
    <r>
      <rPr>
        <sz val="9"/>
        <rFont val="Arial"/>
        <family val="2"/>
      </rPr>
      <t>(gerados por criações ou unidades de beneficiamento) (Utilização dos efluentes tratados nos sistemas de produção)*.</t>
    </r>
  </si>
  <si>
    <r>
      <rPr>
        <sz val="10"/>
        <rFont val="Arial"/>
        <family val="2"/>
      </rPr>
      <t>10.5 -</t>
    </r>
    <r>
      <rPr>
        <sz val="12"/>
        <rFont val="Arial"/>
        <family val="2"/>
      </rPr>
      <t xml:space="preserve"> </t>
    </r>
    <r>
      <rPr>
        <sz val="11"/>
        <rFont val="Arial"/>
        <family val="2"/>
      </rPr>
      <t>Tratamento de efluentes gasosos</t>
    </r>
    <r>
      <rPr>
        <sz val="12"/>
        <rFont val="Arial"/>
        <family val="2"/>
      </rPr>
      <t xml:space="preserve"> </t>
    </r>
    <r>
      <rPr>
        <sz val="9"/>
        <rFont val="Arial"/>
        <family val="2"/>
      </rPr>
      <t>(gerados em caldeiras, biodigestores, carvoaria).</t>
    </r>
  </si>
  <si>
    <t>* Estação de tratamento; biodigestor; compostagem; etc.</t>
  </si>
  <si>
    <t>Caso afirmativo marque a opção com x</t>
  </si>
  <si>
    <t>10.6 - O imóvel rural possui algum ponto crítico com relação à gestão de resíduos e efluentes</t>
  </si>
  <si>
    <t>SEGURANÇA DO TRABALHO/GESTÃO DO USO DE AGROTÓXICOS E PRODUTOS VETERINÁRIOS</t>
  </si>
  <si>
    <t>Número de pessoas</t>
  </si>
  <si>
    <r>
      <rPr>
        <sz val="10"/>
        <rFont val="Arial"/>
        <family val="2"/>
      </rPr>
      <t>11.1 -</t>
    </r>
    <r>
      <rPr>
        <sz val="12"/>
        <rFont val="Arial"/>
        <family val="2"/>
      </rPr>
      <t xml:space="preserve"> Quantas </t>
    </r>
    <r>
      <rPr>
        <sz val="11"/>
        <rFont val="Arial"/>
        <family val="2"/>
      </rPr>
      <t>pessoas fazem o manuseio de agrotóxicos e/ou produtos veterinários*</t>
    </r>
  </si>
  <si>
    <t xml:space="preserve">Marque as opções com  x </t>
  </si>
  <si>
    <r>
      <rPr>
        <sz val="10"/>
        <rFont val="Arial"/>
        <family val="2"/>
      </rPr>
      <t>11.2 -</t>
    </r>
    <r>
      <rPr>
        <sz val="12"/>
        <rFont val="Arial"/>
        <family val="2"/>
      </rPr>
      <t xml:space="preserve"> Quantas</t>
    </r>
    <r>
      <rPr>
        <sz val="11"/>
        <rFont val="Arial"/>
        <family val="2"/>
      </rPr>
      <t xml:space="preserve"> pessoas</t>
    </r>
    <r>
      <rPr>
        <sz val="11"/>
        <color rgb="FFC00000"/>
        <rFont val="Arial"/>
        <family val="2"/>
      </rPr>
      <t xml:space="preserve"> </t>
    </r>
    <r>
      <rPr>
        <sz val="11"/>
        <rFont val="Arial"/>
        <family val="2"/>
      </rPr>
      <t>utilizam EPI adequadamente</t>
    </r>
  </si>
  <si>
    <r>
      <rPr>
        <sz val="10"/>
        <rFont val="Arial"/>
        <family val="2"/>
      </rPr>
      <t xml:space="preserve">11.3 - </t>
    </r>
    <r>
      <rPr>
        <sz val="11"/>
        <rFont val="Arial"/>
        <family val="2"/>
      </rPr>
      <t>Armazenamento adequado das embalagens</t>
    </r>
  </si>
  <si>
    <r>
      <rPr>
        <sz val="10"/>
        <rFont val="Arial"/>
        <family val="2"/>
      </rPr>
      <t xml:space="preserve">11.4 - </t>
    </r>
    <r>
      <rPr>
        <sz val="11"/>
        <rFont val="Arial"/>
        <family val="2"/>
      </rPr>
      <t>Devolução das embalagens de agrotóxico e destinação correta das embalagens de produtos veterinários</t>
    </r>
  </si>
  <si>
    <t>*Controle de ectoparasitas.</t>
  </si>
  <si>
    <t>CAPACIDADE PRODUTIVA DO SOLO - FERTILIDADE</t>
  </si>
  <si>
    <t xml:space="preserve">Descrição do talhão </t>
  </si>
  <si>
    <t>TALHÃO DO ADÃO</t>
  </si>
  <si>
    <t>12.1</t>
  </si>
  <si>
    <t>TEXTURA DO SOLO</t>
  </si>
  <si>
    <t>Classes de textura</t>
  </si>
  <si>
    <r>
      <t>dag kg</t>
    </r>
    <r>
      <rPr>
        <vertAlign val="superscript"/>
        <sz val="9"/>
        <rFont val="Arial"/>
        <family val="2"/>
      </rPr>
      <t>-1</t>
    </r>
    <r>
      <rPr>
        <sz val="9"/>
        <rFont val="Arial"/>
        <family val="2"/>
      </rPr>
      <t xml:space="preserve"> de argila</t>
    </r>
  </si>
  <si>
    <r>
      <t>dag kg</t>
    </r>
    <r>
      <rPr>
        <vertAlign val="superscript"/>
        <sz val="10"/>
        <color rgb="FFC00000"/>
        <rFont val="Arial"/>
        <family val="2"/>
      </rPr>
      <t>-1</t>
    </r>
    <r>
      <rPr>
        <sz val="10"/>
        <color rgb="FFC00000"/>
        <rFont val="Arial"/>
        <family val="2"/>
      </rPr>
      <t xml:space="preserve"> Argila</t>
    </r>
  </si>
  <si>
    <t>Arenosa</t>
  </si>
  <si>
    <r>
      <rPr>
        <sz val="10"/>
        <rFont val="Calibri"/>
        <family val="2"/>
      </rPr>
      <t>≤</t>
    </r>
    <r>
      <rPr>
        <sz val="10"/>
        <rFont val="Arial"/>
        <family val="2"/>
      </rPr>
      <t xml:space="preserve"> 15</t>
    </r>
  </si>
  <si>
    <t>Amostragem  atual</t>
  </si>
  <si>
    <t>Média</t>
  </si>
  <si>
    <t>16 a 34</t>
  </si>
  <si>
    <t>Argilosa</t>
  </si>
  <si>
    <t>35 a 60</t>
  </si>
  <si>
    <t>Muito argilosa</t>
  </si>
  <si>
    <t>&gt; 60</t>
  </si>
  <si>
    <t>12.2</t>
  </si>
  <si>
    <t>MATÉRIA ORGÂNICA</t>
  </si>
  <si>
    <r>
      <t>(dag kg</t>
    </r>
    <r>
      <rPr>
        <vertAlign val="superscript"/>
        <sz val="10"/>
        <color rgb="FFC00000"/>
        <rFont val="Arial"/>
        <family val="2"/>
      </rPr>
      <t>-1</t>
    </r>
    <r>
      <rPr>
        <sz val="10"/>
        <color rgb="FFC00000"/>
        <rFont val="Arial"/>
        <family val="2"/>
      </rPr>
      <t>)</t>
    </r>
  </si>
  <si>
    <t>ex: Textura argilosa</t>
  </si>
  <si>
    <t>Valores</t>
  </si>
  <si>
    <t>Nota</t>
  </si>
  <si>
    <t>Textura</t>
  </si>
  <si>
    <t>Muito Argilosa</t>
  </si>
  <si>
    <t>Resultado parcial</t>
  </si>
  <si>
    <t>12.3</t>
  </si>
  <si>
    <t>FÓSFORO DISPONÍVEL</t>
  </si>
  <si>
    <r>
      <t>(mg dm</t>
    </r>
    <r>
      <rPr>
        <vertAlign val="superscript"/>
        <sz val="10"/>
        <color rgb="FFC00000"/>
        <rFont val="Arial"/>
        <family val="2"/>
      </rPr>
      <t>-3</t>
    </r>
    <r>
      <rPr>
        <sz val="10"/>
        <color rgb="FFC00000"/>
        <rFont val="Arial"/>
        <family val="2"/>
      </rPr>
      <t>)</t>
    </r>
  </si>
  <si>
    <t>12.4</t>
  </si>
  <si>
    <t>CÁLCIO TROCÁVEL</t>
  </si>
  <si>
    <r>
      <t>(cmol</t>
    </r>
    <r>
      <rPr>
        <vertAlign val="subscript"/>
        <sz val="10"/>
        <color rgb="FFC00000"/>
        <rFont val="Arial"/>
        <family val="2"/>
      </rPr>
      <t xml:space="preserve">c </t>
    </r>
    <r>
      <rPr>
        <sz val="10"/>
        <color rgb="FFC00000"/>
        <rFont val="Arial"/>
        <family val="2"/>
      </rPr>
      <t>dm</t>
    </r>
    <r>
      <rPr>
        <vertAlign val="superscript"/>
        <sz val="10"/>
        <color rgb="FFC00000"/>
        <rFont val="Arial"/>
        <family val="2"/>
      </rPr>
      <t>-3</t>
    </r>
    <r>
      <rPr>
        <sz val="10"/>
        <color rgb="FFC00000"/>
        <rFont val="Arial"/>
        <family val="2"/>
      </rPr>
      <t>)</t>
    </r>
  </si>
  <si>
    <t>Amostragem</t>
  </si>
  <si>
    <t>12.5</t>
  </si>
  <si>
    <t>MAGNÉSIO TROCÁVEL</t>
  </si>
  <si>
    <t>12.6</t>
  </si>
  <si>
    <t>POTÁSSIO TROCÁVEL</t>
  </si>
  <si>
    <t>12.7</t>
  </si>
  <si>
    <t>ACIDEZ ATIVA (pH)</t>
  </si>
  <si>
    <t>Unidade</t>
  </si>
  <si>
    <t>12.8</t>
  </si>
  <si>
    <t>ALUMÍNIO TROCÁVEL</t>
  </si>
  <si>
    <t>12.9</t>
  </si>
  <si>
    <t>CTC EFETIVA</t>
  </si>
  <si>
    <t>12.10</t>
  </si>
  <si>
    <t>SATURAÇÃO POR BASES</t>
  </si>
  <si>
    <t>Unidade (%)</t>
  </si>
  <si>
    <t>Resultado Final - Fertilidade</t>
  </si>
  <si>
    <t>Análise de regressão gerada pelo programa SigmaPlot.</t>
  </si>
  <si>
    <t>Adaptação da interpretação de análises de solos da EMBRAPA (2003) e interpretação de análises de solos pela Comissão de Fertilidade do Solo do Estado de Minas Gerais.</t>
  </si>
  <si>
    <t>AVALIAÇÃO DA QUALIDADE DA ÁGUA</t>
  </si>
  <si>
    <t>13.1 - ÁGUA SUPERFICIAL</t>
  </si>
  <si>
    <t>Descrição dos locais</t>
  </si>
  <si>
    <t>pH da água</t>
  </si>
  <si>
    <t>Coliformes Termotolerantes</t>
  </si>
  <si>
    <r>
      <t>(UFC 100 mL</t>
    </r>
    <r>
      <rPr>
        <vertAlign val="superscript"/>
        <sz val="10"/>
        <color rgb="FFC00000"/>
        <rFont val="Arial"/>
        <family val="2"/>
      </rPr>
      <t>-1</t>
    </r>
    <r>
      <rPr>
        <sz val="10"/>
        <color rgb="FFC00000"/>
        <rFont val="Arial"/>
        <family val="2"/>
      </rPr>
      <t>)</t>
    </r>
  </si>
  <si>
    <t>Turbidez</t>
  </si>
  <si>
    <t>Nitrato Total</t>
  </si>
  <si>
    <r>
      <t>(mg L</t>
    </r>
    <r>
      <rPr>
        <vertAlign val="superscript"/>
        <sz val="10"/>
        <color rgb="FFC00000"/>
        <rFont val="Arial"/>
        <family val="2"/>
      </rPr>
      <t>-1</t>
    </r>
    <r>
      <rPr>
        <sz val="10"/>
        <color rgb="FFC00000"/>
        <rFont val="Arial"/>
        <family val="2"/>
      </rPr>
      <t xml:space="preserve"> de NO</t>
    </r>
    <r>
      <rPr>
        <vertAlign val="subscript"/>
        <sz val="10"/>
        <color rgb="FFC00000"/>
        <rFont val="Arial"/>
        <family val="2"/>
      </rPr>
      <t>3</t>
    </r>
    <r>
      <rPr>
        <sz val="10"/>
        <color rgb="FFC00000"/>
        <rFont val="Arial"/>
        <family val="2"/>
      </rPr>
      <t>)</t>
    </r>
  </si>
  <si>
    <t>Avaliação do Ecossistema Aquático</t>
  </si>
  <si>
    <t>Resultado Parcial - Qualidade da água superficial</t>
  </si>
  <si>
    <t>13.2 - ÁGUA SUBTERRÂNEA/CONSUMO HUMANO</t>
  </si>
  <si>
    <t>Descrição do local</t>
  </si>
  <si>
    <t>Amostra</t>
  </si>
  <si>
    <r>
      <t>(mg L</t>
    </r>
    <r>
      <rPr>
        <vertAlign val="superscript"/>
        <sz val="10"/>
        <color rgb="FFC00000"/>
        <rFont val="Arial"/>
        <family val="2"/>
      </rPr>
      <t>-1</t>
    </r>
    <r>
      <rPr>
        <sz val="10"/>
        <color rgb="FFC00000"/>
        <rFont val="Arial"/>
        <family val="2"/>
      </rPr>
      <t xml:space="preserve"> de N)</t>
    </r>
  </si>
  <si>
    <t>Resultado parcial  - Qualidade da água subterrânea</t>
  </si>
  <si>
    <t>Resultado - Qualidade da água</t>
  </si>
  <si>
    <t>RISCO DE CONTAMINAÇÃO DA ÁGUA POR AGROTÓXICOS NO IMÓVEL RURAL</t>
  </si>
  <si>
    <t>Para incluir mais produtos =&gt; inserir na aba GUIA DE APLICAÇÃO Linha 1.030</t>
  </si>
  <si>
    <r>
      <rPr>
        <sz val="10"/>
        <rFont val="Arial"/>
        <family val="2"/>
      </rPr>
      <t>14.1 -</t>
    </r>
    <r>
      <rPr>
        <sz val="12"/>
        <rFont val="Arial"/>
        <family val="2"/>
      </rPr>
      <t xml:space="preserve"> </t>
    </r>
    <r>
      <rPr>
        <sz val="11"/>
        <rFont val="Arial"/>
        <family val="2"/>
      </rPr>
      <t>Nome comercial do produto</t>
    </r>
  </si>
  <si>
    <r>
      <rPr>
        <sz val="10"/>
        <rFont val="Arial"/>
        <family val="2"/>
      </rPr>
      <t xml:space="preserve">14.2 - </t>
    </r>
    <r>
      <rPr>
        <sz val="11"/>
        <rFont val="Arial"/>
        <family val="2"/>
      </rPr>
      <t>Descrição da cultura ou do talhão</t>
    </r>
  </si>
  <si>
    <r>
      <rPr>
        <sz val="10"/>
        <rFont val="Arial"/>
        <family val="2"/>
      </rPr>
      <t xml:space="preserve">14.3 - </t>
    </r>
    <r>
      <rPr>
        <sz val="11"/>
        <rFont val="Arial"/>
        <family val="2"/>
      </rPr>
      <t>Área aplicada (ha)</t>
    </r>
  </si>
  <si>
    <r>
      <rPr>
        <sz val="10"/>
        <rFont val="Arial"/>
        <family val="2"/>
      </rPr>
      <t xml:space="preserve">14.4 - </t>
    </r>
    <r>
      <rPr>
        <sz val="11"/>
        <rFont val="Arial"/>
        <family val="2"/>
      </rPr>
      <t xml:space="preserve">Volume aplicado L/ha ou kg/ha </t>
    </r>
  </si>
  <si>
    <t>Volume total aplicado por produto</t>
  </si>
  <si>
    <t>Dados obtidos no site da IUPAC</t>
  </si>
  <si>
    <r>
      <rPr>
        <sz val="10"/>
        <rFont val="Arial"/>
        <family val="2"/>
      </rPr>
      <t xml:space="preserve">14.5 - </t>
    </r>
    <r>
      <rPr>
        <sz val="11"/>
        <rFont val="Arial"/>
        <family val="2"/>
      </rPr>
      <t>Princípio ativo do produto</t>
    </r>
  </si>
  <si>
    <r>
      <rPr>
        <sz val="10"/>
        <rFont val="Arial"/>
        <family val="2"/>
      </rPr>
      <t xml:space="preserve">14.6 - </t>
    </r>
    <r>
      <rPr>
        <sz val="11"/>
        <rFont val="Arial"/>
        <family val="2"/>
      </rPr>
      <t>Toxicidade para peixes</t>
    </r>
    <r>
      <rPr>
        <sz val="12"/>
        <rFont val="Arial"/>
        <family val="2"/>
      </rPr>
      <t xml:space="preserve"> </t>
    </r>
    <r>
      <rPr>
        <sz val="10"/>
        <rFont val="Arial"/>
        <family val="2"/>
      </rPr>
      <t xml:space="preserve">- </t>
    </r>
    <r>
      <rPr>
        <sz val="8"/>
        <rFont val="Arial"/>
        <family val="2"/>
      </rPr>
      <t>96h LC50</t>
    </r>
    <r>
      <rPr>
        <sz val="12"/>
        <rFont val="Arial"/>
        <family val="2"/>
      </rPr>
      <t xml:space="preserve"> (mg L</t>
    </r>
    <r>
      <rPr>
        <vertAlign val="superscript"/>
        <sz val="12"/>
        <rFont val="Arial"/>
        <family val="2"/>
      </rPr>
      <t>-1</t>
    </r>
    <r>
      <rPr>
        <sz val="12"/>
        <rFont val="Arial"/>
        <family val="2"/>
      </rPr>
      <t>)</t>
    </r>
  </si>
  <si>
    <r>
      <rPr>
        <sz val="10"/>
        <rFont val="Arial"/>
        <family val="2"/>
      </rPr>
      <t xml:space="preserve">14.7 - </t>
    </r>
    <r>
      <rPr>
        <sz val="11"/>
        <rFont val="Arial"/>
        <family val="2"/>
      </rPr>
      <t>Toxicidade - DAH</t>
    </r>
    <r>
      <rPr>
        <sz val="12"/>
        <rFont val="Arial"/>
        <family val="2"/>
      </rPr>
      <t xml:space="preserve"> (mg kg</t>
    </r>
    <r>
      <rPr>
        <vertAlign val="superscript"/>
        <sz val="12"/>
        <rFont val="Arial"/>
        <family val="2"/>
      </rPr>
      <t>-1</t>
    </r>
    <r>
      <rPr>
        <sz val="12"/>
        <rFont val="Arial"/>
        <family val="2"/>
      </rPr>
      <t xml:space="preserve"> dia</t>
    </r>
    <r>
      <rPr>
        <vertAlign val="superscript"/>
        <sz val="12"/>
        <rFont val="Arial"/>
        <family val="2"/>
      </rPr>
      <t>-1</t>
    </r>
    <r>
      <rPr>
        <sz val="12"/>
        <rFont val="Arial"/>
        <family val="2"/>
      </rPr>
      <t>)</t>
    </r>
  </si>
  <si>
    <t>Índice para toxicidade do produto</t>
  </si>
  <si>
    <r>
      <rPr>
        <sz val="10"/>
        <rFont val="Arial"/>
        <family val="2"/>
      </rPr>
      <t>14.8 -</t>
    </r>
    <r>
      <rPr>
        <sz val="12"/>
        <rFont val="Arial"/>
        <family val="2"/>
      </rPr>
      <t xml:space="preserve"> K</t>
    </r>
    <r>
      <rPr>
        <vertAlign val="subscript"/>
        <sz val="12"/>
        <rFont val="Arial"/>
        <family val="2"/>
      </rPr>
      <t>oc</t>
    </r>
  </si>
  <si>
    <r>
      <rPr>
        <sz val="10"/>
        <rFont val="Arial"/>
        <family val="2"/>
      </rPr>
      <t>14.9 -</t>
    </r>
    <r>
      <rPr>
        <sz val="12"/>
        <rFont val="Arial"/>
        <family val="2"/>
      </rPr>
      <t xml:space="preserve"> t</t>
    </r>
    <r>
      <rPr>
        <vertAlign val="subscript"/>
        <sz val="12"/>
        <rFont val="Arial"/>
        <family val="2"/>
      </rPr>
      <t xml:space="preserve">1/2 </t>
    </r>
    <r>
      <rPr>
        <sz val="10"/>
        <rFont val="Arial"/>
        <family val="2"/>
      </rPr>
      <t>(DT50)</t>
    </r>
  </si>
  <si>
    <t>Índice de vulnerabilidade de águas subterrâneas</t>
  </si>
  <si>
    <t>Potencial de contaminação (1, 2 ou 3)</t>
  </si>
  <si>
    <t>Marque a opção com o valor (1, 2 ou 3)</t>
  </si>
  <si>
    <r>
      <t xml:space="preserve">14.10 - </t>
    </r>
    <r>
      <rPr>
        <sz val="11"/>
        <rFont val="Arial"/>
        <family val="2"/>
      </rPr>
      <t>Conteúdo de argila no solo</t>
    </r>
    <r>
      <rPr>
        <sz val="12"/>
        <rFont val="Arial"/>
        <family val="2"/>
      </rPr>
      <t xml:space="preserve"> </t>
    </r>
    <r>
      <rPr>
        <sz val="10"/>
        <rFont val="Arial"/>
        <family val="2"/>
      </rPr>
      <t xml:space="preserve">(no talhão)        &gt; 60% </t>
    </r>
    <r>
      <rPr>
        <sz val="11"/>
        <color rgb="FF713605"/>
        <rFont val="Arial"/>
        <family val="2"/>
      </rPr>
      <t>(1)</t>
    </r>
    <r>
      <rPr>
        <sz val="10"/>
        <rFont val="Arial"/>
        <family val="2"/>
      </rPr>
      <t xml:space="preserve">;     30% - 60% </t>
    </r>
    <r>
      <rPr>
        <sz val="11"/>
        <color rgb="FF713605"/>
        <rFont val="Arial"/>
        <family val="2"/>
      </rPr>
      <t>(2)</t>
    </r>
    <r>
      <rPr>
        <sz val="10"/>
        <rFont val="Arial"/>
        <family val="2"/>
      </rPr>
      <t>;        &lt;30%</t>
    </r>
    <r>
      <rPr>
        <sz val="11"/>
        <rFont val="Arial"/>
        <family val="2"/>
      </rPr>
      <t xml:space="preserve"> </t>
    </r>
    <r>
      <rPr>
        <sz val="11"/>
        <color rgb="FF713605"/>
        <rFont val="Arial"/>
        <family val="2"/>
      </rPr>
      <t>(3)</t>
    </r>
  </si>
  <si>
    <r>
      <t xml:space="preserve">14.11 - </t>
    </r>
    <r>
      <rPr>
        <sz val="11"/>
        <rFont val="Arial"/>
        <family val="2"/>
      </rPr>
      <t>Distância do curso d' água</t>
    </r>
    <r>
      <rPr>
        <sz val="12"/>
        <rFont val="Arial"/>
        <family val="2"/>
      </rPr>
      <t xml:space="preserve"> </t>
    </r>
    <r>
      <rPr>
        <sz val="10"/>
        <rFont val="Arial"/>
        <family val="2"/>
      </rPr>
      <t>(borda do talhão)  &gt;1.000m</t>
    </r>
    <r>
      <rPr>
        <sz val="11"/>
        <color rgb="FF713605"/>
        <rFont val="Arial"/>
        <family val="2"/>
      </rPr>
      <t xml:space="preserve"> (1)</t>
    </r>
    <r>
      <rPr>
        <sz val="10"/>
        <rFont val="Arial"/>
        <family val="2"/>
      </rPr>
      <t xml:space="preserve">;  300 - 1.000m </t>
    </r>
    <r>
      <rPr>
        <sz val="11"/>
        <color rgb="FF713605"/>
        <rFont val="Arial"/>
        <family val="2"/>
      </rPr>
      <t>(2)</t>
    </r>
    <r>
      <rPr>
        <sz val="10"/>
        <rFont val="Arial"/>
        <family val="2"/>
      </rPr>
      <t>;  &lt;300m</t>
    </r>
    <r>
      <rPr>
        <sz val="10"/>
        <color rgb="FF713605"/>
        <rFont val="Arial"/>
        <family val="2"/>
      </rPr>
      <t xml:space="preserve"> </t>
    </r>
    <r>
      <rPr>
        <sz val="11"/>
        <color rgb="FF713605"/>
        <rFont val="Arial"/>
        <family val="2"/>
      </rPr>
      <t>(3)</t>
    </r>
  </si>
  <si>
    <r>
      <rPr>
        <sz val="10"/>
        <rFont val="Arial"/>
        <family val="2"/>
      </rPr>
      <t xml:space="preserve">14.12 - </t>
    </r>
    <r>
      <rPr>
        <sz val="11"/>
        <rFont val="Arial"/>
        <family val="2"/>
      </rPr>
      <t>Tipo de manejo do solo:</t>
    </r>
    <r>
      <rPr>
        <sz val="12"/>
        <rFont val="Arial"/>
        <family val="2"/>
      </rPr>
      <t xml:space="preserve"> </t>
    </r>
    <r>
      <rPr>
        <sz val="9"/>
        <rFont val="Arial"/>
        <family val="2"/>
      </rPr>
      <t xml:space="preserve">Solo protegido </t>
    </r>
    <r>
      <rPr>
        <sz val="10"/>
        <color rgb="FF713605"/>
        <rFont val="Arial"/>
        <family val="2"/>
      </rPr>
      <t>(1)</t>
    </r>
    <r>
      <rPr>
        <sz val="10"/>
        <rFont val="Arial"/>
        <family val="2"/>
      </rPr>
      <t xml:space="preserve">; </t>
    </r>
    <r>
      <rPr>
        <sz val="9"/>
        <rFont val="Arial"/>
        <family val="2"/>
      </rPr>
      <t xml:space="preserve">Solo sem revolvimento </t>
    </r>
    <r>
      <rPr>
        <sz val="10"/>
        <color rgb="FF713605"/>
        <rFont val="Arial"/>
        <family val="2"/>
      </rPr>
      <t>(2)</t>
    </r>
    <r>
      <rPr>
        <sz val="10"/>
        <rFont val="Arial"/>
        <family val="2"/>
      </rPr>
      <t>; S</t>
    </r>
    <r>
      <rPr>
        <sz val="9"/>
        <rFont val="Arial"/>
        <family val="2"/>
      </rPr>
      <t xml:space="preserve">olo com revolvimento </t>
    </r>
    <r>
      <rPr>
        <sz val="10"/>
        <color rgb="FF713605"/>
        <rFont val="Arial"/>
        <family val="2"/>
      </rPr>
      <t>(3)</t>
    </r>
  </si>
  <si>
    <t>Vulnerabilidade do talhão:</t>
  </si>
  <si>
    <r>
      <rPr>
        <sz val="10"/>
        <rFont val="Arial"/>
        <family val="2"/>
      </rPr>
      <t>14.13 -</t>
    </r>
    <r>
      <rPr>
        <sz val="12"/>
        <rFont val="Arial"/>
        <family val="2"/>
      </rPr>
      <t xml:space="preserve"> </t>
    </r>
    <r>
      <rPr>
        <sz val="11"/>
        <rFont val="Arial"/>
        <family val="2"/>
      </rPr>
      <t>Risco de contaminação (1, 2 ou 3)</t>
    </r>
  </si>
  <si>
    <r>
      <rPr>
        <sz val="10"/>
        <rFont val="Arial"/>
        <family val="2"/>
      </rPr>
      <t xml:space="preserve">14.14 - </t>
    </r>
    <r>
      <rPr>
        <sz val="11"/>
        <rFont val="Arial"/>
        <family val="2"/>
      </rPr>
      <t>Identificação do talhão</t>
    </r>
  </si>
  <si>
    <r>
      <rPr>
        <sz val="10"/>
        <rFont val="Arial"/>
        <family val="2"/>
      </rPr>
      <t xml:space="preserve">14.15 - </t>
    </r>
    <r>
      <rPr>
        <sz val="11"/>
        <rFont val="Arial"/>
        <family val="2"/>
      </rPr>
      <t>Área (ha)</t>
    </r>
  </si>
  <si>
    <r>
      <rPr>
        <sz val="10"/>
        <rFont val="Arial"/>
        <family val="2"/>
      </rPr>
      <t xml:space="preserve">14.16 - </t>
    </r>
    <r>
      <rPr>
        <sz val="11"/>
        <rFont val="Arial"/>
        <family val="2"/>
      </rPr>
      <t xml:space="preserve">Risco </t>
    </r>
    <r>
      <rPr>
        <sz val="11"/>
        <color rgb="FFC00000"/>
        <rFont val="Arial"/>
        <family val="2"/>
      </rPr>
      <t>máximo</t>
    </r>
    <r>
      <rPr>
        <sz val="11"/>
        <rFont val="Arial"/>
        <family val="2"/>
      </rPr>
      <t xml:space="preserve"> (1), (2) ou (3)</t>
    </r>
  </si>
  <si>
    <t>Referência: Chaves (2010).</t>
  </si>
  <si>
    <t>AVALIAÇÃO DE ÁREAS COM SOLO EM PROCESSO DE DEGRADAÇÃO NO IMÓVEL RURAL</t>
  </si>
  <si>
    <t>Proporção (%) área total</t>
  </si>
  <si>
    <t>Lançar apenas uma área (a mais significativa)</t>
  </si>
  <si>
    <r>
      <rPr>
        <sz val="10"/>
        <rFont val="Arial"/>
        <family val="2"/>
      </rPr>
      <t xml:space="preserve">15.1 - </t>
    </r>
    <r>
      <rPr>
        <sz val="11"/>
        <rFont val="Arial"/>
        <family val="2"/>
      </rPr>
      <t>Intensidade do estágio de degradação*</t>
    </r>
  </si>
  <si>
    <t>Inicial</t>
  </si>
  <si>
    <t>Intermediário</t>
  </si>
  <si>
    <t>Avançado</t>
  </si>
  <si>
    <t>Marque a opção com x</t>
  </si>
  <si>
    <t>* Evidências de erosão: Inicial - redução de infiltração de água, raízes expostas; Intermediário - remoção do horizonte superficial, presença de sulcos rasos localizados; Avançado - sulcos profundos e disseminados na área, voçorocas, movimento de massa (deslocamento de um volume de solo).</t>
  </si>
  <si>
    <r>
      <rPr>
        <sz val="10"/>
        <rFont val="Arial"/>
        <family val="2"/>
      </rPr>
      <t xml:space="preserve">15.2 - </t>
    </r>
    <r>
      <rPr>
        <sz val="11"/>
        <rFont val="Arial"/>
        <family val="2"/>
      </rPr>
      <t>Tendência de comportamento do processo</t>
    </r>
  </si>
  <si>
    <t>Redução**</t>
  </si>
  <si>
    <t>Inalterado</t>
  </si>
  <si>
    <t>Intensificação</t>
  </si>
  <si>
    <t>** Adoção de medidas de recuperação ou mitigação como terraceamentos, barreiras físicas, barramentos, revegetação, etc.</t>
  </si>
  <si>
    <t>Adaptação APOIA-NovoRural (Rodrigues et al, 2003); Fidalski (1997).</t>
  </si>
  <si>
    <t>GRAU DE ADOÇÃO DE PRÁTICAS CONSERVACIONISTAS NO IMÓVEL RURAL</t>
  </si>
  <si>
    <t>Área existente (ha)</t>
  </si>
  <si>
    <t xml:space="preserve">Lavoura permanente                      </t>
  </si>
  <si>
    <t>Lavoura temporária</t>
  </si>
  <si>
    <t>Pastagem</t>
  </si>
  <si>
    <r>
      <t>16.1 - Grau de adoção de práticas para a conservação dos</t>
    </r>
    <r>
      <rPr>
        <b/>
        <sz val="10"/>
        <rFont val="Arial"/>
        <family val="2"/>
      </rPr>
      <t xml:space="preserve"> solos</t>
    </r>
  </si>
  <si>
    <t>Suficiente</t>
  </si>
  <si>
    <t>Insuficiente</t>
  </si>
  <si>
    <t>Situação inadequada</t>
  </si>
  <si>
    <t>Verificação (questionário) =&gt;</t>
  </si>
  <si>
    <r>
      <t>16.2 - Grau de adoção de estratégias para a conservação e reservação das</t>
    </r>
    <r>
      <rPr>
        <b/>
        <sz val="10"/>
        <rFont val="Arial"/>
        <family val="2"/>
      </rPr>
      <t xml:space="preserve"> águas</t>
    </r>
    <r>
      <rPr>
        <sz val="10"/>
        <rFont val="Arial"/>
        <family val="2"/>
      </rPr>
      <t xml:space="preserve"> no imóvel rural</t>
    </r>
  </si>
  <si>
    <t>ESTADO DE CONSERVAÇÃO DAS ESTRADAS QUE CORTAM E MARGEIAM O IMÓVEL RURAL</t>
  </si>
  <si>
    <t>Estradas    internas</t>
  </si>
  <si>
    <t>Estradas externas*</t>
  </si>
  <si>
    <t>Dados: porcentual das estradas (%)</t>
  </si>
  <si>
    <r>
      <rPr>
        <sz val="10"/>
        <rFont val="Arial"/>
        <family val="2"/>
      </rPr>
      <t xml:space="preserve">17.1 - </t>
    </r>
    <r>
      <rPr>
        <sz val="11"/>
        <rFont val="Arial"/>
        <family val="2"/>
      </rPr>
      <t>Presença de sistema de conservação e drenagem nas estradas</t>
    </r>
  </si>
  <si>
    <t>Declividade transversal das estradas</t>
  </si>
  <si>
    <t>Presença de lombadas/sulcos para desvio de enxurrada</t>
  </si>
  <si>
    <t>Presença de caixas de infiltração</t>
  </si>
  <si>
    <r>
      <rPr>
        <sz val="10"/>
        <rFont val="Arial"/>
        <family val="2"/>
      </rPr>
      <t xml:space="preserve">17.2 - </t>
    </r>
    <r>
      <rPr>
        <sz val="11"/>
        <rFont val="Arial"/>
        <family val="2"/>
      </rPr>
      <t>Conservação das estradas</t>
    </r>
  </si>
  <si>
    <t>Presença de buracos nas estradas</t>
  </si>
  <si>
    <t>Presença de sulcos de erosão nas estradas</t>
  </si>
  <si>
    <r>
      <rPr>
        <sz val="10"/>
        <rFont val="Arial"/>
        <family val="2"/>
      </rPr>
      <t xml:space="preserve">17.3 - </t>
    </r>
    <r>
      <rPr>
        <sz val="11"/>
        <rFont val="Arial"/>
        <family val="2"/>
      </rPr>
      <t>O imóvel rural possui algum ponto crítico nas estradas*</t>
    </r>
  </si>
  <si>
    <t>VEGETAÇÃO NATIVA - FITOFISIONOMIAS E ESTADO DE CONSERVAÇÃO NO IMÓVEL RURAL</t>
  </si>
  <si>
    <t>Unidade - Área (ha)</t>
  </si>
  <si>
    <t>Cerrado típico</t>
  </si>
  <si>
    <t>Cerrado ralo</t>
  </si>
  <si>
    <t>Mata de galeria</t>
  </si>
  <si>
    <r>
      <rPr>
        <sz val="10"/>
        <rFont val="Arial"/>
        <family val="2"/>
      </rPr>
      <t xml:space="preserve">18.1 - </t>
    </r>
    <r>
      <rPr>
        <sz val="11"/>
        <rFont val="Arial"/>
        <family val="2"/>
      </rPr>
      <t>Estágios sucessionais da vegetação nativa</t>
    </r>
  </si>
  <si>
    <t xml:space="preserve">Estágio avançado </t>
  </si>
  <si>
    <t xml:space="preserve">Estágio médio </t>
  </si>
  <si>
    <t>Estágio inicial</t>
  </si>
  <si>
    <t>Proporção da área (%)</t>
  </si>
  <si>
    <t>Verificação (geoprocessamento) =&gt;</t>
  </si>
  <si>
    <r>
      <rPr>
        <sz val="10"/>
        <rFont val="Arial"/>
        <family val="2"/>
      </rPr>
      <t xml:space="preserve">18.2 - </t>
    </r>
    <r>
      <rPr>
        <sz val="11"/>
        <rFont val="Arial"/>
        <family val="2"/>
      </rPr>
      <t>Proporção da área dos fragmentos com a vegetação nativa   protegida*</t>
    </r>
  </si>
  <si>
    <t>Total da área com vegetação nativa</t>
  </si>
  <si>
    <t>* Verificação das áreas que estão protegidas do fogo e do pastoreio, com vegetação nativa bem caracterizada, sem dominância de espécies invasoras exóticas.</t>
  </si>
  <si>
    <r>
      <rPr>
        <sz val="10"/>
        <rFont val="Arial"/>
        <family val="2"/>
      </rPr>
      <t>18.3 -</t>
    </r>
    <r>
      <rPr>
        <sz val="12"/>
        <rFont val="Arial"/>
        <family val="2"/>
      </rPr>
      <t xml:space="preserve"> </t>
    </r>
    <r>
      <rPr>
        <sz val="11"/>
        <rFont val="Arial"/>
        <family val="2"/>
      </rPr>
      <t>Nº de fragmentos com vegetação nativa</t>
    </r>
    <r>
      <rPr>
        <sz val="12"/>
        <rFont val="Arial"/>
        <family val="2"/>
      </rPr>
      <t xml:space="preserve"> </t>
    </r>
    <r>
      <rPr>
        <sz val="9"/>
        <rFont val="Arial"/>
        <family val="2"/>
      </rPr>
      <t>(no imóvel rural)</t>
    </r>
    <r>
      <rPr>
        <sz val="12"/>
        <rFont val="Arial"/>
        <family val="2"/>
      </rPr>
      <t xml:space="preserve"> </t>
    </r>
  </si>
  <si>
    <r>
      <rPr>
        <sz val="10"/>
        <rFont val="Arial"/>
        <family val="2"/>
      </rPr>
      <t>18.4</t>
    </r>
    <r>
      <rPr>
        <sz val="11"/>
        <rFont val="Arial"/>
        <family val="2"/>
      </rPr>
      <t xml:space="preserve"> - Este(s) fragmento(s) tem conexão com a vegetação nativa de propriedades vizinhas</t>
    </r>
  </si>
  <si>
    <t>ADEQUAÇÃO DAS ÁREAS DE PRESERVAÇÃO PERMANENTE (APPs) DO IMÓVEL RURAL</t>
  </si>
  <si>
    <t>Unidade (ha)</t>
  </si>
  <si>
    <r>
      <rPr>
        <sz val="10"/>
        <rFont val="Arial"/>
        <family val="2"/>
      </rPr>
      <t xml:space="preserve">19.1 - </t>
    </r>
    <r>
      <rPr>
        <sz val="11"/>
        <rFont val="Arial"/>
        <family val="2"/>
      </rPr>
      <t>Uso e ocupação do solo nas APPs</t>
    </r>
  </si>
  <si>
    <t>Área antropizada com uso consolidado passível de ser explorada</t>
  </si>
  <si>
    <t>Área de supressão vegetal com obrigação de recomposição da veg. nativa</t>
  </si>
  <si>
    <t>Somatório =&gt;</t>
  </si>
  <si>
    <r>
      <rPr>
        <sz val="10"/>
        <rFont val="Arial"/>
        <family val="2"/>
      </rPr>
      <t xml:space="preserve">19.2 - </t>
    </r>
    <r>
      <rPr>
        <sz val="11"/>
        <rFont val="Arial"/>
        <family val="2"/>
      </rPr>
      <t xml:space="preserve">Proporção das APPs efetivamente protegidas e com bom estado de conservação (%) </t>
    </r>
  </si>
  <si>
    <t>ADEQUAÇÃO DA RESERVA LEGAL (RL) DO IMÓVEL RURAL</t>
  </si>
  <si>
    <t>Área de Reserva Legal (ha)  =&gt;</t>
  </si>
  <si>
    <t>Áreas de/para RL que necessitam de recomposição</t>
  </si>
  <si>
    <t>Área com vegetação nativa excedente =&gt;</t>
  </si>
  <si>
    <r>
      <rPr>
        <sz val="10"/>
        <rFont val="Arial"/>
        <family val="2"/>
      </rPr>
      <t xml:space="preserve">20.1 - </t>
    </r>
    <r>
      <rPr>
        <sz val="11"/>
        <rFont val="Arial"/>
        <family val="2"/>
      </rPr>
      <t>Adequação da RL</t>
    </r>
  </si>
  <si>
    <t>Vegetação nativa excedente à RL</t>
  </si>
  <si>
    <t>RL fora do imóvel rural*</t>
  </si>
  <si>
    <t>Áreas de/para RL não passíveis de recomposição</t>
  </si>
  <si>
    <t>*Reserva Legal, ou parte da Reserva Legal, localizada fora do imóvel rural.</t>
  </si>
  <si>
    <t>Verificação =&gt;</t>
  </si>
  <si>
    <t>DIVERSIFICAÇÃO DA PAISAGEM AGROSSILVIPASTORIL NO IMÓVEL RURAL</t>
  </si>
  <si>
    <r>
      <rPr>
        <sz val="10"/>
        <rFont val="Arial"/>
        <family val="2"/>
      </rPr>
      <t xml:space="preserve">21.1 - </t>
    </r>
    <r>
      <rPr>
        <sz val="11"/>
        <rFont val="Arial"/>
        <family val="2"/>
      </rPr>
      <t>Grau de adoção de práticas que auxiliam na agrobiodiversidade*</t>
    </r>
  </si>
  <si>
    <t>Situação inadequada**</t>
  </si>
  <si>
    <r>
      <rPr>
        <vertAlign val="superscript"/>
        <sz val="8"/>
        <rFont val="Arial"/>
        <family val="2"/>
      </rPr>
      <t>*</t>
    </r>
    <r>
      <rPr>
        <sz val="8"/>
        <rFont val="Arial"/>
        <family val="2"/>
      </rPr>
      <t xml:space="preserve"> Culturas intercalares, consórcio, rotações, integração, adubação verde; roçadas em faixas alternadas; barreiras vegetais; arborização.</t>
    </r>
  </si>
  <si>
    <t>** Uso de fogo em pastagens ou nas palhadas; áreas sem nenhuma cobertura vegetal; sucessões com a mesma cultura.</t>
  </si>
  <si>
    <r>
      <rPr>
        <sz val="10"/>
        <rFont val="Arial"/>
        <family val="2"/>
      </rPr>
      <t xml:space="preserve">21.2 - </t>
    </r>
    <r>
      <rPr>
        <sz val="11"/>
        <rFont val="Arial"/>
        <family val="2"/>
      </rPr>
      <t>Índice Shanon (áreas produtivas e vegetação nativa)</t>
    </r>
  </si>
  <si>
    <t>21.3 - Existe uma alta proporção (acima de 70% do perímetro) de monoculturas no entorno do imóvel rural</t>
  </si>
  <si>
    <t>ÍNDICES</t>
  </si>
  <si>
    <t>DATA DA APLICAÇÃO</t>
  </si>
  <si>
    <t>TÉCNICO</t>
  </si>
  <si>
    <t>MUNICÍPIO</t>
  </si>
  <si>
    <t>PRINCIPAL CURSO D'ÁGUA</t>
  </si>
  <si>
    <t>PRODUTOR</t>
  </si>
  <si>
    <t>CÓDIGO DO ESTABELECIMENTO</t>
  </si>
  <si>
    <t>Área total do estabelecimento (ha)</t>
  </si>
  <si>
    <t xml:space="preserve">Nº de módulos fiscais rurais </t>
  </si>
  <si>
    <t>Área total de arrendamento/áreas não contíguas(ha)</t>
  </si>
  <si>
    <t xml:space="preserve"> </t>
  </si>
  <si>
    <t>ÍNDICE DE SUSTENTABILIDADE</t>
  </si>
  <si>
    <t>TOTAL DE INDICADORES AVALIADOS</t>
  </si>
  <si>
    <t>Desvio - padrão</t>
  </si>
  <si>
    <t>Histórico</t>
  </si>
  <si>
    <t>Subíndices</t>
  </si>
  <si>
    <t>Balanço econômico</t>
  </si>
  <si>
    <t>Balanço social</t>
  </si>
  <si>
    <t>Gestão do estabelecimento</t>
  </si>
  <si>
    <t>Capacidade produtiva do solo</t>
  </si>
  <si>
    <t>Qualidade da água</t>
  </si>
  <si>
    <t>Manejo dos sistemas de produção</t>
  </si>
  <si>
    <t>Ecologia da paisagem agrícola</t>
  </si>
  <si>
    <t>Aspectos socioeconômicos</t>
  </si>
  <si>
    <t>1.Produtividade</t>
  </si>
  <si>
    <t>2.Diversificação da renda</t>
  </si>
  <si>
    <t>3.Evolução patrimonial</t>
  </si>
  <si>
    <t>4.Grau de endividamento</t>
  </si>
  <si>
    <t>5.Serviços básicos / Seg. alimentar</t>
  </si>
  <si>
    <t>6.Escolaridade, capacitação</t>
  </si>
  <si>
    <t>7.Qualidade do emprego gerado</t>
  </si>
  <si>
    <t>8.Gestão do empreendimento</t>
  </si>
  <si>
    <t>9.Gestão da informação</t>
  </si>
  <si>
    <t>10.Gerenciamento de resíduos</t>
  </si>
  <si>
    <t>11.Segurança do trabalho</t>
  </si>
  <si>
    <t>Aspectos ambientais</t>
  </si>
  <si>
    <t>12.Fertilidade do solo</t>
  </si>
  <si>
    <t>13.Qualidade da água</t>
  </si>
  <si>
    <t>14.Risco de contaminação</t>
  </si>
  <si>
    <t>15.Avaliação solos degradados</t>
  </si>
  <si>
    <t>16.Práticas de conservação</t>
  </si>
  <si>
    <t>17.Estradas</t>
  </si>
  <si>
    <t>18.Vegetação nativa</t>
  </si>
  <si>
    <t>19.APPs</t>
  </si>
  <si>
    <t>20.Reserva Legal</t>
  </si>
  <si>
    <t>21.Diversificação da paisagem</t>
  </si>
  <si>
    <t xml:space="preserve">Áreas cultivadas e com pastagem (%área total) </t>
  </si>
  <si>
    <t xml:space="preserve">Área com vegetação nativa (% área total) </t>
  </si>
  <si>
    <t>APPs (% área total)</t>
  </si>
  <si>
    <t>Área a ser recuperada nas APPs (% área total)</t>
  </si>
  <si>
    <t>Área a ser recuperada nas APPs (ha)</t>
  </si>
  <si>
    <t>Vegetação nativa fora das APPs/RL (% área total)</t>
  </si>
  <si>
    <t>Área com vegetação nativa excedente a RL(ha)</t>
  </si>
  <si>
    <t>Nº de fragmentos com vegetação nativa</t>
  </si>
  <si>
    <t>Fragmentos de veg. nativa - conexão com vizinhos</t>
  </si>
  <si>
    <t>Nº de cursos d'água</t>
  </si>
  <si>
    <t>Nº de nascentes</t>
  </si>
  <si>
    <t>Nº de lagos e lagoas naturais</t>
  </si>
  <si>
    <t>Nº de represas</t>
  </si>
  <si>
    <t>Área com irrigação (ha)</t>
  </si>
  <si>
    <t>Problemas com abastecimento de água</t>
  </si>
  <si>
    <t>Resultados</t>
  </si>
  <si>
    <t>Indices</t>
  </si>
  <si>
    <t>Análise de fertilidade do solo</t>
  </si>
  <si>
    <r>
      <t xml:space="preserve">Matéria orgânica do solo </t>
    </r>
    <r>
      <rPr>
        <sz val="9"/>
        <rFont val="Arial"/>
        <family val="2"/>
      </rPr>
      <t>(dag kg</t>
    </r>
    <r>
      <rPr>
        <vertAlign val="superscript"/>
        <sz val="9"/>
        <rFont val="Arial"/>
        <family val="2"/>
      </rPr>
      <t>-1</t>
    </r>
    <r>
      <rPr>
        <sz val="9"/>
        <rFont val="Arial"/>
        <family val="2"/>
      </rPr>
      <t>)</t>
    </r>
  </si>
  <si>
    <r>
      <t xml:space="preserve">Fósforo disponível </t>
    </r>
    <r>
      <rPr>
        <sz val="9"/>
        <rFont val="Arial"/>
        <family val="2"/>
      </rPr>
      <t>(mg dm</t>
    </r>
    <r>
      <rPr>
        <vertAlign val="superscript"/>
        <sz val="9"/>
        <rFont val="Arial"/>
        <family val="2"/>
      </rPr>
      <t>-3</t>
    </r>
    <r>
      <rPr>
        <sz val="9"/>
        <rFont val="Arial"/>
        <family val="2"/>
      </rPr>
      <t>)</t>
    </r>
  </si>
  <si>
    <r>
      <t xml:space="preserve">Cálcio trocável </t>
    </r>
    <r>
      <rPr>
        <sz val="9"/>
        <rFont val="Arial"/>
        <family val="2"/>
      </rPr>
      <t>(cmol</t>
    </r>
    <r>
      <rPr>
        <vertAlign val="subscript"/>
        <sz val="9"/>
        <rFont val="Arial"/>
        <family val="2"/>
      </rPr>
      <t>c</t>
    </r>
    <r>
      <rPr>
        <sz val="9"/>
        <rFont val="Arial"/>
        <family val="2"/>
      </rPr>
      <t xml:space="preserve"> dm</t>
    </r>
    <r>
      <rPr>
        <vertAlign val="superscript"/>
        <sz val="9"/>
        <rFont val="Arial"/>
        <family val="2"/>
      </rPr>
      <t>-3</t>
    </r>
    <r>
      <rPr>
        <sz val="9"/>
        <rFont val="Arial"/>
        <family val="2"/>
      </rPr>
      <t>)</t>
    </r>
  </si>
  <si>
    <r>
      <t xml:space="preserve">Magnésio trocável </t>
    </r>
    <r>
      <rPr>
        <sz val="9"/>
        <rFont val="Arial"/>
        <family val="2"/>
      </rPr>
      <t>(cmol</t>
    </r>
    <r>
      <rPr>
        <vertAlign val="subscript"/>
        <sz val="9"/>
        <rFont val="Arial"/>
        <family val="2"/>
      </rPr>
      <t>c</t>
    </r>
    <r>
      <rPr>
        <sz val="9"/>
        <rFont val="Arial"/>
        <family val="2"/>
      </rPr>
      <t xml:space="preserve"> dm</t>
    </r>
    <r>
      <rPr>
        <vertAlign val="superscript"/>
        <sz val="9"/>
        <rFont val="Arial"/>
        <family val="2"/>
      </rPr>
      <t>-3</t>
    </r>
    <r>
      <rPr>
        <sz val="9"/>
        <rFont val="Arial"/>
        <family val="2"/>
      </rPr>
      <t>)</t>
    </r>
  </si>
  <si>
    <r>
      <t xml:space="preserve">Potássio trocável </t>
    </r>
    <r>
      <rPr>
        <sz val="9"/>
        <rFont val="Arial"/>
        <family val="2"/>
      </rPr>
      <t>(mg</t>
    </r>
    <r>
      <rPr>
        <sz val="9"/>
        <rFont val="Arial"/>
        <family val="2"/>
      </rPr>
      <t xml:space="preserve"> dm</t>
    </r>
    <r>
      <rPr>
        <vertAlign val="superscript"/>
        <sz val="9"/>
        <rFont val="Arial"/>
        <family val="2"/>
      </rPr>
      <t>-3</t>
    </r>
    <r>
      <rPr>
        <sz val="9"/>
        <rFont val="Arial"/>
        <family val="2"/>
      </rPr>
      <t>)</t>
    </r>
  </si>
  <si>
    <r>
      <t xml:space="preserve">Acidez ativa </t>
    </r>
    <r>
      <rPr>
        <sz val="9"/>
        <rFont val="Arial"/>
        <family val="2"/>
      </rPr>
      <t>(pH)</t>
    </r>
  </si>
  <si>
    <r>
      <t xml:space="preserve">Alumínio trocável </t>
    </r>
    <r>
      <rPr>
        <sz val="9"/>
        <rFont val="Arial"/>
        <family val="2"/>
      </rPr>
      <t>(cmol</t>
    </r>
    <r>
      <rPr>
        <vertAlign val="subscript"/>
        <sz val="9"/>
        <rFont val="Arial"/>
        <family val="2"/>
      </rPr>
      <t>c</t>
    </r>
    <r>
      <rPr>
        <sz val="9"/>
        <rFont val="Arial"/>
        <family val="2"/>
      </rPr>
      <t xml:space="preserve"> dm</t>
    </r>
    <r>
      <rPr>
        <vertAlign val="superscript"/>
        <sz val="9"/>
        <rFont val="Arial"/>
        <family val="2"/>
      </rPr>
      <t>-3</t>
    </r>
    <r>
      <rPr>
        <sz val="9"/>
        <rFont val="Arial"/>
        <family val="2"/>
      </rPr>
      <t>)</t>
    </r>
  </si>
  <si>
    <r>
      <t xml:space="preserve">CTC efetiva </t>
    </r>
    <r>
      <rPr>
        <sz val="9"/>
        <rFont val="Arial"/>
        <family val="2"/>
      </rPr>
      <t>(cmol</t>
    </r>
    <r>
      <rPr>
        <vertAlign val="subscript"/>
        <sz val="9"/>
        <rFont val="Arial"/>
        <family val="2"/>
      </rPr>
      <t>c</t>
    </r>
    <r>
      <rPr>
        <sz val="9"/>
        <rFont val="Arial"/>
        <family val="2"/>
      </rPr>
      <t xml:space="preserve"> dm</t>
    </r>
    <r>
      <rPr>
        <vertAlign val="superscript"/>
        <sz val="9"/>
        <rFont val="Arial"/>
        <family val="2"/>
      </rPr>
      <t>-3</t>
    </r>
    <r>
      <rPr>
        <sz val="9"/>
        <rFont val="Arial"/>
        <family val="2"/>
      </rPr>
      <t>)</t>
    </r>
  </si>
  <si>
    <r>
      <t xml:space="preserve">Saturação por bases </t>
    </r>
    <r>
      <rPr>
        <sz val="9"/>
        <rFont val="Arial"/>
        <family val="2"/>
      </rPr>
      <t>(%)</t>
    </r>
  </si>
  <si>
    <t>INFORMAÇÕES GERAIS SOBRE O IMÓVEL RURAL</t>
  </si>
  <si>
    <t>Coordenada geográfica (WGS84) Latitude</t>
  </si>
  <si>
    <t>Coordenada geográfica (WGS84) Longitude</t>
  </si>
  <si>
    <t>Posse da terra</t>
  </si>
  <si>
    <t>Tipologia do produtor(a)</t>
  </si>
  <si>
    <t>Idade do proprietário (anos)</t>
  </si>
  <si>
    <t>Nº  de integrantes com vínculo direto</t>
  </si>
  <si>
    <t>Nº de empregados permanentes e meeiros</t>
  </si>
  <si>
    <t>Nº de empregados temporários</t>
  </si>
  <si>
    <t>Renda bruta do empreendimento (R$/ano)</t>
  </si>
  <si>
    <t>Renda bruta do empreendimento (R$/mês)</t>
  </si>
  <si>
    <t>Renda bruta do empreendimento (R$/ha/ano)</t>
  </si>
  <si>
    <r>
      <t xml:space="preserve">Renda bruta fora do empreendimento) </t>
    </r>
    <r>
      <rPr>
        <sz val="8"/>
        <color theme="1"/>
        <rFont val="Arial"/>
        <family val="2"/>
      </rPr>
      <t>(R$/mês)</t>
    </r>
  </si>
  <si>
    <r>
      <t xml:space="preserve">Renda bruta total (dento e fora do emp.) </t>
    </r>
    <r>
      <rPr>
        <sz val="8"/>
        <color theme="1"/>
        <rFont val="Arial"/>
        <family val="2"/>
      </rPr>
      <t>(R$/mês)</t>
    </r>
  </si>
  <si>
    <t>Proporção da principal atividade/renda bruta</t>
  </si>
  <si>
    <t>Instalações e outras benfeitorias  (R$)</t>
  </si>
  <si>
    <t>Máquinas e Equipamentos (R$)</t>
  </si>
  <si>
    <t>Animais (semoventes) (R$)</t>
  </si>
  <si>
    <t>Valor de referência da terra na região (R$/ha)</t>
  </si>
  <si>
    <t>Estimativa Patrimonial do imóvel rural</t>
  </si>
  <si>
    <t>Média anual da evolução patrimonial total (%)</t>
  </si>
  <si>
    <t>Média anual da evol. Pat. (sem valorização da terra) (%)</t>
  </si>
  <si>
    <t>Qte de agrotóxicos / área cultivada (L/ha/ano)</t>
  </si>
  <si>
    <t xml:space="preserve">RELATÓRIO DE ASSISTÊNCIA   TÉCNICA AO PRODUTOR RURAL </t>
  </si>
  <si>
    <t xml:space="preserve"> Formulário atualizado em: UPEC–05/01/2012</t>
  </si>
  <si>
    <t xml:space="preserve">  Produtor:</t>
  </si>
  <si>
    <t>CPF:</t>
  </si>
  <si>
    <t xml:space="preserve">  Município:</t>
  </si>
  <si>
    <t>Comunidade:</t>
  </si>
  <si>
    <t xml:space="preserve">  Convênio: </t>
  </si>
  <si>
    <t xml:space="preserve"> META:</t>
  </si>
  <si>
    <t xml:space="preserve"> Nº Convênio:</t>
  </si>
  <si>
    <t xml:space="preserve">  Nome  do Técnico / Matrícula:</t>
  </si>
  <si>
    <t>Visita N°</t>
  </si>
  <si>
    <t xml:space="preserve">ORIENTAÇÃO TÉCNICA (Situação Atual, Orientações e Recomendações) </t>
  </si>
  <si>
    <t>Assinaturas</t>
  </si>
  <si>
    <t>Data</t>
  </si>
  <si>
    <t>Técnico Responsável / Nº Conselho</t>
  </si>
  <si>
    <t xml:space="preserve"> Produtor</t>
  </si>
  <si>
    <t>MOD.230-07 E MAPA/EMBRAPA</t>
  </si>
  <si>
    <t xml:space="preserve"> Formulário atualizado em: UPEC–13/03/2013</t>
  </si>
  <si>
    <t>GUIA DE APLICAÇÃO</t>
  </si>
  <si>
    <t>Planilha ISA</t>
  </si>
  <si>
    <t>O ISA é composto por 5 pastas:</t>
  </si>
  <si>
    <r>
      <t>1</t>
    </r>
    <r>
      <rPr>
        <b/>
        <sz val="12"/>
        <color rgb="FFC00000"/>
        <rFont val="Calibri"/>
        <family val="2"/>
      </rPr>
      <t xml:space="preserve">ª </t>
    </r>
    <r>
      <rPr>
        <sz val="12"/>
        <color rgb="FFC00000"/>
        <rFont val="Arial"/>
        <family val="2"/>
      </rPr>
      <t>- Questionário</t>
    </r>
  </si>
  <si>
    <r>
      <t>2</t>
    </r>
    <r>
      <rPr>
        <b/>
        <sz val="12"/>
        <color rgb="FFC00000"/>
        <rFont val="Calibri"/>
        <family val="2"/>
      </rPr>
      <t>ª</t>
    </r>
    <r>
      <rPr>
        <sz val="12"/>
        <color rgb="FFC00000"/>
        <rFont val="Arial"/>
        <family val="2"/>
      </rPr>
      <t xml:space="preserve"> - Geoprocessamento</t>
    </r>
  </si>
  <si>
    <r>
      <t>3</t>
    </r>
    <r>
      <rPr>
        <b/>
        <sz val="12"/>
        <color rgb="FFC00000"/>
        <rFont val="Calibri"/>
        <family val="2"/>
      </rPr>
      <t>ª</t>
    </r>
    <r>
      <rPr>
        <sz val="12"/>
        <color rgb="FFC00000"/>
        <rFont val="Arial"/>
        <family val="2"/>
      </rPr>
      <t xml:space="preserve"> - Indicadores</t>
    </r>
  </si>
  <si>
    <r>
      <t>4</t>
    </r>
    <r>
      <rPr>
        <b/>
        <sz val="12"/>
        <color rgb="FFC00000"/>
        <rFont val="Calibri"/>
        <family val="2"/>
      </rPr>
      <t>ª</t>
    </r>
    <r>
      <rPr>
        <b/>
        <sz val="12"/>
        <color rgb="FFC00000"/>
        <rFont val="Arial"/>
        <family val="2"/>
      </rPr>
      <t xml:space="preserve"> </t>
    </r>
    <r>
      <rPr>
        <sz val="12"/>
        <color rgb="FFC00000"/>
        <rFont val="Arial"/>
        <family val="2"/>
      </rPr>
      <t>- Relatório</t>
    </r>
  </si>
  <si>
    <r>
      <t>5</t>
    </r>
    <r>
      <rPr>
        <b/>
        <sz val="12"/>
        <color rgb="FFC00000"/>
        <rFont val="Calibri"/>
        <family val="2"/>
      </rPr>
      <t>ª</t>
    </r>
    <r>
      <rPr>
        <b/>
        <sz val="12"/>
        <color rgb="FFC00000"/>
        <rFont val="Arial"/>
        <family val="2"/>
      </rPr>
      <t xml:space="preserve"> </t>
    </r>
    <r>
      <rPr>
        <sz val="12"/>
        <color rgb="FFC00000"/>
        <rFont val="Arial"/>
        <family val="2"/>
      </rPr>
      <t>- Plano de Adequação</t>
    </r>
  </si>
  <si>
    <t>O preenchimento da planilha ou do formulário impresso se dará pelo entrevistador, com base nas informações passadas pelo produtor durante a entrevista, podendo contar com o auxílio de seus consultores ou responsáveis técnicos. Alguns dos campos poderão ser preenchidos posteriormente, como, por exemplo, o indicador relacionado à fertilidade do solo (indicador 12), caso não haja uma análise recente disponível com o produtor (neste caso, o preenchimento será realizado após o recebimento dos resultados da análise da amostra de solo coletada no imóvel rural). Algumas informações que o técnico já possuir sobre o imóvel rural podem ser preenchidas antes da visita ao imóvel rural.</t>
  </si>
  <si>
    <t>Cronograma de atividades no campo</t>
  </si>
  <si>
    <r>
      <t xml:space="preserve">1 - </t>
    </r>
    <r>
      <rPr>
        <sz val="9"/>
        <color theme="1"/>
        <rFont val="Arial"/>
        <family val="2"/>
      </rPr>
      <t>Fazer o registro das</t>
    </r>
    <r>
      <rPr>
        <sz val="9"/>
        <color rgb="FFC00000"/>
        <rFont val="Arial"/>
        <family val="2"/>
      </rPr>
      <t xml:space="preserve"> coordenadas </t>
    </r>
    <r>
      <rPr>
        <sz val="9"/>
        <color theme="1"/>
        <rFont val="Arial"/>
        <family val="2"/>
      </rPr>
      <t>da sede com o GPS.</t>
    </r>
  </si>
  <si>
    <r>
      <t xml:space="preserve">2 - </t>
    </r>
    <r>
      <rPr>
        <sz val="9"/>
        <color theme="1"/>
        <rFont val="Arial"/>
        <family val="2"/>
      </rPr>
      <t xml:space="preserve">Confeccionar o </t>
    </r>
    <r>
      <rPr>
        <sz val="9"/>
        <color rgb="FFC00000"/>
        <rFont val="Arial"/>
        <family val="2"/>
      </rPr>
      <t>croqui</t>
    </r>
    <r>
      <rPr>
        <sz val="9"/>
        <color theme="1"/>
        <rFont val="Arial"/>
        <family val="2"/>
      </rPr>
      <t xml:space="preserve"> do estabelecimento no programa federal ou estadual do Cadastro Ambiental Rural (CAR), ou no programa Google Earth, para, posteriormente, exportar os polígonos para o CAR. No croqui serão identificados: perímetro do imóvel rural, áreas de uso consolidado (áreas de produção agrossilvipastoris e construções rurais implantadas antes de julho de 2008); remanescentes de vegetação nativa; áreas de pousio; nascentes, represas, lagos, cursos d'água, entre outros, quando presentes.</t>
    </r>
  </si>
  <si>
    <r>
      <t xml:space="preserve">3 - </t>
    </r>
    <r>
      <rPr>
        <sz val="9"/>
        <color theme="1"/>
        <rFont val="Arial"/>
        <family val="2"/>
      </rPr>
      <t>Preencher os dados da planilha nas abas Questionário, Geoprocessamento e Indicadores. Definir com o produtor os</t>
    </r>
    <r>
      <rPr>
        <sz val="9"/>
        <color rgb="FFC00000"/>
        <rFont val="Arial"/>
        <family val="2"/>
      </rPr>
      <t xml:space="preserve"> locais que serão percorridos</t>
    </r>
    <r>
      <rPr>
        <sz val="9"/>
        <color theme="1"/>
        <rFont val="Arial"/>
        <family val="2"/>
      </rPr>
      <t xml:space="preserve"> na visita ao imóvel rural, para a verificação do manejo das áreas de produção agrícola, pecuária e/ou florestal, das áreas com vegetação nativa, estradas, os locais para a coleta de amostras de solo, quando necessário, e os locais para a avaliação da qualidade da água nos corpos d'água, quando presentes.</t>
    </r>
  </si>
  <si>
    <t>Preenchimento dos dados na planilha</t>
  </si>
  <si>
    <t>Questionário</t>
  </si>
  <si>
    <r>
      <t>Recomenda-se criar um</t>
    </r>
    <r>
      <rPr>
        <sz val="9"/>
        <color rgb="FFC00000"/>
        <rFont val="Arial"/>
        <family val="2"/>
      </rPr>
      <t xml:space="preserve"> código</t>
    </r>
    <r>
      <rPr>
        <sz val="9"/>
        <color theme="1"/>
        <rFont val="Arial"/>
        <family val="2"/>
      </rPr>
      <t xml:space="preserve"> para cada estabelecimento rural  visitado e salvar o arquivo (planilha) com o mesmo código gerado no preenchimento do questionário </t>
    </r>
    <r>
      <rPr>
        <sz val="9"/>
        <color rgb="FF0070C0"/>
        <rFont val="Arial"/>
        <family val="2"/>
      </rPr>
      <t>(item 3.4)</t>
    </r>
    <r>
      <rPr>
        <sz val="9"/>
        <color theme="1"/>
        <rFont val="Arial"/>
        <family val="2"/>
      </rPr>
      <t xml:space="preserve">. Para gerar o código, sugere-se: 1º - Identificação da sub-bacia hidrográfica (no Estado de Minas Gerais, foram adotadas as Unidades de Planejamento e Gestão de Recursos Hídricos - UPGRHs para a identificação das sub-bacias hidrográficas - aba UPGRH da planilha ISA apresenta uma lista dos municípios de Minas Gerais em ordem alfabética com os dados correspondentes do código do IBGE e da UPGRH); 2º - Código do município do IBGE (aba UPGRH); 3º - Nome do principal curso d'água dentro ou próximo do imóvel rural; 4º - Numeração escolhida para o imóvel rural visitado; 5º - Ano da aplicação do ISA no imóvel rural. Exemplo de um código gerado: </t>
    </r>
    <r>
      <rPr>
        <b/>
        <sz val="9"/>
        <rFont val="Arial"/>
        <family val="2"/>
      </rPr>
      <t>GD3  3107109  Rio Grande  12  2013</t>
    </r>
    <r>
      <rPr>
        <sz val="9"/>
        <color theme="1"/>
        <rFont val="Arial"/>
        <family val="2"/>
      </rPr>
      <t>.</t>
    </r>
  </si>
  <si>
    <r>
      <t xml:space="preserve">O preenchimento da posse de terra diz respeito ao vínculo que o produtor possui com o imóvel rural.                                                               </t>
    </r>
    <r>
      <rPr>
        <b/>
        <sz val="9"/>
        <color theme="1"/>
        <rFont val="Arial"/>
        <family val="2"/>
      </rPr>
      <t xml:space="preserve"> </t>
    </r>
    <r>
      <rPr>
        <sz val="9"/>
        <color rgb="FFC00000"/>
        <rFont val="Arial"/>
        <family val="2"/>
      </rPr>
      <t>Proprietário</t>
    </r>
    <r>
      <rPr>
        <sz val="9"/>
        <color theme="1"/>
        <rFont val="Arial"/>
        <family val="2"/>
      </rPr>
      <t xml:space="preserve"> é a pessoa física ou jurídica que possui o imóvel rural, válido e regularmente destacado do patrimônio público, registrado em seu nome no registro imobiliário. Ele detém o domínio pleno direto (direito de dispor do imóvel rural) e útil (direito de utilizar ou usufruir do imóvel rural).  O</t>
    </r>
    <r>
      <rPr>
        <sz val="9"/>
        <color rgb="FFC00000"/>
        <rFont val="Arial"/>
        <family val="2"/>
      </rPr>
      <t xml:space="preserve"> Posseiro</t>
    </r>
    <r>
      <rPr>
        <sz val="9"/>
        <color theme="1"/>
        <rFont val="Arial"/>
        <family val="2"/>
      </rPr>
      <t xml:space="preserve"> é aquele que exerce o direito de posse por um ato translativo de domínio, por um documento de passagem de propriedade de um titular a outro, o que ocorre quando o título de propriedade ainda não foi levado a registro imobiliário. Não estando compreendida a posse da terra como propriedade, área arrendada, de parceria ou de posse, a opção </t>
    </r>
    <r>
      <rPr>
        <sz val="9"/>
        <color rgb="FFC00000"/>
        <rFont val="Arial"/>
        <family val="2"/>
      </rPr>
      <t>Outros</t>
    </r>
    <r>
      <rPr>
        <sz val="9"/>
        <color theme="1"/>
        <rFont val="Arial"/>
        <family val="2"/>
      </rPr>
      <t xml:space="preserve"> deverá ser marcada e em seguida, no campo especificar: Arrendatário, aquele que arrenda (aluga) o imóvel rural para fins de exploração agrícola ou pecuária, nas condições de uma regular utilização; Parceiro, aquele que explora o imóvel rural, no todo ou em parte, mediante contrato agrário escrito ou verbal, remunerando o proprietário ou titular do domínio útil com um percentual da produção alcançada; Assentado; Reassentado; Cessionário</t>
    </r>
    <r>
      <rPr>
        <sz val="9"/>
        <color theme="1"/>
        <rFont val="Arial"/>
        <family val="2"/>
      </rPr>
      <t>.</t>
    </r>
  </si>
  <si>
    <r>
      <t>A planilha ISA foi concebida para ser aplicada por</t>
    </r>
    <r>
      <rPr>
        <sz val="9"/>
        <color rgb="FFC00000"/>
        <rFont val="Arial"/>
        <family val="2"/>
      </rPr>
      <t xml:space="preserve"> imóvel rural</t>
    </r>
    <r>
      <rPr>
        <sz val="9"/>
        <color theme="1"/>
        <rFont val="Arial"/>
        <family val="2"/>
      </rPr>
      <t xml:space="preserve"> em consonância com a declaração do Cadastro Ambiental Rural (</t>
    </r>
    <r>
      <rPr>
        <sz val="9"/>
        <color rgb="FFC00000"/>
        <rFont val="Arial"/>
        <family val="2"/>
      </rPr>
      <t>CAR</t>
    </r>
    <r>
      <rPr>
        <sz val="9"/>
        <color theme="1"/>
        <rFont val="Arial"/>
        <family val="2"/>
      </rPr>
      <t xml:space="preserve">). No lançamento das informações do  </t>
    </r>
    <r>
      <rPr>
        <sz val="9"/>
        <color rgb="FF0070C0"/>
        <rFont val="Arial"/>
        <family val="2"/>
      </rPr>
      <t>item 7.2</t>
    </r>
    <r>
      <rPr>
        <sz val="9"/>
        <color theme="1"/>
        <rFont val="Arial"/>
        <family val="2"/>
      </rPr>
      <t>, verificar se o imóvel rural possui mais de uma matrícula, desde que as áreas sejam contíguas (neste caso as mesmas serão descritas como terreno 1; terreno 2; terreno n).                                                                                                                                       Caso o produtor possua outras áreas que compõem a renda ou façam parte do seu empreendimento rural (áreas não contíguas ao imóvel, áreas de arrendamento, áreas destinadas para a compensação de Reserva Legal), as mesmas serão descritas no</t>
    </r>
    <r>
      <rPr>
        <sz val="9"/>
        <color rgb="FF0070C0"/>
        <rFont val="Arial"/>
        <family val="2"/>
      </rPr>
      <t xml:space="preserve"> item 7.4</t>
    </r>
    <r>
      <rPr>
        <sz val="9"/>
        <rFont val="Arial"/>
        <family val="2"/>
      </rPr>
      <t>.</t>
    </r>
  </si>
  <si>
    <r>
      <t>Neste item serão apresentados os números relativos à quantidade de funcionários e de parceiros que atuam no imóvel rural</t>
    </r>
    <r>
      <rPr>
        <sz val="9"/>
        <rFont val="Arial"/>
        <family val="2"/>
      </rPr>
      <t xml:space="preserve">. Deverá ser compreendido como funcionário </t>
    </r>
    <r>
      <rPr>
        <sz val="9"/>
        <color rgb="FFC00000"/>
        <rFont val="Arial"/>
        <family val="2"/>
      </rPr>
      <t>Permanente</t>
    </r>
    <r>
      <rPr>
        <sz val="9"/>
        <rFont val="Arial"/>
        <family val="2"/>
      </rPr>
      <t xml:space="preserve"> a pessoa física que presta serviços de natureza não eventual (com vínculo empregatício), no imóvel rural, a um empregador rural, e dele receba remuneração em troca de serviços regulamentados. O funcionário </t>
    </r>
    <r>
      <rPr>
        <sz val="9"/>
        <color rgb="FFC00000"/>
        <rFont val="Arial"/>
        <family val="2"/>
      </rPr>
      <t>Temporário</t>
    </r>
    <r>
      <rPr>
        <sz val="9"/>
        <rFont val="Arial"/>
        <family val="2"/>
      </rPr>
      <t xml:space="preserve"> deve ser entendido como a pessoa física que presta serviços no imóvel rural para atender a necessidade transitória de substituição de pessoal ou motivado pelo acréscimo extraordinário de serviços. No entanto, ainda que o trabalho seja temporário, este deverá ser formalizado por meio de um contrato escrito, firmado entre o empregador e o empregado. O </t>
    </r>
    <r>
      <rPr>
        <sz val="9"/>
        <color rgb="FFC00000"/>
        <rFont val="Arial"/>
        <family val="2"/>
      </rPr>
      <t>Meeiro</t>
    </r>
    <r>
      <rPr>
        <sz val="9"/>
        <rFont val="Arial"/>
        <family val="2"/>
      </rPr>
      <t xml:space="preserve"> é aquele que cultiva nas terras do imóvel rural, do qual ele não é proprietário, dividindo os resultados decorrentes desse investimento com o proprietário, dono do imóvel rural. A </t>
    </r>
    <r>
      <rPr>
        <sz val="9"/>
        <color rgb="FFC00000"/>
        <rFont val="Arial"/>
        <family val="2"/>
      </rPr>
      <t>Troca de serviço (mutirão)</t>
    </r>
    <r>
      <rPr>
        <sz val="9"/>
        <rFont val="Arial"/>
        <family val="2"/>
      </rPr>
      <t xml:space="preserve"> caracteriza-se como uma iniciativa ou mobilização coletiva para a execução de um serviço não remunerado, ou seja, define-se como a ajuda mútua prestada gratuitamente por um determinado grupo de pessoas.</t>
    </r>
  </si>
  <si>
    <r>
      <t xml:space="preserve">A caracterização do </t>
    </r>
    <r>
      <rPr>
        <sz val="9"/>
        <color rgb="FFC00000"/>
        <rFont val="Arial"/>
        <family val="2"/>
      </rPr>
      <t>uso e ocupação do solo</t>
    </r>
    <r>
      <rPr>
        <sz val="9"/>
        <color theme="1"/>
        <rFont val="Arial"/>
        <family val="2"/>
      </rPr>
      <t xml:space="preserve"> no imóvel rural (</t>
    </r>
    <r>
      <rPr>
        <sz val="9"/>
        <color rgb="FF0070C0"/>
        <rFont val="Arial"/>
        <family val="2"/>
      </rPr>
      <t>item 10.1</t>
    </r>
    <r>
      <rPr>
        <sz val="9"/>
        <color theme="1"/>
        <rFont val="Arial"/>
        <family val="2"/>
      </rPr>
      <t xml:space="preserve">), tem como objetivo identificar os talhões de produção das culturas anuais, perenes, pastagens e florestas plantadas, estimar as áreas correspondentes (podendo conferir as mesmas durante a elaboração do croqui no CAR), e verificar, em cada talhão, o grau de adoção de práticas relacionadas a diversificação das atividades, como, por exemplo, rotações, consórcios, integração lavoura-pecuária, por meio do lançamento da descrição no quadro ao lado (a partir do lançamento da descrição, é gerada automaticamente a proporção de 100% do talhão, podendo a mesma ser alterada).                                                                                                                                                                                      No </t>
    </r>
    <r>
      <rPr>
        <sz val="9"/>
        <color rgb="FF0070C0"/>
        <rFont val="Arial"/>
        <family val="2"/>
      </rPr>
      <t>item 10.2</t>
    </r>
    <r>
      <rPr>
        <sz val="9"/>
        <color theme="1"/>
        <rFont val="Arial"/>
        <family val="2"/>
      </rPr>
      <t xml:space="preserve"> são estimadas as áreas de pousio, áreas não agrícolas (construções, estradas, terreiros, etc.), espelho d'água (represas, lagos, lagoas, cursos d'água) e vegetação nativa.  A somatória de todas as áreas lançadas no </t>
    </r>
    <r>
      <rPr>
        <sz val="9"/>
        <color rgb="FF0070C0"/>
        <rFont val="Arial"/>
        <family val="2"/>
      </rPr>
      <t>item 10.2</t>
    </r>
    <r>
      <rPr>
        <sz val="9"/>
        <color theme="1"/>
        <rFont val="Arial"/>
        <family val="2"/>
      </rPr>
      <t xml:space="preserve"> deve corresponder à área total calculada no </t>
    </r>
    <r>
      <rPr>
        <sz val="9"/>
        <color rgb="FF0070C0"/>
        <rFont val="Arial"/>
        <family val="2"/>
      </rPr>
      <t>item 7.2</t>
    </r>
    <r>
      <rPr>
        <sz val="9"/>
        <color theme="1"/>
        <rFont val="Arial"/>
        <family val="2"/>
      </rPr>
      <t xml:space="preserve"> do questionário (a conferência localiza-se ao lado do resultado da soma das áreas deste item, e deve corresponder a 100%). O</t>
    </r>
    <r>
      <rPr>
        <sz val="9"/>
        <color rgb="FF0070C0"/>
        <rFont val="Arial"/>
        <family val="2"/>
      </rPr>
      <t xml:space="preserve"> item 10.2</t>
    </r>
    <r>
      <rPr>
        <sz val="9"/>
        <color theme="1"/>
        <rFont val="Arial"/>
        <family val="2"/>
      </rPr>
      <t xml:space="preserve"> possui um quadro com o histórico do uso e ocupação do solo, gerado automaticamente a partir do lançamento do uso e ocupação atual do imóvel rural. Caso o uso atual seja diferente do histórico (referente a um período de 4 anos, quando é realizada a primeira aplicação do ISA, ou correspondente ao período da última aplicação) devem ser modificados os dados do referido quadro. O período entre a última aplicação do ISA no imóvel rural e a atual deve ser lançado no </t>
    </r>
    <r>
      <rPr>
        <sz val="9"/>
        <color rgb="FF0070C0"/>
        <rFont val="Arial"/>
        <family val="2"/>
      </rPr>
      <t>item 10.3</t>
    </r>
    <r>
      <rPr>
        <sz val="9"/>
        <color theme="1"/>
        <rFont val="Arial"/>
        <family val="2"/>
      </rPr>
      <t xml:space="preserve"> (referência do período histórico em anos). Se for a primeira aplicação no imóvel rural, recomenda-se definir o período histórico como 4 anos.</t>
    </r>
  </si>
  <si>
    <r>
      <t>Para a estimativa da</t>
    </r>
    <r>
      <rPr>
        <sz val="9"/>
        <color rgb="FFC00000"/>
        <rFont val="Arial"/>
        <family val="2"/>
      </rPr>
      <t xml:space="preserve"> renda bruta</t>
    </r>
    <r>
      <rPr>
        <sz val="9"/>
        <color theme="1"/>
        <rFont val="Arial"/>
        <family val="2"/>
      </rPr>
      <t xml:space="preserve"> </t>
    </r>
    <r>
      <rPr>
        <sz val="9"/>
        <color rgb="FFC00000"/>
        <rFont val="Arial"/>
        <family val="2"/>
      </rPr>
      <t>anual</t>
    </r>
    <r>
      <rPr>
        <sz val="9"/>
        <color theme="1"/>
        <rFont val="Arial"/>
        <family val="2"/>
      </rPr>
      <t xml:space="preserve"> total gerada no imóvel rural (</t>
    </r>
    <r>
      <rPr>
        <sz val="9"/>
        <color rgb="FF0070C0"/>
        <rFont val="Arial"/>
        <family val="2"/>
      </rPr>
      <t>item 11.1</t>
    </r>
    <r>
      <rPr>
        <sz val="9"/>
        <color theme="1"/>
        <rFont val="Arial"/>
        <family val="2"/>
      </rPr>
      <t xml:space="preserve">), é feita a descrição, em </t>
    </r>
    <r>
      <rPr>
        <sz val="9"/>
        <color rgb="FFC00000"/>
        <rFont val="Arial"/>
        <family val="2"/>
      </rPr>
      <t>ordem decrescente</t>
    </r>
    <r>
      <rPr>
        <sz val="9"/>
        <color theme="1"/>
        <rFont val="Arial"/>
        <family val="2"/>
      </rPr>
      <t xml:space="preserve">,da renda bruta estimada das atividades provenientes do empreendimento (dentro do imóvel rural e nas demais áreas rurais que complementam a renda do produtor, como por exemplo, as áreas não contíguas e/ou áreas de arrendamento, lançadas no </t>
    </r>
    <r>
      <rPr>
        <sz val="9"/>
        <color rgb="FF0070C0"/>
        <rFont val="Arial"/>
        <family val="2"/>
      </rPr>
      <t>item 7.4</t>
    </r>
    <r>
      <rPr>
        <sz val="9"/>
        <color theme="1"/>
        <rFont val="Arial"/>
        <family val="2"/>
      </rPr>
      <t xml:space="preserve">), com a descrição e a estimativa da receita bruta gerada correspondente. Se houver mais de 5 atividades, estas podem ser agrupadas na última linha, somando-se a receita correspondente. Em seguida estima-se a renda bruta anual fora do empreendimento, separadas em duas partes: a primeira refere-se a recebimentos de pensão, aposentadoria, bolsas e outras ajudas financeiras (com a descrição correspondente); a segunda refere-se a atividades agropecuárias, ou não, realizadas fora do imóvel rural e das demais áreas descritas no </t>
    </r>
    <r>
      <rPr>
        <sz val="9"/>
        <color rgb="FF0070C0"/>
        <rFont val="Arial"/>
        <family val="2"/>
      </rPr>
      <t>item 7.4</t>
    </r>
    <r>
      <rPr>
        <sz val="9"/>
        <color theme="1"/>
        <rFont val="Arial"/>
        <family val="2"/>
      </rPr>
      <t xml:space="preserve"> (com a descrição correspondente dos itens, como, por exemplo, locação de equipamentos, locação de imóveis). 
</t>
    </r>
  </si>
  <si>
    <r>
      <t xml:space="preserve">Neste item é feito um inventário dos bens do imóvel rural, a partir da </t>
    </r>
    <r>
      <rPr>
        <sz val="9"/>
        <rFont val="Arial"/>
        <family val="2"/>
      </rPr>
      <t xml:space="preserve">descrição </t>
    </r>
    <r>
      <rPr>
        <sz val="9"/>
        <color rgb="FFC00000"/>
        <rFont val="Arial"/>
        <family val="2"/>
      </rPr>
      <t>das instalações e benfeitorias</t>
    </r>
    <r>
      <rPr>
        <sz val="9"/>
        <color theme="1"/>
        <rFont val="Arial"/>
        <family val="2"/>
      </rPr>
      <t xml:space="preserve"> (</t>
    </r>
    <r>
      <rPr>
        <sz val="9"/>
        <color rgb="FF0070C0"/>
        <rFont val="Arial"/>
        <family val="2"/>
      </rPr>
      <t>item 12.1</t>
    </r>
    <r>
      <rPr>
        <sz val="9"/>
        <color theme="1"/>
        <rFont val="Arial"/>
        <family val="2"/>
      </rPr>
      <t xml:space="preserve">), </t>
    </r>
    <r>
      <rPr>
        <sz val="9"/>
        <color rgb="FFC00000"/>
        <rFont val="Arial"/>
        <family val="2"/>
      </rPr>
      <t>das máquinas e equipamentos</t>
    </r>
    <r>
      <rPr>
        <sz val="9"/>
        <color theme="1"/>
        <rFont val="Arial"/>
        <family val="2"/>
      </rPr>
      <t xml:space="preserve"> (</t>
    </r>
    <r>
      <rPr>
        <sz val="9"/>
        <color rgb="FF0070C0"/>
        <rFont val="Arial"/>
        <family val="2"/>
      </rPr>
      <t>item 12.2</t>
    </r>
    <r>
      <rPr>
        <sz val="9"/>
        <color theme="1"/>
        <rFont val="Arial"/>
        <family val="2"/>
      </rPr>
      <t xml:space="preserve">), e do levantamento dos </t>
    </r>
    <r>
      <rPr>
        <sz val="9"/>
        <color rgb="FFC00000"/>
        <rFont val="Arial"/>
        <family val="2"/>
      </rPr>
      <t>semoventes</t>
    </r>
    <r>
      <rPr>
        <sz val="9"/>
        <color theme="1"/>
        <rFont val="Arial"/>
        <family val="2"/>
      </rPr>
      <t xml:space="preserve"> ou rebanho (</t>
    </r>
    <r>
      <rPr>
        <sz val="9"/>
        <color rgb="FF0070C0"/>
        <rFont val="Arial"/>
        <family val="2"/>
      </rPr>
      <t>item 12.3</t>
    </r>
    <r>
      <rPr>
        <sz val="9"/>
        <color theme="1"/>
        <rFont val="Arial"/>
        <family val="2"/>
      </rPr>
      <t>) presentes no estabelecimento, verificando o período de construção ou aquisição dos bens e realizando uma estimativa do valor de cada bem. Ao lado da estimativa do valor dos bens móveis e imóveis (</t>
    </r>
    <r>
      <rPr>
        <sz val="9"/>
        <color rgb="FF0070C0"/>
        <rFont val="Arial"/>
        <family val="2"/>
      </rPr>
      <t>itens 12.1 e 12.2</t>
    </r>
    <r>
      <rPr>
        <sz val="9"/>
        <color theme="1"/>
        <rFont val="Arial"/>
        <family val="2"/>
      </rPr>
      <t xml:space="preserve">) calcula-se automaticamente a depreciação dos bens na coluna denominada "Valor histórico". Se o item lançado foi construído ou adquirido em um prazo menor do que o período estipulado para o valor histórico (por exemplo, quatro anos atrás), o valor histórico do bem que aparece automaticamente deve ser deletado (apagado).
Para o preenchimento do quadro de </t>
    </r>
    <r>
      <rPr>
        <sz val="9"/>
        <color rgb="FFC00000"/>
        <rFont val="Arial"/>
        <family val="2"/>
      </rPr>
      <t>levantamento do rebanho</t>
    </r>
    <r>
      <rPr>
        <sz val="9"/>
        <color theme="1"/>
        <rFont val="Arial"/>
        <family val="2"/>
      </rPr>
      <t xml:space="preserve"> (</t>
    </r>
    <r>
      <rPr>
        <sz val="9"/>
        <color rgb="FF0070C0"/>
        <rFont val="Arial"/>
        <family val="2"/>
      </rPr>
      <t>item 12.3</t>
    </r>
    <r>
      <rPr>
        <sz val="9"/>
        <color theme="1"/>
        <rFont val="Arial"/>
        <family val="2"/>
      </rPr>
      <t>), deve ser lançado o número de animais e a estimativa do valor de venda para cada categoria. Para o levantamento do valor histórico dos semoventes, verificar o número de animais e a estimativa do valor para cada categoria.
Este levantamento dos bens e semoventes do imóvel rural pode ser aproveitado para a atualização cadastral do produtor no banco, realizada anualmente pela instituição financeira para verificação do limite de crédito, na ocasião da obtenção de linhas de crédito para lavoura, custeio pecuário, investimentos, Pronaf, entre outros. Se o produtor já possui estes dados, basta lançar os mesmos neste item do questionário. É feito também o levantamento da</t>
    </r>
    <r>
      <rPr>
        <sz val="9"/>
        <color rgb="FFC00000"/>
        <rFont val="Arial"/>
        <family val="2"/>
      </rPr>
      <t xml:space="preserve"> área com agricultura irrigada</t>
    </r>
    <r>
      <rPr>
        <sz val="9"/>
        <color theme="1"/>
        <rFont val="Arial"/>
        <family val="2"/>
      </rPr>
      <t>, quando presente, no imóvel rural (</t>
    </r>
    <r>
      <rPr>
        <sz val="9"/>
        <color rgb="FF0070C0"/>
        <rFont val="Arial"/>
        <family val="2"/>
      </rPr>
      <t>item 12.4</t>
    </r>
    <r>
      <rPr>
        <sz val="9"/>
        <color theme="1"/>
        <rFont val="Arial"/>
        <family val="2"/>
      </rPr>
      <t xml:space="preserve">), verificando-se também se houve alteração da área de agricultura irrigada na coluna "Histórico área total".
</t>
    </r>
  </si>
  <si>
    <r>
      <t>Este item tem como objetivo fazer a</t>
    </r>
    <r>
      <rPr>
        <sz val="9"/>
        <color rgb="FFC00000"/>
        <rFont val="Arial"/>
        <family val="2"/>
      </rPr>
      <t xml:space="preserve"> estimativa patrimonial do imóvel rural</t>
    </r>
    <r>
      <rPr>
        <sz val="9"/>
        <color theme="1"/>
        <rFont val="Arial"/>
        <family val="2"/>
      </rPr>
      <t xml:space="preserve">, ou seja, a partir das informações, coletadas no </t>
    </r>
    <r>
      <rPr>
        <sz val="9"/>
        <color rgb="FF0070C0"/>
        <rFont val="Arial"/>
        <family val="2"/>
      </rPr>
      <t>item 12</t>
    </r>
    <r>
      <rPr>
        <sz val="9"/>
        <color theme="1"/>
        <rFont val="Arial"/>
        <family val="2"/>
      </rPr>
      <t>, e do valor das terras (</t>
    </r>
    <r>
      <rPr>
        <sz val="9"/>
        <color rgb="FF0070C0"/>
        <rFont val="Arial"/>
        <family val="2"/>
      </rPr>
      <t>itens 13.1 e 13.2</t>
    </r>
    <r>
      <rPr>
        <sz val="9"/>
        <color theme="1"/>
        <rFont val="Arial"/>
        <family val="2"/>
      </rPr>
      <t>), é calculado automaticamente  o valor estimado do imóvel rural, incluindo os bens e semoventes presentes. Para o preenchimento deste item (Valor de referência da terra na região, em R$/ha), deve-se verificar com o entrevistado e com os agentes locais (Emater, Cooperativa, Sindicato, Associação, corretores, entre outros) o preço médio obtido a partir da venda de estabelecimentos rurais na região (valor de referência da terra). Pode-se modificar os valores utilizados para a ponderação do valor da terra considerando as categorias de uso e ocupação do solo (lavouras temporárias, lavouras perenes e silvicultura, e o acréscimo de R$ 1.000,00 por ha irrigado) em</t>
    </r>
    <r>
      <rPr>
        <sz val="9"/>
        <color rgb="FF0070C0"/>
        <rFont val="Arial"/>
        <family val="2"/>
      </rPr>
      <t xml:space="preserve"> Fórmulas/Questionário/item13</t>
    </r>
    <r>
      <rPr>
        <sz val="9"/>
        <color theme="1"/>
        <rFont val="Arial"/>
        <family val="2"/>
      </rPr>
      <t xml:space="preserve"> neste Guia de Aplicação.</t>
    </r>
  </si>
  <si>
    <r>
      <t xml:space="preserve">A avaliação do </t>
    </r>
    <r>
      <rPr>
        <sz val="9"/>
        <color rgb="FF0070C0"/>
        <rFont val="Arial"/>
        <family val="2"/>
      </rPr>
      <t>item 18</t>
    </r>
    <r>
      <rPr>
        <sz val="9"/>
        <color theme="1"/>
        <rFont val="Arial"/>
        <family val="2"/>
      </rPr>
      <t xml:space="preserve"> é realizada no campo e tem como objetivo aplicar um protocolo de avaliação rápida dos ecossistemas aquáticos nos locais de coleta de amostras de água (</t>
    </r>
    <r>
      <rPr>
        <sz val="9"/>
        <color rgb="FF0070C0"/>
        <rFont val="Arial"/>
        <family val="2"/>
      </rPr>
      <t>Item 13 na aba Indicadores</t>
    </r>
    <r>
      <rPr>
        <sz val="9"/>
        <color theme="1"/>
        <rFont val="Arial"/>
        <family val="2"/>
      </rPr>
      <t>). A escolha dos locais para avaliação da qualidade deve atender os critérios de localização e importância para as atividades e abastecimento no imóvel rural. Normalmente são avaliados dois pontos no estabelecimento, montante e jusante, correspondendo ao ponto de entrada e saída de um curso d'água no imóvel rural, ou ao ponto próximo a uma nascente (montante) e um ponto do curso d'água mais abaixo nos limites do imóvel rural. Pode ser levado o cheklist impresso (</t>
    </r>
    <r>
      <rPr>
        <sz val="9"/>
        <color rgb="FF0070C0"/>
        <rFont val="Arial"/>
        <family val="2"/>
      </rPr>
      <t>campos 18.1 a 18.10</t>
    </r>
    <r>
      <rPr>
        <sz val="9"/>
        <color theme="1"/>
        <rFont val="Arial"/>
        <family val="2"/>
      </rPr>
      <t>) para os locais de coleta e fazer o preenchimento no próprio local. Para o seu preenchimento correto, deve-se marcar uma das opções (</t>
    </r>
    <r>
      <rPr>
        <sz val="9"/>
        <color rgb="FF0070C0"/>
        <rFont val="Arial"/>
        <family val="2"/>
      </rPr>
      <t>campos 18.1 a 18.10</t>
    </r>
    <r>
      <rPr>
        <sz val="9"/>
        <color theme="1"/>
        <rFont val="Arial"/>
        <family val="2"/>
      </rPr>
      <t>) com um x em cada uma das linhas.</t>
    </r>
  </si>
  <si>
    <t>Geoprocessamento</t>
  </si>
  <si>
    <r>
      <t xml:space="preserve">A partir do croqui gerado no CAR, é feito o preenchimento do quadro do </t>
    </r>
    <r>
      <rPr>
        <sz val="9"/>
        <color rgb="FF0070C0"/>
        <rFont val="Arial"/>
        <family val="2"/>
      </rPr>
      <t>item 2.1</t>
    </r>
    <r>
      <rPr>
        <sz val="9"/>
        <color theme="1"/>
        <rFont val="Arial"/>
        <family val="2"/>
      </rPr>
      <t xml:space="preserve"> com as seguintes categorias: uso consolidado (representando as lavouras anuais, perenes, pastagens, silvicultura, e as áreas não agrícolas, conforme a descrição do item </t>
    </r>
    <r>
      <rPr>
        <sz val="9"/>
        <color rgb="FF0070C0"/>
        <rFont val="Arial"/>
        <family val="2"/>
      </rPr>
      <t>10.2 do questionário</t>
    </r>
    <r>
      <rPr>
        <sz val="9"/>
        <color theme="1"/>
        <rFont val="Arial"/>
        <family val="2"/>
      </rPr>
      <t xml:space="preserve">); pousio; remanescentes de vegetação nativa; e espelho d'água e cursos d'água. No </t>
    </r>
    <r>
      <rPr>
        <sz val="9"/>
        <color rgb="FF0070C0"/>
        <rFont val="Arial"/>
        <family val="2"/>
      </rPr>
      <t>item 2.2</t>
    </r>
    <r>
      <rPr>
        <sz val="9"/>
        <color theme="1"/>
        <rFont val="Arial"/>
        <family val="2"/>
      </rPr>
      <t xml:space="preserve"> lançar, quando identificado no imóvel rural, as áreas de servidão administrativa (Área de infraestrutura Pública; Área de Utilidade Pública; Reservatório para Abastecimento ou Geração de Energia; Entorno de Reservatório para Abastecimento ou Geração de Energia). Estas áreas serão descontadas no cálculo da Reserva Legal do Imóvel Rural.</t>
    </r>
  </si>
  <si>
    <r>
      <t xml:space="preserve">A partir do croqui gerado no CAR são levantadas as áreas das APPs classificadas como úmidas e secas. A soma das áreas de APPs será lançada no </t>
    </r>
    <r>
      <rPr>
        <sz val="9"/>
        <color rgb="FF0070C0"/>
        <rFont val="Arial"/>
        <family val="2"/>
      </rPr>
      <t>item 3.1</t>
    </r>
    <r>
      <rPr>
        <sz val="9"/>
        <color theme="1"/>
        <rFont val="Arial"/>
        <family val="2"/>
      </rPr>
      <t>. Em seguida é levantado o uso e ocupação do solo somente das APPs úmidas, conforme as categorias: remanescente de vegetação nativa, uso consolidado e área a ser recuperada (</t>
    </r>
    <r>
      <rPr>
        <sz val="9"/>
        <color rgb="FF0070C0"/>
        <rFont val="Arial"/>
        <family val="2"/>
      </rPr>
      <t>item 3.2</t>
    </r>
    <r>
      <rPr>
        <sz val="9"/>
        <color theme="1"/>
        <rFont val="Arial"/>
        <family val="2"/>
      </rPr>
      <t>).</t>
    </r>
  </si>
  <si>
    <t>Indicadores</t>
  </si>
  <si>
    <t>ÍNDICES DE PRODUTIVIDADE E PREÇO DE VENDA APURADOS</t>
  </si>
  <si>
    <r>
      <rPr>
        <b/>
        <sz val="9"/>
        <color theme="8" tint="-0.499984740745262"/>
        <rFont val="Arial"/>
        <family val="2"/>
      </rPr>
      <t>OBJETIVO</t>
    </r>
    <r>
      <rPr>
        <sz val="9"/>
        <rFont val="Arial"/>
        <family val="2"/>
      </rPr>
      <t xml:space="preserve">
Verificar a produtividade e o valor de venda do(s) produto(s) de maior peso na receita bruta total do estabelecimento e comparar com a média dos índices de produtividade e a média dos valores de venda identificados no município ou na região.
</t>
    </r>
    <r>
      <rPr>
        <b/>
        <sz val="9"/>
        <color theme="8" tint="-0.499984740745262"/>
        <rFont val="Arial"/>
        <family val="2"/>
      </rPr>
      <t>APLICAÇÃO</t>
    </r>
    <r>
      <rPr>
        <sz val="9"/>
        <rFont val="Arial"/>
        <family val="2"/>
      </rPr>
      <t xml:space="preserve">
</t>
    </r>
    <r>
      <rPr>
        <b/>
        <sz val="9"/>
        <rFont val="Arial"/>
        <family val="2"/>
      </rPr>
      <t>1</t>
    </r>
    <r>
      <rPr>
        <b/>
        <sz val="9"/>
        <rFont val="Calibri"/>
        <family val="2"/>
      </rPr>
      <t>ª</t>
    </r>
    <r>
      <rPr>
        <b/>
        <sz val="9"/>
        <rFont val="Arial"/>
        <family val="2"/>
      </rPr>
      <t xml:space="preserve"> ETAPA </t>
    </r>
    <r>
      <rPr>
        <sz val="9"/>
        <rFont val="Arial"/>
        <family val="2"/>
      </rPr>
      <t xml:space="preserve">- Identificar as principais fontes de renda do estabelecimento agropecuário (verificar </t>
    </r>
    <r>
      <rPr>
        <sz val="9"/>
        <color rgb="FF0070C0"/>
        <rFont val="Arial"/>
        <family val="2"/>
      </rPr>
      <t>item 11.1 do questionário</t>
    </r>
    <r>
      <rPr>
        <sz val="9"/>
        <rFont val="Arial"/>
        <family val="2"/>
      </rPr>
      <t xml:space="preserve">) e fazer o lançamento das atividades no </t>
    </r>
    <r>
      <rPr>
        <sz val="9"/>
        <color rgb="FF0070C0"/>
        <rFont val="Arial"/>
        <family val="2"/>
      </rPr>
      <t>campo 1.1</t>
    </r>
    <r>
      <rPr>
        <sz val="9"/>
        <rFont val="Arial"/>
        <family val="2"/>
      </rPr>
      <t xml:space="preserve"> e a descrição da unidade de medida para avaliar a produtividade no </t>
    </r>
    <r>
      <rPr>
        <sz val="9"/>
        <color rgb="FF0070C0"/>
        <rFont val="Arial"/>
        <family val="2"/>
      </rPr>
      <t>campo 1.2</t>
    </r>
    <r>
      <rPr>
        <sz val="9"/>
        <rFont val="Arial"/>
        <family val="2"/>
      </rPr>
      <t xml:space="preserve">. (por exemplo: sc/ha; t/ha; @/ha/ano; L de leite/ha/dia).
</t>
    </r>
    <r>
      <rPr>
        <b/>
        <sz val="9"/>
        <rFont val="Arial"/>
        <family val="2"/>
      </rPr>
      <t>2</t>
    </r>
    <r>
      <rPr>
        <b/>
        <sz val="9"/>
        <rFont val="Calibri"/>
        <family val="2"/>
      </rPr>
      <t>ª</t>
    </r>
    <r>
      <rPr>
        <b/>
        <sz val="9"/>
        <rFont val="Arial"/>
        <family val="2"/>
      </rPr>
      <t xml:space="preserve"> ETAPA</t>
    </r>
    <r>
      <rPr>
        <sz val="9"/>
        <rFont val="Arial"/>
        <family val="2"/>
      </rPr>
      <t xml:space="preserve"> - Levantar os índices de produtividade com o entrevistado (</t>
    </r>
    <r>
      <rPr>
        <sz val="9"/>
        <color rgb="FF0070C0"/>
        <rFont val="Arial"/>
        <family val="2"/>
      </rPr>
      <t>campo 1.3</t>
    </r>
    <r>
      <rPr>
        <sz val="9"/>
        <rFont val="Arial"/>
        <family val="2"/>
      </rPr>
      <t xml:space="preserve">): Para culturas perenes considerar a média de produção das quatro últimas safras; para culturas anuais considerar a média de produção das duas últimas safras; para pecuária leiteira considerar a média de produção no período de um ano, observando o padrão de raça dos animais.
</t>
    </r>
    <r>
      <rPr>
        <b/>
        <sz val="9"/>
        <rFont val="Arial"/>
        <family val="2"/>
      </rPr>
      <t>3</t>
    </r>
    <r>
      <rPr>
        <b/>
        <sz val="9"/>
        <rFont val="Calibri"/>
        <family val="2"/>
      </rPr>
      <t>ª</t>
    </r>
    <r>
      <rPr>
        <b/>
        <sz val="9"/>
        <rFont val="Arial"/>
        <family val="2"/>
      </rPr>
      <t xml:space="preserve"> ETAPA</t>
    </r>
    <r>
      <rPr>
        <sz val="9"/>
        <rFont val="Arial"/>
        <family val="2"/>
      </rPr>
      <t xml:space="preserve"> - Levantar o preço de venda apurado na última safra ou no último ano (no caso de vendas parceladas, calcular o valor médio).
</t>
    </r>
    <r>
      <rPr>
        <b/>
        <sz val="9"/>
        <rFont val="Arial"/>
        <family val="2"/>
      </rPr>
      <t>4</t>
    </r>
    <r>
      <rPr>
        <b/>
        <sz val="9"/>
        <rFont val="Calibri"/>
        <family val="2"/>
      </rPr>
      <t>ª</t>
    </r>
    <r>
      <rPr>
        <b/>
        <sz val="9"/>
        <rFont val="Arial"/>
        <family val="2"/>
      </rPr>
      <t xml:space="preserve"> ETAPA</t>
    </r>
    <r>
      <rPr>
        <sz val="9"/>
        <rFont val="Arial"/>
        <family val="2"/>
      </rPr>
      <t xml:space="preserve"> - Lançar a média de produtividade e do preço de venda dos produtos levantados na região ou município (relatórios anuais do IBGE, dados de cooperativas, associações ou escritório local da Emater, dados de produtores rurais considerados como referência na região, etc.).                                                                                                                                                                                                                    Os fatores de ponderação para produtividade e preço de venda utilizados para o cálculo automático do resultado parcial se encontram no lado direito da tabela dos </t>
    </r>
    <r>
      <rPr>
        <sz val="9"/>
        <color rgb="FF0070C0"/>
        <rFont val="Arial"/>
        <family val="2"/>
      </rPr>
      <t>campos 1.2 a 1.6.</t>
    </r>
    <r>
      <rPr>
        <sz val="9"/>
        <rFont val="Arial"/>
        <family val="2"/>
      </rPr>
      <t xml:space="preserve"> O cálculo do resultado final será feito automaticamente pela planilha, a partir da média dos índices gerados de cada atividade do empreendimento. Se a renda média, calculada automaticamente na aba do relatório, for menor que R$ 210,00/ha/ano (considerando o total da renda bruta estimada no </t>
    </r>
    <r>
      <rPr>
        <sz val="9"/>
        <color rgb="FF0070C0"/>
        <rFont val="Arial"/>
        <family val="2"/>
      </rPr>
      <t>item 11.1 do questionário</t>
    </r>
    <r>
      <rPr>
        <sz val="9"/>
        <rFont val="Arial"/>
        <family val="2"/>
      </rPr>
      <t xml:space="preserve"> e a somatória das áreas descritas nos </t>
    </r>
    <r>
      <rPr>
        <sz val="9"/>
        <color rgb="FF0070C0"/>
        <rFont val="Arial"/>
        <family val="2"/>
      </rPr>
      <t>itens 7.2 e 7.4 do questionário</t>
    </r>
    <r>
      <rPr>
        <sz val="9"/>
        <rFont val="Arial"/>
        <family val="2"/>
      </rPr>
      <t>), é gerado um rebate de 30% na nota final deste indicador.</t>
    </r>
  </si>
  <si>
    <r>
      <rPr>
        <b/>
        <sz val="9"/>
        <color theme="8" tint="-0.499984740745262"/>
        <rFont val="Arial"/>
        <family val="2"/>
      </rPr>
      <t>OBJETIVO</t>
    </r>
    <r>
      <rPr>
        <sz val="9"/>
        <rFont val="Arial"/>
        <family val="2"/>
      </rPr>
      <t xml:space="preserve">
Levantar a proporção da renda obtida de atividades agrícolas, pecuária e florestal no empreendimento (imóvel rural e as outras áreas que complementam a renda das atividades rurais descritas no </t>
    </r>
    <r>
      <rPr>
        <sz val="9"/>
        <color rgb="FF0070C0"/>
        <rFont val="Arial"/>
        <family val="2"/>
      </rPr>
      <t>item 7.4 do questionário</t>
    </r>
    <r>
      <rPr>
        <sz val="9"/>
        <rFont val="Arial"/>
        <family val="2"/>
      </rPr>
      <t xml:space="preserve">), e de outras fontes de renda fora do empreendimento (aposentadoria, bolsas de auxílio, aporte de recursos de outras atividades profissionais ou rendas de aluguel, etc.). Verifica-se também a ocorrência de concentração da renda bruta estimada em uma única atividade agrícola (acima de 80%).
</t>
    </r>
    <r>
      <rPr>
        <b/>
        <sz val="9"/>
        <color theme="8" tint="-0.499984740745262"/>
        <rFont val="Arial"/>
        <family val="2"/>
      </rPr>
      <t>APLICAÇÃO</t>
    </r>
    <r>
      <rPr>
        <sz val="9"/>
        <rFont val="Arial"/>
        <family val="2"/>
      </rPr>
      <t xml:space="preserve">
</t>
    </r>
    <r>
      <rPr>
        <b/>
        <sz val="9"/>
        <rFont val="Arial"/>
        <family val="2"/>
      </rPr>
      <t>1</t>
    </r>
    <r>
      <rPr>
        <b/>
        <sz val="9"/>
        <rFont val="Calibri"/>
        <family val="2"/>
      </rPr>
      <t>ª</t>
    </r>
    <r>
      <rPr>
        <b/>
        <sz val="9"/>
        <rFont val="Arial"/>
        <family val="2"/>
      </rPr>
      <t xml:space="preserve"> ETAPA</t>
    </r>
    <r>
      <rPr>
        <sz val="9"/>
        <rFont val="Arial"/>
        <family val="2"/>
      </rPr>
      <t xml:space="preserve"> - Verificar as principais fontes de renda do</t>
    </r>
    <r>
      <rPr>
        <sz val="9"/>
        <color rgb="FF0070C0"/>
        <rFont val="Arial"/>
        <family val="2"/>
      </rPr>
      <t xml:space="preserve"> item 11.1 do questionário</t>
    </r>
    <r>
      <rPr>
        <sz val="9"/>
        <rFont val="Arial"/>
        <family val="2"/>
      </rPr>
      <t xml:space="preserve">.
</t>
    </r>
    <r>
      <rPr>
        <b/>
        <sz val="9"/>
        <rFont val="Arial"/>
        <family val="2"/>
      </rPr>
      <t>2</t>
    </r>
    <r>
      <rPr>
        <b/>
        <sz val="9"/>
        <rFont val="Calibri"/>
        <family val="2"/>
      </rPr>
      <t>ª</t>
    </r>
    <r>
      <rPr>
        <b/>
        <sz val="9"/>
        <rFont val="Arial"/>
        <family val="2"/>
      </rPr>
      <t xml:space="preserve"> ETAPA</t>
    </r>
    <r>
      <rPr>
        <sz val="9"/>
        <rFont val="Arial"/>
        <family val="2"/>
      </rPr>
      <t xml:space="preserve"> - Lançar os porcentuais de cada fonte de renda nos </t>
    </r>
    <r>
      <rPr>
        <sz val="9"/>
        <color rgb="FF0070C0"/>
        <rFont val="Arial"/>
        <family val="2"/>
      </rPr>
      <t>campos 2.1 e 2.2</t>
    </r>
    <r>
      <rPr>
        <sz val="9"/>
        <color theme="1"/>
        <rFont val="Arial"/>
        <family val="2"/>
      </rPr>
      <t xml:space="preserve">. Nos </t>
    </r>
    <r>
      <rPr>
        <sz val="9"/>
        <color rgb="FF0070C0"/>
        <rFont val="Arial"/>
        <family val="2"/>
      </rPr>
      <t>campos 2.3 e 2.4</t>
    </r>
    <r>
      <rPr>
        <sz val="9"/>
        <color theme="1"/>
        <rFont val="Arial"/>
        <family val="2"/>
      </rPr>
      <t xml:space="preserve"> o lançamento é automático.</t>
    </r>
    <r>
      <rPr>
        <sz val="9"/>
        <rFont val="Arial"/>
        <family val="2"/>
      </rPr>
      <t xml:space="preserve">
Abaixo do </t>
    </r>
    <r>
      <rPr>
        <sz val="9"/>
        <color rgb="FF0070C0"/>
        <rFont val="Arial"/>
        <family val="2"/>
      </rPr>
      <t>campo 2.5</t>
    </r>
    <r>
      <rPr>
        <sz val="9"/>
        <rFont val="Arial"/>
        <family val="2"/>
      </rPr>
      <t xml:space="preserve"> será verificada automaticamente a proporção da renda total (somatória dos </t>
    </r>
    <r>
      <rPr>
        <sz val="9"/>
        <color rgb="FF0070C0"/>
        <rFont val="Arial"/>
        <family val="2"/>
      </rPr>
      <t>campos 2.1 a 2.4</t>
    </r>
    <r>
      <rPr>
        <sz val="9"/>
        <rFont val="Arial"/>
        <family val="2"/>
      </rPr>
      <t>), devendo esta atingir o valor de 100%.</t>
    </r>
  </si>
  <si>
    <r>
      <rPr>
        <b/>
        <sz val="9"/>
        <color theme="8" tint="-0.499984740745262"/>
        <rFont val="Arial"/>
        <family val="2"/>
      </rPr>
      <t>OBJETIVO</t>
    </r>
    <r>
      <rPr>
        <sz val="9"/>
        <rFont val="Arial"/>
        <family val="2"/>
      </rPr>
      <t xml:space="preserve">
Analisar a evolução ou regressão patrimonial de um estabelecimento em um determinado período (definido no </t>
    </r>
    <r>
      <rPr>
        <sz val="9"/>
        <color rgb="FF0070C0"/>
        <rFont val="Arial"/>
        <family val="2"/>
      </rPr>
      <t>item 10.3 do questionário</t>
    </r>
    <r>
      <rPr>
        <sz val="9"/>
        <rFont val="Arial"/>
        <family val="2"/>
      </rPr>
      <t xml:space="preserve">), por meio da valoração: do preço da terra na região; das benfeitorias; equipamentos; máquinas; semoventes (animais), e da verificação da ampliação das áreas de produção agrossilvipastoril e de agricultura irrigada no imóvel rural.
</t>
    </r>
    <r>
      <rPr>
        <b/>
        <sz val="9"/>
        <color theme="8" tint="-0.499984740745262"/>
        <rFont val="Arial"/>
        <family val="2"/>
      </rPr>
      <t>APLICAÇÃO</t>
    </r>
    <r>
      <rPr>
        <sz val="9"/>
        <rFont val="Arial"/>
        <family val="2"/>
      </rPr>
      <t xml:space="preserve">
Todos os dados avaliados neste indicador são gerados automaticamente, a partir do preenchimento dos</t>
    </r>
    <r>
      <rPr>
        <sz val="9"/>
        <color rgb="FF0070C0"/>
        <rFont val="Arial"/>
        <family val="2"/>
      </rPr>
      <t xml:space="preserve"> itens 12 e 13 do questionário</t>
    </r>
    <r>
      <rPr>
        <sz val="9"/>
        <rFont val="Arial"/>
        <family val="2"/>
      </rPr>
      <t xml:space="preserve">. Os porcentuais gerados na coluna "Evolução no período"  indicam a evolução ou regressão da aferição monetária dos bens no período avaliado (valor da terrra; benfeitorias; equipamentos; semoventes), e ampliação ou regressão da área com lavouras e/ou com agricultura irrigada. 
</t>
    </r>
  </si>
  <si>
    <r>
      <rPr>
        <b/>
        <sz val="9"/>
        <color theme="8" tint="-0.499984740745262"/>
        <rFont val="Arial"/>
        <family val="2"/>
      </rPr>
      <t>OBJETIVO</t>
    </r>
    <r>
      <rPr>
        <sz val="9"/>
        <rFont val="Arial"/>
        <family val="2"/>
      </rPr>
      <t xml:space="preserve">
Este indicador complementa as informações obtidas pelo indicador Evolução Patrimonial, e tem como objetivo verificar o grau de endividamento do produtor, por meio da avaliação da proporção do montante de empréstimos contraídos (custeio agrícola, pecuário, investimentos, Pronaf, entre outros) em relação ao valor estimado do patrimônio, gerado no</t>
    </r>
    <r>
      <rPr>
        <sz val="9"/>
        <color rgb="FF0070C0"/>
        <rFont val="Arial"/>
        <family val="2"/>
      </rPr>
      <t xml:space="preserve"> item 13.3 do questionário</t>
    </r>
    <r>
      <rPr>
        <sz val="9"/>
        <rFont val="Arial"/>
        <family val="2"/>
      </rPr>
      <t xml:space="preserve">.
</t>
    </r>
    <r>
      <rPr>
        <b/>
        <sz val="9"/>
        <color theme="8" tint="-0.499984740745262"/>
        <rFont val="Arial"/>
        <family val="2"/>
      </rPr>
      <t>APLICAÇÃO</t>
    </r>
    <r>
      <rPr>
        <sz val="9"/>
        <rFont val="Arial"/>
        <family val="2"/>
      </rPr>
      <t xml:space="preserve">
</t>
    </r>
    <r>
      <rPr>
        <b/>
        <sz val="9"/>
        <rFont val="Arial"/>
        <family val="2"/>
      </rPr>
      <t>1</t>
    </r>
    <r>
      <rPr>
        <b/>
        <sz val="9"/>
        <rFont val="Calibri"/>
        <family val="2"/>
      </rPr>
      <t>ª</t>
    </r>
    <r>
      <rPr>
        <b/>
        <sz val="9"/>
        <rFont val="Arial"/>
        <family val="2"/>
      </rPr>
      <t xml:space="preserve"> ETAPA</t>
    </r>
    <r>
      <rPr>
        <sz val="9"/>
        <rFont val="Arial"/>
        <family val="2"/>
      </rPr>
      <t xml:space="preserve"> - Levantar todos os financiamentos de curto e longo prazos contraídos pelo produtor até o presente momento.
</t>
    </r>
    <r>
      <rPr>
        <b/>
        <sz val="9"/>
        <rFont val="Arial"/>
        <family val="2"/>
      </rPr>
      <t>2</t>
    </r>
    <r>
      <rPr>
        <b/>
        <sz val="9"/>
        <rFont val="Calibri"/>
        <family val="2"/>
      </rPr>
      <t>ª</t>
    </r>
    <r>
      <rPr>
        <b/>
        <sz val="9"/>
        <rFont val="Arial"/>
        <family val="2"/>
      </rPr>
      <t xml:space="preserve"> ETAPA</t>
    </r>
    <r>
      <rPr>
        <sz val="9"/>
        <rFont val="Arial"/>
        <family val="2"/>
      </rPr>
      <t xml:space="preserve"> - Calcular a proporção (%) do montante de dívidas em relação ao valor patrimonial estimado.
</t>
    </r>
  </si>
  <si>
    <r>
      <rPr>
        <b/>
        <sz val="9"/>
        <color theme="8" tint="-0.499984740745262"/>
        <rFont val="Arial"/>
        <family val="2"/>
      </rPr>
      <t>SERVIÇOS BÁSICOS - OBJETIVO</t>
    </r>
    <r>
      <rPr>
        <sz val="9"/>
        <rFont val="Arial"/>
        <family val="2"/>
      </rPr>
      <t xml:space="preserve">
Verificar, nas residências de familiares e de funcionários no imóvel rural, o acesso de alguns serviços básicos: disponibilidade de água em quantidade e qualidade; energia elétrica; acesso regular para escoamento da produção e recebimento de insumos (trafegabilidade durante o ano);  acesso ao serviço de saúde (verificar se o produtor é atendido pelo Programa Saúde da Família PSF); acesso regular ao transporte escolar; segurança no campo; telefone; internet; e coleta pública de lixo (coleta do lixo reciclável ou coleta do lixo domiciliar pela prefeitura).
</t>
    </r>
    <r>
      <rPr>
        <b/>
        <sz val="9"/>
        <color theme="8" tint="-0.499984740745262"/>
        <rFont val="Arial"/>
        <family val="2"/>
      </rPr>
      <t>APLICAÇÃO</t>
    </r>
    <r>
      <rPr>
        <sz val="9"/>
        <rFont val="Arial"/>
        <family val="2"/>
      </rPr>
      <t xml:space="preserve">
</t>
    </r>
    <r>
      <rPr>
        <b/>
        <sz val="9"/>
        <rFont val="Arial"/>
        <family val="2"/>
      </rPr>
      <t>1</t>
    </r>
    <r>
      <rPr>
        <b/>
        <sz val="9"/>
        <rFont val="Calibri"/>
        <family val="2"/>
      </rPr>
      <t>ª</t>
    </r>
    <r>
      <rPr>
        <b/>
        <sz val="9"/>
        <rFont val="Arial"/>
        <family val="2"/>
      </rPr>
      <t xml:space="preserve"> ETAPA</t>
    </r>
    <r>
      <rPr>
        <sz val="9"/>
        <rFont val="Arial"/>
        <family val="2"/>
      </rPr>
      <t xml:space="preserve"> - Verificar quantas residências com moradores regulares possui o estabelecimento (</t>
    </r>
    <r>
      <rPr>
        <sz val="9"/>
        <color rgb="FF0070C0"/>
        <rFont val="Arial"/>
        <family val="2"/>
      </rPr>
      <t>itens 9.1 e 9.2  do questionário</t>
    </r>
    <r>
      <rPr>
        <sz val="9"/>
        <rFont val="Arial"/>
        <family val="2"/>
      </rPr>
      <t xml:space="preserve">).
</t>
    </r>
    <r>
      <rPr>
        <b/>
        <sz val="9"/>
        <rFont val="Arial"/>
        <family val="2"/>
      </rPr>
      <t>2</t>
    </r>
    <r>
      <rPr>
        <b/>
        <sz val="9"/>
        <rFont val="Calibri"/>
        <family val="2"/>
      </rPr>
      <t>ª</t>
    </r>
    <r>
      <rPr>
        <b/>
        <sz val="9"/>
        <rFont val="Arial"/>
        <family val="2"/>
      </rPr>
      <t xml:space="preserve"> ETAPA</t>
    </r>
    <r>
      <rPr>
        <sz val="9"/>
        <rFont val="Arial"/>
        <family val="2"/>
      </rPr>
      <t xml:space="preserve"> - Para cada residência, verificar a disponibilidade dos serviços listados nos campos do </t>
    </r>
    <r>
      <rPr>
        <sz val="9"/>
        <color rgb="FF0070C0"/>
        <rFont val="Arial"/>
        <family val="2"/>
      </rPr>
      <t>item 5.1</t>
    </r>
    <r>
      <rPr>
        <sz val="9"/>
        <rFont val="Arial"/>
        <family val="2"/>
      </rPr>
      <t xml:space="preserve">. Para o preenchimento deste indicador, deve-se colocar 1 (atende satisfatoriamente), 0,5 (atende parcialmente), ou 0 (não atende).                        </t>
    </r>
    <r>
      <rPr>
        <b/>
        <sz val="9"/>
        <color theme="8" tint="-0.499984740745262"/>
        <rFont val="Arial"/>
        <family val="2"/>
      </rPr>
      <t xml:space="preserve">
SEGURANÇA ALIMENTAR - OBJETIVO</t>
    </r>
    <r>
      <rPr>
        <sz val="9"/>
        <rFont val="Arial"/>
        <family val="2"/>
      </rPr>
      <t xml:space="preserve">
</t>
    </r>
    <r>
      <rPr>
        <sz val="9"/>
        <color rgb="FFC00000"/>
        <rFont val="Arial"/>
        <family val="2"/>
      </rPr>
      <t>Para os imóveis rurais classificados como familiares rurais</t>
    </r>
    <r>
      <rPr>
        <sz val="9"/>
        <rFont val="Arial"/>
        <family val="2"/>
      </rPr>
      <t xml:space="preserve"> (</t>
    </r>
    <r>
      <rPr>
        <sz val="9"/>
        <color rgb="FF0070C0"/>
        <rFont val="Arial"/>
        <family val="2"/>
      </rPr>
      <t>item 7.3 do questionário</t>
    </r>
    <r>
      <rPr>
        <sz val="9"/>
        <rFont val="Arial"/>
        <family val="2"/>
      </rPr>
      <t xml:space="preserve">), avaliar a disponibilidade de alimentos (hortaliças, frutas, tubérculos e fontes de proteína animal) produzidos no próprio estabelecimento (no entorno das residências), e se estes são suficientes para complementar a oferta de alimentos a todas as pessoas envolvidas no empreendimento.
</t>
    </r>
    <r>
      <rPr>
        <b/>
        <sz val="9"/>
        <color theme="8" tint="-0.499984740745262"/>
        <rFont val="Arial"/>
        <family val="2"/>
      </rPr>
      <t>APLICAÇÃO</t>
    </r>
    <r>
      <rPr>
        <sz val="9"/>
        <rFont val="Arial"/>
        <family val="2"/>
      </rPr>
      <t xml:space="preserve">
</t>
    </r>
    <r>
      <rPr>
        <b/>
        <sz val="9"/>
        <rFont val="Arial"/>
        <family val="2"/>
      </rPr>
      <t>1</t>
    </r>
    <r>
      <rPr>
        <b/>
        <sz val="9"/>
        <rFont val="Calibri"/>
        <family val="2"/>
      </rPr>
      <t>ª</t>
    </r>
    <r>
      <rPr>
        <b/>
        <sz val="9"/>
        <rFont val="Arial"/>
        <family val="2"/>
      </rPr>
      <t xml:space="preserve"> ETAPA</t>
    </r>
    <r>
      <rPr>
        <sz val="9"/>
        <rFont val="Arial"/>
        <family val="2"/>
      </rPr>
      <t xml:space="preserve"> - Verificar quantas residências com moradores regulares possui o estabelecimento (</t>
    </r>
    <r>
      <rPr>
        <sz val="9"/>
        <color rgb="FF0070C0"/>
        <rFont val="Arial"/>
        <family val="2"/>
      </rPr>
      <t>itens 9.1 e 9.2  do questionário</t>
    </r>
    <r>
      <rPr>
        <sz val="9"/>
        <rFont val="Arial"/>
        <family val="2"/>
      </rPr>
      <t xml:space="preserve">).
</t>
    </r>
    <r>
      <rPr>
        <b/>
        <sz val="9"/>
        <rFont val="Arial"/>
        <family val="2"/>
      </rPr>
      <t>2</t>
    </r>
    <r>
      <rPr>
        <b/>
        <sz val="9"/>
        <rFont val="Calibri"/>
        <family val="2"/>
      </rPr>
      <t>ª</t>
    </r>
    <r>
      <rPr>
        <b/>
        <sz val="9"/>
        <rFont val="Arial"/>
        <family val="2"/>
      </rPr>
      <t xml:space="preserve"> ETAPA</t>
    </r>
    <r>
      <rPr>
        <sz val="9"/>
        <rFont val="Arial"/>
        <family val="2"/>
      </rPr>
      <t xml:space="preserve"> - Para cada residência ou conjunto de residências, verificar se há produção de hortaliças, tubérculos, frutas e criação de animais para o consumo dos residentes.
OBS: Os valores utilizados no preenchimento de cada item são: 1 (presente); 0,5 (parcial) ou 0 (inexistente). Entende-se por parcial a presença do item, mas em quantidade insuficiente para atender à demanda da família. Valores de referência para uma família com 5 pessoas (demanda média de 2.630 kcal/dia), conforme trabalho realizado pela Emater/MG:
Citros, 4 pés; Mamoeiros, 13 pés; Bananeiras, 18 pés; Vacas de leite, 2; Cevados (porcos)/ano, 4; Frangos/ano, 100; Galinhas, 50; Galos, 3; Mandioca, 200 kg; Hortaliças (folhosas, frutos e tubérculos)/ano, 600 kg.                                                                                                                                            
</t>
    </r>
  </si>
  <si>
    <r>
      <rPr>
        <b/>
        <sz val="9"/>
        <color theme="8" tint="-0.499984740745262"/>
        <rFont val="Arial"/>
        <family val="2"/>
      </rPr>
      <t>OBJETIVO</t>
    </r>
    <r>
      <rPr>
        <sz val="9"/>
        <rFont val="Arial"/>
        <family val="2"/>
      </rPr>
      <t xml:space="preserve">
Verificar as informações relativas à escolaridade e à participação em cursos de capacitação (curta e média duração), direcionados às atividades agropecuárias do imóvel rural, de todos os integrantes da família com vínculo direto com as atividades do imóvel rural, e da mão de obra contratada efetiva. Verificar também o acesso das crianças em idade escolar, que residem no imóvel rural, à rede básica de ensino.
</t>
    </r>
    <r>
      <rPr>
        <b/>
        <sz val="9"/>
        <color theme="8" tint="-0.499984740745262"/>
        <rFont val="Arial"/>
        <family val="2"/>
      </rPr>
      <t>APLICAÇÃO</t>
    </r>
    <r>
      <rPr>
        <sz val="9"/>
        <rFont val="Arial"/>
        <family val="2"/>
      </rPr>
      <t xml:space="preserve">
</t>
    </r>
    <r>
      <rPr>
        <b/>
        <sz val="9"/>
        <rFont val="Arial"/>
        <family val="2"/>
      </rPr>
      <t>1</t>
    </r>
    <r>
      <rPr>
        <b/>
        <sz val="9"/>
        <rFont val="Calibri"/>
        <family val="2"/>
      </rPr>
      <t>ª</t>
    </r>
    <r>
      <rPr>
        <b/>
        <sz val="9"/>
        <rFont val="Arial"/>
        <family val="2"/>
      </rPr>
      <t xml:space="preserve"> ETAPA</t>
    </r>
    <r>
      <rPr>
        <sz val="9"/>
        <rFont val="Arial"/>
        <family val="2"/>
      </rPr>
      <t xml:space="preserve"> - Verificar o número de adultos com vínculo direto à produção e empregados permanentes. Levantar o número de dependentes em idade escolar que residem no estabelecimento.
</t>
    </r>
    <r>
      <rPr>
        <b/>
        <sz val="9"/>
        <rFont val="Arial"/>
        <family val="2"/>
      </rPr>
      <t>2</t>
    </r>
    <r>
      <rPr>
        <b/>
        <sz val="9"/>
        <rFont val="Calibri"/>
        <family val="2"/>
      </rPr>
      <t>ª</t>
    </r>
    <r>
      <rPr>
        <b/>
        <sz val="9"/>
        <rFont val="Arial"/>
        <family val="2"/>
      </rPr>
      <t xml:space="preserve"> ETAPA</t>
    </r>
    <r>
      <rPr>
        <sz val="9"/>
        <rFont val="Arial"/>
        <family val="2"/>
      </rPr>
      <t xml:space="preserve"> - Verificar com o entrevistado o grau de escolaridade, a participação em cursos de capacitação direcionado às atividades (no último ano), e se todos os dependentes em idade escolar estão frequentando a escola.
</t>
    </r>
  </si>
  <si>
    <r>
      <rPr>
        <b/>
        <sz val="9"/>
        <color theme="8" tint="-0.499984740745262"/>
        <rFont val="Arial"/>
        <family val="2"/>
      </rPr>
      <t>OBJETIVO</t>
    </r>
    <r>
      <rPr>
        <sz val="9"/>
        <rFont val="Arial"/>
        <family val="2"/>
      </rPr>
      <t xml:space="preserve">
Verificar o cumprimento da legislação trabalhista e uma série de recomendações e determinações do Ministério do Trabalho para os estabelecimentos que empregam pessoas nos sistemas de produção (mão de obra contratada efetiva e temporária).
</t>
    </r>
    <r>
      <rPr>
        <b/>
        <sz val="9"/>
        <color theme="8" tint="-0.499984740745262"/>
        <rFont val="Arial"/>
        <family val="2"/>
      </rPr>
      <t>APLICAÇÃO</t>
    </r>
    <r>
      <rPr>
        <sz val="9"/>
        <rFont val="Arial"/>
        <family val="2"/>
      </rPr>
      <t xml:space="preserve">
</t>
    </r>
    <r>
      <rPr>
        <b/>
        <sz val="9"/>
        <rFont val="Arial"/>
        <family val="2"/>
      </rPr>
      <t>1</t>
    </r>
    <r>
      <rPr>
        <b/>
        <sz val="9"/>
        <rFont val="Calibri"/>
        <family val="2"/>
      </rPr>
      <t>ª</t>
    </r>
    <r>
      <rPr>
        <b/>
        <sz val="9"/>
        <rFont val="Arial"/>
        <family val="2"/>
      </rPr>
      <t xml:space="preserve"> ETAPA</t>
    </r>
    <r>
      <rPr>
        <sz val="9"/>
        <rFont val="Arial"/>
        <family val="2"/>
      </rPr>
      <t xml:space="preserve"> - Verificar o número de funcionários permanentes (contratação efetiva) e temporários (contratação temporária) no</t>
    </r>
    <r>
      <rPr>
        <sz val="9"/>
        <color rgb="FF0070C0"/>
        <rFont val="Arial"/>
        <family val="2"/>
      </rPr>
      <t xml:space="preserve"> item 8 do questionário</t>
    </r>
    <r>
      <rPr>
        <sz val="9"/>
        <rFont val="Arial"/>
        <family val="2"/>
      </rPr>
      <t xml:space="preserve"> e fazer o lançamento no</t>
    </r>
    <r>
      <rPr>
        <sz val="9"/>
        <color rgb="FF0070C0"/>
        <rFont val="Arial"/>
        <family val="2"/>
      </rPr>
      <t xml:space="preserve"> campo 7.1</t>
    </r>
    <r>
      <rPr>
        <sz val="9"/>
        <rFont val="Arial"/>
        <family val="2"/>
      </rPr>
      <t xml:space="preserve">. 
</t>
    </r>
    <r>
      <rPr>
        <b/>
        <sz val="9"/>
        <rFont val="Arial"/>
        <family val="2"/>
      </rPr>
      <t>2</t>
    </r>
    <r>
      <rPr>
        <b/>
        <sz val="9"/>
        <rFont val="Calibri"/>
        <family val="2"/>
      </rPr>
      <t>ª</t>
    </r>
    <r>
      <rPr>
        <b/>
        <sz val="9"/>
        <rFont val="Arial"/>
        <family val="2"/>
      </rPr>
      <t xml:space="preserve"> ETAPA </t>
    </r>
    <r>
      <rPr>
        <sz val="9"/>
        <rFont val="Arial"/>
        <family val="2"/>
      </rPr>
      <t xml:space="preserve">- A partir do levantamento do número de empregados permanentes e temporários, verificar quantas pessoas são atendidas nos </t>
    </r>
    <r>
      <rPr>
        <sz val="9"/>
        <color rgb="FF0070C0"/>
        <rFont val="Arial"/>
        <family val="2"/>
      </rPr>
      <t>campos 7.2 e 7.3</t>
    </r>
    <r>
      <rPr>
        <sz val="9"/>
        <rFont val="Arial"/>
        <family val="2"/>
      </rPr>
      <t xml:space="preserve"> e que recebem os beneficios descritos nos</t>
    </r>
    <r>
      <rPr>
        <sz val="9"/>
        <color rgb="FF0070C0"/>
        <rFont val="Arial"/>
        <family val="2"/>
      </rPr>
      <t xml:space="preserve"> campos 7.4 a 7.11</t>
    </r>
    <r>
      <rPr>
        <sz val="9"/>
        <rFont val="Arial"/>
        <family val="2"/>
      </rPr>
      <t>.</t>
    </r>
  </si>
  <si>
    <r>
      <rPr>
        <b/>
        <sz val="9"/>
        <color theme="8" tint="-0.499984740745262"/>
        <rFont val="Arial"/>
        <family val="2"/>
      </rPr>
      <t>OBJETIVO</t>
    </r>
    <r>
      <rPr>
        <sz val="9"/>
        <rFont val="Arial"/>
        <family val="2"/>
      </rPr>
      <t xml:space="preserve">
Avaliar a capacidade de gestão do empreendedor com base no uso de instrumentos de administração, controle de custos, contabilidade, no acesso ao crédito e à assistência técnica, na regularização ambiental do imóvel rural e no grau de organização dos produtores da região.
</t>
    </r>
    <r>
      <rPr>
        <b/>
        <sz val="9"/>
        <color theme="8" tint="-0.499984740745262"/>
        <rFont val="Arial"/>
        <family val="2"/>
      </rPr>
      <t>APLICAÇÃO</t>
    </r>
    <r>
      <rPr>
        <sz val="9"/>
        <rFont val="Arial"/>
        <family val="2"/>
      </rPr>
      <t xml:space="preserve">
</t>
    </r>
    <r>
      <rPr>
        <b/>
        <sz val="9"/>
        <rFont val="Arial"/>
        <family val="2"/>
      </rPr>
      <t>1</t>
    </r>
    <r>
      <rPr>
        <b/>
        <sz val="9"/>
        <rFont val="Calibri"/>
        <family val="2"/>
      </rPr>
      <t>ª</t>
    </r>
    <r>
      <rPr>
        <b/>
        <sz val="9"/>
        <rFont val="Arial"/>
        <family val="2"/>
      </rPr>
      <t xml:space="preserve"> ETAPA</t>
    </r>
    <r>
      <rPr>
        <sz val="9"/>
        <rFont val="Arial"/>
        <family val="2"/>
      </rPr>
      <t xml:space="preserve"> - Verificar com o entrevistado se é feito um controle de receitas e despesas no empreendimento rural (controle do fluxo de caixa).
</t>
    </r>
    <r>
      <rPr>
        <b/>
        <sz val="9"/>
        <rFont val="Arial"/>
        <family val="2"/>
      </rPr>
      <t>2</t>
    </r>
    <r>
      <rPr>
        <b/>
        <sz val="9"/>
        <rFont val="Calibri"/>
        <family val="2"/>
      </rPr>
      <t>ª</t>
    </r>
    <r>
      <rPr>
        <b/>
        <sz val="9"/>
        <rFont val="Arial"/>
        <family val="2"/>
      </rPr>
      <t xml:space="preserve"> ETAPA</t>
    </r>
    <r>
      <rPr>
        <sz val="9"/>
        <rFont val="Arial"/>
        <family val="2"/>
      </rPr>
      <t xml:space="preserve"> - Verificar se é feito um controle de custos de produção e apuração do lucro das principais atividades.
</t>
    </r>
    <r>
      <rPr>
        <b/>
        <sz val="9"/>
        <rFont val="Arial"/>
        <family val="2"/>
      </rPr>
      <t>3</t>
    </r>
    <r>
      <rPr>
        <b/>
        <sz val="9"/>
        <rFont val="Calibri"/>
        <family val="2"/>
      </rPr>
      <t>ª</t>
    </r>
    <r>
      <rPr>
        <b/>
        <sz val="9"/>
        <rFont val="Arial"/>
        <family val="2"/>
      </rPr>
      <t xml:space="preserve"> ETAPA</t>
    </r>
    <r>
      <rPr>
        <sz val="9"/>
        <rFont val="Arial"/>
        <family val="2"/>
      </rPr>
      <t xml:space="preserve"> - Verificar se o produtor tem acesso à assistência técnica (não considerar assistência de revendas ou lojas de insumos agropecuários).
</t>
    </r>
    <r>
      <rPr>
        <b/>
        <sz val="9"/>
        <rFont val="Arial"/>
        <family val="2"/>
      </rPr>
      <t>4</t>
    </r>
    <r>
      <rPr>
        <b/>
        <sz val="9"/>
        <rFont val="Calibri"/>
        <family val="2"/>
      </rPr>
      <t>ª</t>
    </r>
    <r>
      <rPr>
        <b/>
        <sz val="9"/>
        <rFont val="Arial"/>
        <family val="2"/>
      </rPr>
      <t xml:space="preserve"> ETAPA</t>
    </r>
    <r>
      <rPr>
        <sz val="9"/>
        <rFont val="Arial"/>
        <family val="2"/>
      </rPr>
      <t xml:space="preserve"> - Verificar se o produtor participa ativamente ou de forma eventual das diversas formas de organização dos produtores rurais (Associações, Cooperativas, Sindicato, etc.).
</t>
    </r>
    <r>
      <rPr>
        <b/>
        <sz val="9"/>
        <rFont val="Arial"/>
        <family val="2"/>
      </rPr>
      <t>5</t>
    </r>
    <r>
      <rPr>
        <b/>
        <sz val="9"/>
        <rFont val="Calibri"/>
        <family val="2"/>
      </rPr>
      <t>ª</t>
    </r>
    <r>
      <rPr>
        <b/>
        <sz val="9"/>
        <rFont val="Arial"/>
        <family val="2"/>
      </rPr>
      <t xml:space="preserve"> ETAPA</t>
    </r>
    <r>
      <rPr>
        <sz val="9"/>
        <rFont val="Arial"/>
        <family val="2"/>
      </rPr>
      <t xml:space="preserve"> - Verificar a situação da regularização ambiental do produtor com relação a água, licença ambiental e regularização da Reserva Legal (RL) e das Áreas de Preservação Permanente (APP) a partir do Cadastro Ambiental Rural (CAR).
</t>
    </r>
    <r>
      <rPr>
        <b/>
        <sz val="9"/>
        <rFont val="Arial"/>
        <family val="2"/>
      </rPr>
      <t>6</t>
    </r>
    <r>
      <rPr>
        <b/>
        <sz val="9"/>
        <rFont val="Calibri"/>
        <family val="2"/>
      </rPr>
      <t>ª</t>
    </r>
    <r>
      <rPr>
        <b/>
        <sz val="9"/>
        <rFont val="Arial"/>
        <family val="2"/>
      </rPr>
      <t xml:space="preserve"> ETAPA</t>
    </r>
    <r>
      <rPr>
        <sz val="9"/>
        <rFont val="Arial"/>
        <family val="2"/>
      </rPr>
      <t xml:space="preserve"> - Verificar se o produtor tem acesso às linhas de crédito (custeio para o plantio de lavouras ou pecuário, financiamento de equipamentos e construções, reformas de pastos, entre outros, e crédito para a comercialização da produção). Para o preenchimento deste indicador, deve-se colocar o valor 1 (se a atividade é realizada satisfatoriamente), 0,5 (se a atividade é realizada parcialmente) ou 0 (se inexistente).</t>
    </r>
  </si>
  <si>
    <t>GESTÃO DA INFORMAÇÃO</t>
  </si>
  <si>
    <r>
      <rPr>
        <b/>
        <sz val="9"/>
        <color theme="8" tint="-0.499984740745262"/>
        <rFont val="Arial"/>
        <family val="2"/>
      </rPr>
      <t>OBJETIVO</t>
    </r>
    <r>
      <rPr>
        <sz val="9"/>
        <rFont val="Arial"/>
        <family val="2"/>
      </rPr>
      <t xml:space="preserve">
Verificar a utilização de ferramentas de gestão direcionadas aos fatores críticos identificados nas principais atividades, com foco na adoção de técnicas inovadoras, ambientalmente adequadas, e na capacidade de inovação do produtor rural. Verificar se o produtor busca informações de mercado para a comercialização de sua produção, e o acesso a mercados diferenciados (produtos certificados, mercados que pagam um diferencial na qualidade) ou de mercados institucionais (programas de governo com comercialização direta do produtor ao consumidor, programa de abastecimento para a merenda escolar no município, entre outros).
</t>
    </r>
    <r>
      <rPr>
        <b/>
        <sz val="9"/>
        <color theme="8" tint="-0.499984740745262"/>
        <rFont val="Arial"/>
        <family val="2"/>
      </rPr>
      <t>APLICAÇÃO</t>
    </r>
    <r>
      <rPr>
        <sz val="9"/>
        <rFont val="Arial"/>
        <family val="2"/>
      </rPr>
      <t xml:space="preserve">
</t>
    </r>
    <r>
      <rPr>
        <b/>
        <sz val="9"/>
        <rFont val="Arial"/>
        <family val="2"/>
      </rPr>
      <t>1</t>
    </r>
    <r>
      <rPr>
        <b/>
        <sz val="9"/>
        <rFont val="Calibri"/>
        <family val="2"/>
      </rPr>
      <t>ª</t>
    </r>
    <r>
      <rPr>
        <b/>
        <sz val="9"/>
        <rFont val="Arial"/>
        <family val="2"/>
      </rPr>
      <t xml:space="preserve"> ETAPA</t>
    </r>
    <r>
      <rPr>
        <sz val="9"/>
        <rFont val="Arial"/>
        <family val="2"/>
      </rPr>
      <t xml:space="preserve"> - Verificar com o entrevistado como é feita a comercialização da produção e como ele obtem informações sobre o mercado (consulta dos preços pagos em sites, Cooperativas, Associações, jornal, etc.). Verificar também se há produção certificada ou direcionada para mercados institucionais (orgânica, cafés especiais, Programa de Aquisição de Alimentos - PAA, Programa Nacional de Alimentação Escolar - PNAE, entre outros).
</t>
    </r>
    <r>
      <rPr>
        <b/>
        <sz val="9"/>
        <rFont val="Arial"/>
        <family val="2"/>
      </rPr>
      <t>2</t>
    </r>
    <r>
      <rPr>
        <b/>
        <sz val="9"/>
        <rFont val="Calibri"/>
        <family val="2"/>
      </rPr>
      <t>ª</t>
    </r>
    <r>
      <rPr>
        <b/>
        <sz val="9"/>
        <rFont val="Arial"/>
        <family val="2"/>
      </rPr>
      <t xml:space="preserve"> ETAPA</t>
    </r>
    <r>
      <rPr>
        <sz val="9"/>
        <rFont val="Arial"/>
        <family val="2"/>
      </rPr>
      <t xml:space="preserve"> - Verificar com o entrevistado, durante as visitas aos talhões, quais são os principais problemas e quais as medidas tomadas para o seu controle, verificando previamente na região quais as tecnologias inovadoras identificadas e, se estas ou outras estão sendo adotadas pelo produtor (caso afirmativo, a descrição da técnica inovadora adotadas pelo produtor é feita no </t>
    </r>
    <r>
      <rPr>
        <sz val="9"/>
        <color rgb="FF0070C0"/>
        <rFont val="Arial"/>
        <family val="2"/>
      </rPr>
      <t>campo 9.3</t>
    </r>
    <r>
      <rPr>
        <sz val="9"/>
        <rFont val="Arial"/>
        <family val="2"/>
      </rPr>
      <t>). A partir do perfil levantado do produtor, verificar se este tem capacidade de inovação ou tem uma posição de liderança na comunidade (caso afirmativo a descrição é feita no</t>
    </r>
    <r>
      <rPr>
        <sz val="9"/>
        <color rgb="FF0070C0"/>
        <rFont val="Arial"/>
        <family val="2"/>
      </rPr>
      <t xml:space="preserve"> campo 9.4</t>
    </r>
    <r>
      <rPr>
        <sz val="9"/>
        <rFont val="Arial"/>
        <family val="2"/>
      </rPr>
      <t xml:space="preserve">).
</t>
    </r>
  </si>
  <si>
    <t>GERENCIAMENTO DE RESÍDUOS E EFLUENTES NO IMÓVEL RURAL</t>
  </si>
  <si>
    <r>
      <rPr>
        <b/>
        <sz val="9"/>
        <color theme="8" tint="-0.499984740745262"/>
        <rFont val="Arial"/>
        <family val="2"/>
      </rPr>
      <t>OBJETIVO</t>
    </r>
    <r>
      <rPr>
        <sz val="9"/>
        <rFont val="Arial"/>
        <family val="2"/>
      </rPr>
      <t xml:space="preserve">
Verificar o índice de coleta e destinação adequada do lixo (reciclável e não reciclável) produzidos no imóvel rural; verificar a destinação adequada do esgoto doméstico; verificar o índice de reaproveitamento dos resíduos sólidos orgânicos gerados no imóvel rural (compostagem, utilizados como adubação orgânica, para alimentação de animais, entre outros); e verificar o índice de tratamento e destinação adequada dos efluentes líquidos e gasosos, quando os mesmos forem gerados no imóvel rural.
</t>
    </r>
    <r>
      <rPr>
        <b/>
        <sz val="9"/>
        <color theme="8" tint="-0.499984740745262"/>
        <rFont val="Arial"/>
        <family val="2"/>
      </rPr>
      <t>APLICAÇÃO</t>
    </r>
    <r>
      <rPr>
        <sz val="9"/>
        <rFont val="Arial"/>
        <family val="2"/>
      </rPr>
      <t xml:space="preserve">
</t>
    </r>
    <r>
      <rPr>
        <b/>
        <sz val="9"/>
        <rFont val="Arial"/>
        <family val="2"/>
      </rPr>
      <t>1</t>
    </r>
    <r>
      <rPr>
        <b/>
        <sz val="9"/>
        <rFont val="Calibri"/>
        <family val="2"/>
      </rPr>
      <t>ª</t>
    </r>
    <r>
      <rPr>
        <b/>
        <sz val="9"/>
        <rFont val="Arial"/>
        <family val="2"/>
      </rPr>
      <t xml:space="preserve"> ETAPA</t>
    </r>
    <r>
      <rPr>
        <sz val="9"/>
        <rFont val="Arial"/>
        <family val="2"/>
      </rPr>
      <t xml:space="preserve"> - Após verificar o</t>
    </r>
    <r>
      <rPr>
        <sz val="9"/>
        <color rgb="FF0070C0"/>
        <rFont val="Arial"/>
        <family val="2"/>
      </rPr>
      <t xml:space="preserve"> item 15.2 do questionário</t>
    </r>
    <r>
      <rPr>
        <sz val="9"/>
        <rFont val="Arial"/>
        <family val="2"/>
      </rPr>
      <t xml:space="preserve">, estimar com o entrevistado qual a proporção (%) do lixo doméstico e do lixo gerado nas unidades de produção com destinação adequada (lixo reciclável – embalagens, plástico, papel, latas, e o lixo não reciclável). Considerar todas as residências existentes no estabelecimento.
</t>
    </r>
    <r>
      <rPr>
        <b/>
        <sz val="9"/>
        <rFont val="Arial"/>
        <family val="2"/>
      </rPr>
      <t>2</t>
    </r>
    <r>
      <rPr>
        <b/>
        <sz val="9"/>
        <rFont val="Calibri"/>
        <family val="2"/>
      </rPr>
      <t>ª</t>
    </r>
    <r>
      <rPr>
        <b/>
        <sz val="9"/>
        <rFont val="Arial"/>
        <family val="2"/>
      </rPr>
      <t xml:space="preserve"> ETAPA</t>
    </r>
    <r>
      <rPr>
        <sz val="9"/>
        <rFont val="Arial"/>
        <family val="2"/>
      </rPr>
      <t xml:space="preserve"> - Após verificar o</t>
    </r>
    <r>
      <rPr>
        <sz val="9"/>
        <color rgb="FF0070C0"/>
        <rFont val="Arial"/>
        <family val="2"/>
      </rPr>
      <t xml:space="preserve"> item 15.1 do questionário</t>
    </r>
    <r>
      <rPr>
        <sz val="9"/>
        <rFont val="Arial"/>
        <family val="2"/>
      </rPr>
      <t xml:space="preserve">, estipular qual a proporção (%) do esgoto doméstico que possui destinação e tratamento adequados (considerar todas as residências  identificadas nos </t>
    </r>
    <r>
      <rPr>
        <sz val="9"/>
        <color rgb="FF0070C0"/>
        <rFont val="Arial"/>
        <family val="2"/>
      </rPr>
      <t>itens 9.1 e 9.2 do questionário</t>
    </r>
    <r>
      <rPr>
        <sz val="9"/>
        <rFont val="Arial"/>
        <family val="2"/>
      </rPr>
      <t xml:space="preserve">). 
</t>
    </r>
    <r>
      <rPr>
        <b/>
        <sz val="9"/>
        <rFont val="Arial"/>
        <family val="2"/>
      </rPr>
      <t>3</t>
    </r>
    <r>
      <rPr>
        <b/>
        <sz val="9"/>
        <rFont val="Calibri"/>
        <family val="2"/>
      </rPr>
      <t>ª</t>
    </r>
    <r>
      <rPr>
        <b/>
        <sz val="9"/>
        <rFont val="Arial"/>
        <family val="2"/>
      </rPr>
      <t xml:space="preserve"> ETAPA</t>
    </r>
    <r>
      <rPr>
        <sz val="9"/>
        <rFont val="Arial"/>
        <family val="2"/>
      </rPr>
      <t xml:space="preserve"> - Estimar com o entrevistado qual a proporção (%) do total de resíduos orgânicos que são compostados ou reaproveitados nas unidades de produção (palhadas, esterco, cama de frango, entre outros).
</t>
    </r>
    <r>
      <rPr>
        <b/>
        <sz val="9"/>
        <rFont val="Arial"/>
        <family val="2"/>
      </rPr>
      <t>4</t>
    </r>
    <r>
      <rPr>
        <b/>
        <sz val="9"/>
        <rFont val="Calibri"/>
        <family val="2"/>
      </rPr>
      <t>ª</t>
    </r>
    <r>
      <rPr>
        <b/>
        <sz val="9"/>
        <rFont val="Arial"/>
        <family val="2"/>
      </rPr>
      <t xml:space="preserve"> ETAPA </t>
    </r>
    <r>
      <rPr>
        <sz val="9"/>
        <rFont val="Arial"/>
        <family val="2"/>
      </rPr>
      <t xml:space="preserve">- Verificar com o entrevistado se há alguma unidade de produção (curral, galpões para criação de animais, unidades de compostagem) ou de beneficiamento (café despolpado, chorumeira, etc.) que geram efluentes líquidos. Estimar qual a proporção (%) dos efluentes gerados que recebem tratamento e destinação adequada.
</t>
    </r>
    <r>
      <rPr>
        <b/>
        <sz val="9"/>
        <rFont val="Arial"/>
        <family val="2"/>
      </rPr>
      <t>5</t>
    </r>
    <r>
      <rPr>
        <b/>
        <sz val="9"/>
        <rFont val="Calibri"/>
        <family val="2"/>
      </rPr>
      <t>ª</t>
    </r>
    <r>
      <rPr>
        <b/>
        <sz val="9"/>
        <rFont val="Arial"/>
        <family val="2"/>
      </rPr>
      <t xml:space="preserve"> ETAPA </t>
    </r>
    <r>
      <rPr>
        <sz val="9"/>
        <rFont val="Arial"/>
        <family val="2"/>
      </rPr>
      <t xml:space="preserve">- Verificar com o entrevistado se há alguma unidade de produção que gere efluentes gasosos (caldeiras, carvoaria, biodigestores, etc.). Estimar qual a proporção (%) do total de efluentes gasosos gerados que possuem um tratamento adequado antes de serem lançados na atmosfera.
</t>
    </r>
    <r>
      <rPr>
        <b/>
        <sz val="9"/>
        <rFont val="Arial"/>
        <family val="2"/>
      </rPr>
      <t>6</t>
    </r>
    <r>
      <rPr>
        <b/>
        <sz val="9"/>
        <rFont val="Calibri"/>
        <family val="2"/>
      </rPr>
      <t>ª</t>
    </r>
    <r>
      <rPr>
        <b/>
        <sz val="9"/>
        <rFont val="Arial"/>
        <family val="2"/>
      </rPr>
      <t xml:space="preserve"> ETAPA</t>
    </r>
    <r>
      <rPr>
        <sz val="9"/>
        <rFont val="Arial"/>
        <family val="2"/>
      </rPr>
      <t xml:space="preserve"> - Verificar no imóvel rural se tem alguma situação crítica com relação ao gerenciamento de resíduos e efluentes (por exemplo, fossa seca (negra) localizada próxima a um curso d'água ou poço artesiano; lançamento de efuentes (domésticos ou de criações) em corpos d'água; esgoto a céu aberto, queima de resíduos plásticos, baterias, e outros materiais sintéticos no estabelecimento).</t>
    </r>
  </si>
  <si>
    <r>
      <rPr>
        <b/>
        <sz val="9"/>
        <color theme="8" tint="-0.499984740745262"/>
        <rFont val="Arial"/>
        <family val="2"/>
      </rPr>
      <t>OBJETIVO</t>
    </r>
    <r>
      <rPr>
        <sz val="9"/>
        <rFont val="Arial"/>
        <family val="2"/>
      </rPr>
      <t xml:space="preserve">
Verificar no imóvel rural se o produtor utiliza agrotóxicos e/ou produtos veterinários (vacinas e para o controle de ecto e endoparasitas), levantar quantas pessoas manipulam ou estão expostas a esses produtos e, se as mesmas utilizam equipamentos de proteção individual, e observar o armazenamento e disposição adequada das embalagens destes produtos.
</t>
    </r>
    <r>
      <rPr>
        <b/>
        <sz val="9"/>
        <color theme="8" tint="-0.499984740745262"/>
        <rFont val="Arial"/>
        <family val="2"/>
      </rPr>
      <t>APLICAÇÃO</t>
    </r>
    <r>
      <rPr>
        <sz val="9"/>
        <rFont val="Arial"/>
        <family val="2"/>
      </rPr>
      <t xml:space="preserve">
</t>
    </r>
    <r>
      <rPr>
        <b/>
        <sz val="9"/>
        <rFont val="Arial"/>
        <family val="2"/>
      </rPr>
      <t>1</t>
    </r>
    <r>
      <rPr>
        <b/>
        <sz val="9"/>
        <rFont val="Calibri"/>
        <family val="2"/>
      </rPr>
      <t>ª</t>
    </r>
    <r>
      <rPr>
        <b/>
        <sz val="9"/>
        <rFont val="Arial"/>
        <family val="2"/>
      </rPr>
      <t xml:space="preserve"> ETAPA</t>
    </r>
    <r>
      <rPr>
        <sz val="9"/>
        <rFont val="Arial"/>
        <family val="2"/>
      </rPr>
      <t xml:space="preserve"> - Verificar com o entrevistado se ocorre a utilização de agrotóxicos e de produtos veterinários nos sistemas de produção agrossilvipastoris, quantas pessoas manuseiam esses produtos, e quantas utilizam o equipamento de proteção individual (preencher o número de pessoas no </t>
    </r>
    <r>
      <rPr>
        <sz val="9"/>
        <color rgb="FF0070C0"/>
        <rFont val="Arial"/>
        <family val="2"/>
      </rPr>
      <t>campo 11.1</t>
    </r>
    <r>
      <rPr>
        <sz val="9"/>
        <rFont val="Arial"/>
        <family val="2"/>
      </rPr>
      <t xml:space="preserve"> e no </t>
    </r>
    <r>
      <rPr>
        <sz val="9"/>
        <color rgb="FF0070C0"/>
        <rFont val="Arial"/>
        <family val="2"/>
      </rPr>
      <t>campo 11.2</t>
    </r>
    <r>
      <rPr>
        <sz val="9"/>
        <rFont val="Arial"/>
        <family val="2"/>
      </rPr>
      <t xml:space="preserve">).
</t>
    </r>
    <r>
      <rPr>
        <b/>
        <sz val="9"/>
        <rFont val="Arial"/>
        <family val="2"/>
      </rPr>
      <t>2</t>
    </r>
    <r>
      <rPr>
        <b/>
        <sz val="9"/>
        <rFont val="Calibri"/>
        <family val="2"/>
      </rPr>
      <t>ª</t>
    </r>
    <r>
      <rPr>
        <b/>
        <sz val="9"/>
        <rFont val="Arial"/>
        <family val="2"/>
      </rPr>
      <t xml:space="preserve"> ETAPA</t>
    </r>
    <r>
      <rPr>
        <sz val="9"/>
        <rFont val="Arial"/>
        <family val="2"/>
      </rPr>
      <t xml:space="preserve"> - Verificar se o estabelecimento possui um local adequado para o armazenamento das embalagens de agrotóxicos e produtos veterinários (local exclusivo com acesso restrito e ventilado) e se o produtor faz a devolução dessas embalagens no local indicado pela revenda, conforme a Lei 12.305/10 que institui a Política Nacional de Resíduos Sólidos e trata da logística reversa dos resíduos (marcar com x nos </t>
    </r>
    <r>
      <rPr>
        <sz val="9"/>
        <color rgb="FF0070C0"/>
        <rFont val="Arial"/>
        <family val="2"/>
      </rPr>
      <t>campos 11.3 e 11.4</t>
    </r>
    <r>
      <rPr>
        <sz val="9"/>
        <rFont val="Arial"/>
        <family val="2"/>
      </rPr>
      <t xml:space="preserve"> quando for adequado e suficiente).
</t>
    </r>
  </si>
  <si>
    <t>CAPACIDADE PRODUTIVA RELACIONADA À FERTILIDADE DO SOLO</t>
  </si>
  <si>
    <r>
      <rPr>
        <b/>
        <sz val="9"/>
        <color theme="8" tint="-0.499984740745262"/>
        <rFont val="Arial"/>
        <family val="2"/>
      </rPr>
      <t>OBJETIVO</t>
    </r>
    <r>
      <rPr>
        <sz val="9"/>
        <rFont val="Arial"/>
        <family val="2"/>
      </rPr>
      <t xml:space="preserve">
Avaliar a capacidade de o ambiente prover os recursos mínimos necessários à manutenção dos sistemas de produção, assegurando uma produtividade estável com retorno econômico para o agricultor. São avaliados dez parâmetros relacionados com as propriedades químicas e físicas do solo. Para a interpretação dos dados foram utilizadas as publicações "Recomendações para o uso de corretivos e fertilizantes em Minas Gerais - 5ª aproximação" e "Cerrado: correção do solo e adubação" publicado pela Embrapa Cerrados.
</t>
    </r>
    <r>
      <rPr>
        <b/>
        <sz val="9"/>
        <color theme="8" tint="-0.499984740745262"/>
        <rFont val="Arial"/>
        <family val="2"/>
      </rPr>
      <t>APLICAÇÃO</t>
    </r>
    <r>
      <rPr>
        <sz val="9"/>
        <rFont val="Arial"/>
        <family val="2"/>
      </rPr>
      <t xml:space="preserve">
</t>
    </r>
    <r>
      <rPr>
        <b/>
        <sz val="9"/>
        <rFont val="Arial"/>
        <family val="2"/>
      </rPr>
      <t>1</t>
    </r>
    <r>
      <rPr>
        <b/>
        <sz val="9"/>
        <rFont val="Calibri"/>
        <family val="2"/>
      </rPr>
      <t>ª</t>
    </r>
    <r>
      <rPr>
        <b/>
        <sz val="9"/>
        <rFont val="Arial"/>
        <family val="2"/>
      </rPr>
      <t xml:space="preserve"> ETAPA</t>
    </r>
    <r>
      <rPr>
        <sz val="9"/>
        <rFont val="Arial"/>
        <family val="2"/>
      </rPr>
      <t xml:space="preserve"> - Verificar no item </t>
    </r>
    <r>
      <rPr>
        <sz val="9"/>
        <color rgb="FF0070C0"/>
        <rFont val="Arial"/>
        <family val="2"/>
      </rPr>
      <t>10.1 do questionário</t>
    </r>
    <r>
      <rPr>
        <sz val="9"/>
        <rFont val="Arial"/>
        <family val="2"/>
      </rPr>
      <t xml:space="preserve">, qual é a área mais representativa para a produção agrossilvipastoril (com relação à dimensão ou geração de renda). Verificar se o entrevistado possui análises recentes de fertilidade do solo (período até 2 anos), e se as mesmas possuem análise granulométrica do solo (textura). 
</t>
    </r>
    <r>
      <rPr>
        <b/>
        <sz val="9"/>
        <rFont val="Arial"/>
        <family val="2"/>
      </rPr>
      <t>2</t>
    </r>
    <r>
      <rPr>
        <b/>
        <sz val="9"/>
        <rFont val="Calibri"/>
        <family val="2"/>
      </rPr>
      <t>ª</t>
    </r>
    <r>
      <rPr>
        <b/>
        <sz val="9"/>
        <rFont val="Arial"/>
        <family val="2"/>
      </rPr>
      <t xml:space="preserve"> ETAPA</t>
    </r>
    <r>
      <rPr>
        <sz val="9"/>
        <rFont val="Arial"/>
        <family val="2"/>
      </rPr>
      <t xml:space="preserve"> - A partir das informações levantadas verificar a necessidade de fazer outras coletas de amostras de solos para análise química em laboratório de solo. Se necessário, fazer a coleta de amostras de solo (evitar talhões que foram recentemente adubados, não coletar amostras próximas a brejos, casas, galpões, formigueiros, voçorocas, etc.). As coletas devem ser realizadas na profundidade de 0-20 cm, com auxílio de um trado, caminhando em zigue-zague pela área. Após a coleta de amostras, o solo deve ser bem misturado, para obtenção de uma amostra composta do talhão. Desta, separa-se uma porção da amostra composta de, aproximadamente, 300 g, em saco plástico limpo e identificado (nome do talhão, data e o código do estabelecimento), para ser encaminhada ao laboratório de solos.
</t>
    </r>
    <r>
      <rPr>
        <b/>
        <sz val="9"/>
        <rFont val="Arial"/>
        <family val="2"/>
      </rPr>
      <t>3</t>
    </r>
    <r>
      <rPr>
        <b/>
        <sz val="9"/>
        <rFont val="Calibri"/>
        <family val="2"/>
      </rPr>
      <t>ª</t>
    </r>
    <r>
      <rPr>
        <b/>
        <sz val="9"/>
        <rFont val="Arial"/>
        <family val="2"/>
      </rPr>
      <t xml:space="preserve"> ETAPA </t>
    </r>
    <r>
      <rPr>
        <sz val="9"/>
        <rFont val="Arial"/>
        <family val="2"/>
      </rPr>
      <t xml:space="preserve">- Lançar os dados da análise de solo na planilha eletrônica. Primeiro, fazer a descrição do talhão e a data da análise no laboratório (campo descrição do talhão, localizado acima do </t>
    </r>
    <r>
      <rPr>
        <sz val="9"/>
        <color rgb="FF0070C0"/>
        <rFont val="Arial"/>
        <family val="2"/>
      </rPr>
      <t>campo 12.1</t>
    </r>
    <r>
      <rPr>
        <sz val="9"/>
        <rFont val="Arial"/>
        <family val="2"/>
      </rPr>
      <t xml:space="preserve">). Depois lançar os demais dados nos </t>
    </r>
    <r>
      <rPr>
        <sz val="9"/>
        <color rgb="FF0070C0"/>
        <rFont val="Arial"/>
        <family val="2"/>
      </rPr>
      <t>campos 12.1 a 12.10</t>
    </r>
    <r>
      <rPr>
        <sz val="9"/>
        <rFont val="Arial"/>
        <family val="2"/>
      </rPr>
      <t>. Os dados do teor de matéria orgânica (</t>
    </r>
    <r>
      <rPr>
        <sz val="9"/>
        <color rgb="FF0070C0"/>
        <rFont val="Arial"/>
        <family val="2"/>
      </rPr>
      <t>campo 12.2</t>
    </r>
    <r>
      <rPr>
        <sz val="9"/>
        <rFont val="Arial"/>
        <family val="2"/>
      </rPr>
      <t>) e do fósforo disponível (</t>
    </r>
    <r>
      <rPr>
        <sz val="9"/>
        <color rgb="FF0070C0"/>
        <rFont val="Arial"/>
        <family val="2"/>
      </rPr>
      <t>campo 12.3</t>
    </r>
    <r>
      <rPr>
        <sz val="9"/>
        <rFont val="Arial"/>
        <family val="2"/>
      </rPr>
      <t>) devem ser lançados considerando a textura do solo, identificada no</t>
    </r>
    <r>
      <rPr>
        <sz val="9"/>
        <color rgb="FF0070C0"/>
        <rFont val="Arial"/>
        <family val="2"/>
      </rPr>
      <t xml:space="preserve"> campo 12.1</t>
    </r>
    <r>
      <rPr>
        <sz val="9"/>
        <rFont val="Arial"/>
        <family val="2"/>
      </rPr>
      <t xml:space="preserve">.
</t>
    </r>
  </si>
  <si>
    <r>
      <rPr>
        <b/>
        <sz val="9"/>
        <color theme="8" tint="-0.499984740745262"/>
        <rFont val="Arial"/>
        <family val="2"/>
      </rPr>
      <t>AVALIAÇÃO DA QUALIDADE DA ÁGUA SUPERFICIAL - OBJETIVO</t>
    </r>
    <r>
      <rPr>
        <sz val="9"/>
        <rFont val="Arial"/>
        <family val="2"/>
      </rPr>
      <t xml:space="preserve">
Avaliar a qualidade da água superficial no imóvel rural, a partir de uma análise qualitativa dos ecossistemas aquáticos (descrita no </t>
    </r>
    <r>
      <rPr>
        <sz val="9"/>
        <color rgb="FF0070C0"/>
        <rFont val="Arial"/>
        <family val="2"/>
      </rPr>
      <t>item 18 do questionário</t>
    </r>
    <r>
      <rPr>
        <sz val="9"/>
        <rFont val="Arial"/>
        <family val="2"/>
      </rPr>
      <t xml:space="preserve">), e da avaliação da turbidez, pH, nitrato e coliformes termotolerantes de amostras de água.
</t>
    </r>
    <r>
      <rPr>
        <b/>
        <sz val="9"/>
        <color theme="8" tint="-0.499984740745262"/>
        <rFont val="Arial"/>
        <family val="2"/>
      </rPr>
      <t>APLICAÇÃO</t>
    </r>
    <r>
      <rPr>
        <sz val="9"/>
        <rFont val="Arial"/>
        <family val="2"/>
      </rPr>
      <t xml:space="preserve">
</t>
    </r>
    <r>
      <rPr>
        <b/>
        <sz val="9"/>
        <rFont val="Arial"/>
        <family val="2"/>
      </rPr>
      <t>1</t>
    </r>
    <r>
      <rPr>
        <b/>
        <sz val="9"/>
        <rFont val="Calibri"/>
        <family val="2"/>
      </rPr>
      <t>ª</t>
    </r>
    <r>
      <rPr>
        <b/>
        <sz val="9"/>
        <rFont val="Arial"/>
        <family val="2"/>
      </rPr>
      <t xml:space="preserve"> ETAPA</t>
    </r>
    <r>
      <rPr>
        <sz val="9"/>
        <rFont val="Arial"/>
        <family val="2"/>
      </rPr>
      <t xml:space="preserve"> - Identificar os corpos d'água que passam pelo imóvel rural. A partir destas informações, escolher o curso d'água mais representativo ou mais importante para as famílias (consumo) ou para as atividades desenvolvidas no imóvel rural.
</t>
    </r>
    <r>
      <rPr>
        <b/>
        <sz val="9"/>
        <rFont val="Arial"/>
        <family val="2"/>
      </rPr>
      <t>2</t>
    </r>
    <r>
      <rPr>
        <b/>
        <sz val="9"/>
        <rFont val="Calibri"/>
        <family val="2"/>
      </rPr>
      <t>ª</t>
    </r>
    <r>
      <rPr>
        <b/>
        <sz val="9"/>
        <rFont val="Arial"/>
        <family val="2"/>
      </rPr>
      <t xml:space="preserve"> ETAPA</t>
    </r>
    <r>
      <rPr>
        <sz val="9"/>
        <rFont val="Arial"/>
        <family val="2"/>
      </rPr>
      <t xml:space="preserve"> - Definido o curso d'água, identificar os pontos de coleta de amostras de água (montante e jusante) para a realização das análises (Montante - local de entrada do curso d'água que passa dentro ou na divisa do imóvel rural, ou uma nascente; Jusante – local de saída do curso d'água que passa dentro ou na divisa do imóvel rural, ou próximo ao local onde um curso d'água deságua em outro corpo d'água).
</t>
    </r>
    <r>
      <rPr>
        <b/>
        <sz val="9"/>
        <rFont val="Arial"/>
        <family val="2"/>
      </rPr>
      <t>3</t>
    </r>
    <r>
      <rPr>
        <b/>
        <sz val="9"/>
        <rFont val="Calibri"/>
        <family val="2"/>
      </rPr>
      <t>ª</t>
    </r>
    <r>
      <rPr>
        <b/>
        <sz val="9"/>
        <rFont val="Arial"/>
        <family val="2"/>
      </rPr>
      <t xml:space="preserve"> ETAPA</t>
    </r>
    <r>
      <rPr>
        <sz val="9"/>
        <rFont val="Arial"/>
        <family val="2"/>
      </rPr>
      <t xml:space="preserve"> - Para cada ponto de coleta realizar a avaliação do</t>
    </r>
    <r>
      <rPr>
        <sz val="9"/>
        <color rgb="FF0070C0"/>
        <rFont val="Arial"/>
        <family val="2"/>
      </rPr>
      <t xml:space="preserve"> item 18 do questionário</t>
    </r>
    <r>
      <rPr>
        <sz val="9"/>
        <rFont val="Arial"/>
        <family val="2"/>
      </rPr>
      <t xml:space="preserve">, e fazer a leitura dos parâmetros in loco (com exceção da cartela microbiológica para análise da presença de coliformes termotolerantes que deve ser incubada por 15 horas). Para facilitar a coleta de amostras para a análise da qualidade da água, recomenda-se utilizar um coletor com haste.
</t>
    </r>
    <r>
      <rPr>
        <b/>
        <sz val="9"/>
        <color theme="8" tint="-0.499984740745262"/>
        <rFont val="Arial"/>
        <family val="2"/>
      </rPr>
      <t>PREENCHIMENTO DO INDICADOR</t>
    </r>
    <r>
      <rPr>
        <sz val="9"/>
        <rFont val="Arial"/>
        <family val="2"/>
      </rPr>
      <t xml:space="preserve">
Lançar os teores de pH da água, nitrato, turbidez e coliformes (para a avaliação de coliformes, é necessário deixar a cartela microbiológica sob temperatura média de 36º C por aproximadamente 15 horas, após a incubação, proceder a contagem das colônias, considerando sempre os dois lados da cartela. Coliformes fecais são os pontos azuis. Multiplicar cada ponto por 60 para lançar na planilha).
</t>
    </r>
    <r>
      <rPr>
        <b/>
        <sz val="9"/>
        <color theme="8" tint="-0.499984740745262"/>
        <rFont val="Arial"/>
        <family val="2"/>
      </rPr>
      <t>AVALIAÇÃO DA QUALIDADE DA ÁGUA SUBTERRÂNEA - OBJETIVO</t>
    </r>
    <r>
      <rPr>
        <sz val="9"/>
        <rFont val="Arial"/>
        <family val="2"/>
      </rPr>
      <t xml:space="preserve">
Avaliar a qualidade da água subterrânea no imóvel rural, quando presente (poço freático, proveniente do lençol freático (mais raso), ou poço artesiano, proveniente de aquíferos que estão abaixo de uma camada impermeável, portanto, mais profundos). Para tanto, são utilizados três parâmetros: pH; coliformes termotolerantes e nitrato.
</t>
    </r>
    <r>
      <rPr>
        <b/>
        <sz val="9"/>
        <color theme="8" tint="-0.499984740745262"/>
        <rFont val="Arial"/>
        <family val="2"/>
      </rPr>
      <t>APLICAÇÃO</t>
    </r>
    <r>
      <rPr>
        <sz val="9"/>
        <rFont val="Arial"/>
        <family val="2"/>
      </rPr>
      <t xml:space="preserve">
</t>
    </r>
    <r>
      <rPr>
        <b/>
        <sz val="9"/>
        <rFont val="Arial"/>
        <family val="2"/>
      </rPr>
      <t>1</t>
    </r>
    <r>
      <rPr>
        <b/>
        <sz val="9"/>
        <rFont val="Calibri"/>
        <family val="2"/>
      </rPr>
      <t>ª</t>
    </r>
    <r>
      <rPr>
        <b/>
        <sz val="9"/>
        <rFont val="Arial"/>
        <family val="2"/>
      </rPr>
      <t xml:space="preserve"> ETAPA</t>
    </r>
    <r>
      <rPr>
        <sz val="9"/>
        <rFont val="Arial"/>
        <family val="2"/>
      </rPr>
      <t xml:space="preserve"> - Verificar se existem poços para utilização de água subterrânea no estabelecimento (incluindo a captação de água de nascentes) ou coletar a água utilizada para consumo, o mais próximo da fonte. Uma vez identificados, eleger o de maior importância ou o mais utilizado pelo produtor.
</t>
    </r>
    <r>
      <rPr>
        <b/>
        <sz val="9"/>
        <rFont val="Arial"/>
        <family val="2"/>
      </rPr>
      <t>2</t>
    </r>
    <r>
      <rPr>
        <b/>
        <sz val="9"/>
        <rFont val="Calibri"/>
        <family val="2"/>
      </rPr>
      <t>ª</t>
    </r>
    <r>
      <rPr>
        <b/>
        <sz val="9"/>
        <rFont val="Arial"/>
        <family val="2"/>
      </rPr>
      <t xml:space="preserve"> ETAPA</t>
    </r>
    <r>
      <rPr>
        <sz val="9"/>
        <rFont val="Arial"/>
        <family val="2"/>
      </rPr>
      <t xml:space="preserve"> - Coletar amostras da água para realizar as análises no local. 
</t>
    </r>
  </si>
  <si>
    <r>
      <rPr>
        <b/>
        <sz val="9"/>
        <color theme="8" tint="-0.499984740745262"/>
        <rFont val="Arial"/>
        <family val="2"/>
      </rPr>
      <t>OBJETIVO</t>
    </r>
    <r>
      <rPr>
        <sz val="9"/>
        <rFont val="Arial"/>
        <family val="2"/>
      </rPr>
      <t xml:space="preserve">
Estimar o risco de contaminação de corpos d'água por agrotóxicos, a partir das características relacionadas à persistência do princípio ativo no ambiente, sua mobilidade no perfil do solo e a toxicidade da formulação, de todos os agrotóxicos eventualmente utilizados no imóvel rural, considerando também, o volume aplicado e a vulnerabilidade de cada talhão, levando em conta, a granulometria do solo, a proximidade dos corpos d´água e o tipo de manejo do solo (relacionado ao preparo para o plantio e o manejo das entrelinhas de culturas perenes e florestais).
</t>
    </r>
    <r>
      <rPr>
        <b/>
        <sz val="9"/>
        <color theme="8" tint="-0.499984740745262"/>
        <rFont val="Arial"/>
        <family val="2"/>
      </rPr>
      <t>APLICAÇÃO</t>
    </r>
    <r>
      <rPr>
        <sz val="9"/>
        <rFont val="Arial"/>
        <family val="2"/>
      </rPr>
      <t xml:space="preserve">
</t>
    </r>
    <r>
      <rPr>
        <b/>
        <sz val="9"/>
        <rFont val="Arial"/>
        <family val="2"/>
      </rPr>
      <t>1</t>
    </r>
    <r>
      <rPr>
        <b/>
        <sz val="9"/>
        <rFont val="Calibri"/>
        <family val="2"/>
      </rPr>
      <t>ª</t>
    </r>
    <r>
      <rPr>
        <b/>
        <sz val="9"/>
        <rFont val="Arial"/>
        <family val="2"/>
      </rPr>
      <t xml:space="preserve"> ETAPA</t>
    </r>
    <r>
      <rPr>
        <sz val="9"/>
        <rFont val="Arial"/>
        <family val="2"/>
      </rPr>
      <t xml:space="preserve"> - Levantar com o entrevistado todos os produtos utilizados (nome comercial) nas áreas de produção para o controle de pragas, doenças e plantas invasoras (</t>
    </r>
    <r>
      <rPr>
        <sz val="9"/>
        <color rgb="FF0070C0"/>
        <rFont val="Arial"/>
        <family val="2"/>
      </rPr>
      <t>campo 14.1</t>
    </r>
    <r>
      <rPr>
        <sz val="9"/>
        <rFont val="Arial"/>
        <family val="2"/>
      </rPr>
      <t xml:space="preserve">).
</t>
    </r>
    <r>
      <rPr>
        <b/>
        <sz val="9"/>
        <rFont val="Arial"/>
        <family val="2"/>
      </rPr>
      <t>2</t>
    </r>
    <r>
      <rPr>
        <b/>
        <sz val="9"/>
        <rFont val="Calibri"/>
        <family val="2"/>
      </rPr>
      <t>ª</t>
    </r>
    <r>
      <rPr>
        <b/>
        <sz val="9"/>
        <rFont val="Arial"/>
        <family val="2"/>
      </rPr>
      <t xml:space="preserve"> ETAPA</t>
    </r>
    <r>
      <rPr>
        <sz val="9"/>
        <rFont val="Arial"/>
        <family val="2"/>
      </rPr>
      <t xml:space="preserve"> - A partir desse levantamento, para cada produto, identificar a cultura ou talhão onde foi aplicado (</t>
    </r>
    <r>
      <rPr>
        <sz val="9"/>
        <color rgb="FF0070C0"/>
        <rFont val="Arial"/>
        <family val="2"/>
      </rPr>
      <t>campo 14.2</t>
    </r>
    <r>
      <rPr>
        <sz val="9"/>
        <rFont val="Arial"/>
        <family val="2"/>
      </rPr>
      <t>), a área em ha (</t>
    </r>
    <r>
      <rPr>
        <sz val="9"/>
        <color rgb="FF0070C0"/>
        <rFont val="Arial"/>
        <family val="2"/>
      </rPr>
      <t>campo 14.3</t>
    </r>
    <r>
      <rPr>
        <sz val="9"/>
        <rFont val="Arial"/>
        <family val="2"/>
      </rPr>
      <t>) e a dose utilizada (L ou kg) por ha (</t>
    </r>
    <r>
      <rPr>
        <sz val="9"/>
        <color rgb="FF0070C0"/>
        <rFont val="Arial"/>
        <family val="2"/>
      </rPr>
      <t>campo 14.4</t>
    </r>
    <r>
      <rPr>
        <sz val="9"/>
        <rFont val="Arial"/>
        <family val="2"/>
      </rPr>
      <t xml:space="preserve">). O volume total aplicado é calculado automaticamente. Recomenda-se fazer o lançamento dos agrotóxicos agrupando-os por lavoura ou talhão (café, milho, soja, etc.), mesmo que se repita um determinado produto em lavouras, ou talhões da mesma lavoura, mas com manejo diferente.
</t>
    </r>
    <r>
      <rPr>
        <b/>
        <sz val="9"/>
        <rFont val="Arial"/>
        <family val="2"/>
      </rPr>
      <t>3</t>
    </r>
    <r>
      <rPr>
        <b/>
        <sz val="9"/>
        <rFont val="Calibri"/>
        <family val="2"/>
      </rPr>
      <t>ª</t>
    </r>
    <r>
      <rPr>
        <b/>
        <sz val="9"/>
        <rFont val="Arial"/>
        <family val="2"/>
      </rPr>
      <t xml:space="preserve"> ETAPA</t>
    </r>
    <r>
      <rPr>
        <sz val="9"/>
        <rFont val="Arial"/>
        <family val="2"/>
      </rPr>
      <t xml:space="preserve"> - Preencher os dados para cada produto utilizado no imóvel rural sobre: o princípio ativo (</t>
    </r>
    <r>
      <rPr>
        <sz val="9"/>
        <color rgb="FF0070C0"/>
        <rFont val="Arial"/>
        <family val="2"/>
      </rPr>
      <t>campo 14.5</t>
    </r>
    <r>
      <rPr>
        <sz val="9"/>
        <rFont val="Arial"/>
        <family val="2"/>
      </rPr>
      <t>) (no caso de produtos com mais de um princípio ativo, lançar apenas o que tiver o maior potencial de contaminação); a toxicidade (</t>
    </r>
    <r>
      <rPr>
        <sz val="9"/>
        <color rgb="FF0070C0"/>
        <rFont val="Arial"/>
        <family val="2"/>
      </rPr>
      <t>campos 14.6 e 14.7</t>
    </r>
    <r>
      <rPr>
        <sz val="9"/>
        <rFont val="Arial"/>
        <family val="2"/>
      </rPr>
      <t>); a mobilidade no ambiente, correspondente ao coeficiente de sorção do agrotóxico pela matéria orgânica do solo - Koc (</t>
    </r>
    <r>
      <rPr>
        <sz val="9"/>
        <color rgb="FF0070C0"/>
        <rFont val="Arial"/>
        <family val="2"/>
      </rPr>
      <t>campo 14.8</t>
    </r>
    <r>
      <rPr>
        <sz val="9"/>
        <rFont val="Arial"/>
        <family val="2"/>
      </rPr>
      <t>); e a persistência do produto no ambiente, correspondente a meia-vida de campo do agrotóxico em dias - t1/2 (</t>
    </r>
    <r>
      <rPr>
        <sz val="9"/>
        <color rgb="FF0070C0"/>
        <rFont val="Arial"/>
        <family val="2"/>
      </rPr>
      <t>campo 14.9</t>
    </r>
    <r>
      <rPr>
        <sz val="9"/>
        <rFont val="Arial"/>
        <family val="2"/>
      </rPr>
      <t xml:space="preserve">). Uma lista de referência com os dados descritos acima está disponibilizada na Aba "Agrot." nesta planilha. Informações de outros princípios ativos que não se encontram na lista podem ser obtidas no site </t>
    </r>
    <r>
      <rPr>
        <sz val="9"/>
        <color rgb="FF0070C0"/>
        <rFont val="Arial"/>
        <family val="2"/>
      </rPr>
      <t>http://sitem.herts.ac.uk/aeru/iupac/1068.htm</t>
    </r>
    <r>
      <rPr>
        <sz val="9"/>
        <rFont val="Arial"/>
        <family val="2"/>
      </rPr>
      <t xml:space="preserve">.                                                                                                                                                                      </t>
    </r>
    <r>
      <rPr>
        <b/>
        <sz val="9"/>
        <rFont val="Arial"/>
        <family val="2"/>
      </rPr>
      <t>4</t>
    </r>
    <r>
      <rPr>
        <b/>
        <sz val="9"/>
        <rFont val="Calibri"/>
        <family val="2"/>
      </rPr>
      <t>ª</t>
    </r>
    <r>
      <rPr>
        <b/>
        <sz val="9"/>
        <rFont val="Arial"/>
        <family val="2"/>
      </rPr>
      <t xml:space="preserve"> ETAPA</t>
    </r>
    <r>
      <rPr>
        <sz val="9"/>
        <rFont val="Arial"/>
        <family val="2"/>
      </rPr>
      <t xml:space="preserve"> - Para cada produto inserido no indicador, identificar as características da área onde o mesmo foi aplicado, considerando a granulometria ou o teor de argila (1, 2 ou 3, conforme descrição no </t>
    </r>
    <r>
      <rPr>
        <sz val="9"/>
        <color rgb="FF0070C0"/>
        <rFont val="Arial"/>
        <family val="2"/>
      </rPr>
      <t>campo 14.10</t>
    </r>
    <r>
      <rPr>
        <sz val="9"/>
        <rFont val="Arial"/>
        <family val="2"/>
      </rPr>
      <t xml:space="preserve">), a distância do curso d'água mais próximo da referida área (1, 2 ou 3, conforme descrição no </t>
    </r>
    <r>
      <rPr>
        <sz val="9"/>
        <color rgb="FF0070C0"/>
        <rFont val="Arial"/>
        <family val="2"/>
      </rPr>
      <t>campo 14.11</t>
    </r>
    <r>
      <rPr>
        <sz val="9"/>
        <rFont val="Arial"/>
        <family val="2"/>
      </rPr>
      <t xml:space="preserve">) e o tipo de manejo do solo (1, 2 ou 3, conforme descrição no </t>
    </r>
    <r>
      <rPr>
        <sz val="9"/>
        <color rgb="FF0070C0"/>
        <rFont val="Arial"/>
        <family val="2"/>
      </rPr>
      <t>campo 14.12</t>
    </r>
    <r>
      <rPr>
        <sz val="9"/>
        <rFont val="Arial"/>
        <family val="2"/>
      </rPr>
      <t xml:space="preserve">). O objetivo deste levantamento é verificar a vulnerabilidade destas áreas com relação à contaminação dos corpos d'água por agrotóxicos.
</t>
    </r>
    <r>
      <rPr>
        <b/>
        <sz val="9"/>
        <rFont val="Arial"/>
        <family val="2"/>
      </rPr>
      <t>5</t>
    </r>
    <r>
      <rPr>
        <b/>
        <sz val="9"/>
        <rFont val="Calibri"/>
        <family val="2"/>
      </rPr>
      <t>ª</t>
    </r>
    <r>
      <rPr>
        <b/>
        <sz val="9"/>
        <rFont val="Arial"/>
        <family val="2"/>
      </rPr>
      <t xml:space="preserve"> ETAPA</t>
    </r>
    <r>
      <rPr>
        <sz val="9"/>
        <rFont val="Arial"/>
        <family val="2"/>
      </rPr>
      <t xml:space="preserve"> - O risco de contaminação é calculado automaticamente para cada produto (</t>
    </r>
    <r>
      <rPr>
        <sz val="9"/>
        <color rgb="FF0070C0"/>
        <rFont val="Arial"/>
        <family val="2"/>
      </rPr>
      <t>campo 14.13</t>
    </r>
    <r>
      <rPr>
        <sz val="9"/>
        <rFont val="Arial"/>
        <family val="2"/>
      </rPr>
      <t xml:space="preserve">). Para gerar uma nota no indicador, lançar no </t>
    </r>
    <r>
      <rPr>
        <sz val="9"/>
        <color rgb="FF0070C0"/>
        <rFont val="Arial"/>
        <family val="2"/>
      </rPr>
      <t>campo 14.14</t>
    </r>
    <r>
      <rPr>
        <sz val="9"/>
        <rFont val="Arial"/>
        <family val="2"/>
      </rPr>
      <t xml:space="preserve"> a identificação das culturas ou talhões, a área respectiva de cada cultura ou talhão (</t>
    </r>
    <r>
      <rPr>
        <sz val="9"/>
        <color rgb="FF0070C0"/>
        <rFont val="Arial"/>
        <family val="2"/>
      </rPr>
      <t>campo 14.15</t>
    </r>
    <r>
      <rPr>
        <sz val="9"/>
        <rFont val="Arial"/>
        <family val="2"/>
      </rPr>
      <t xml:space="preserve">) e entre os produtos utilizados em cada cultura ou talhão identificado, verificar qual apresentou o </t>
    </r>
    <r>
      <rPr>
        <sz val="9"/>
        <color rgb="FFC00000"/>
        <rFont val="Arial"/>
        <family val="2"/>
      </rPr>
      <t>maior risco</t>
    </r>
    <r>
      <rPr>
        <sz val="9"/>
        <rFont val="Arial"/>
        <family val="2"/>
      </rPr>
      <t xml:space="preserve"> (1 a 3) (</t>
    </r>
    <r>
      <rPr>
        <sz val="9"/>
        <color rgb="FF0070C0"/>
        <rFont val="Arial"/>
        <family val="2"/>
      </rPr>
      <t>campo</t>
    </r>
    <r>
      <rPr>
        <sz val="9"/>
        <rFont val="Arial"/>
        <family val="2"/>
      </rPr>
      <t xml:space="preserve"> </t>
    </r>
    <r>
      <rPr>
        <sz val="9"/>
        <color rgb="FF0070C0"/>
        <rFont val="Arial"/>
        <family val="2"/>
      </rPr>
      <t>14.16</t>
    </r>
    <r>
      <rPr>
        <sz val="9"/>
        <rFont val="Arial"/>
        <family val="2"/>
      </rPr>
      <t>). Por exemplo, se na cultura do milho foram aplicados 5 produtos, com os riscos de contaminação desses produtos classificados em: 1; 2; 3; 1 e 2, o valor lançado no</t>
    </r>
    <r>
      <rPr>
        <sz val="9"/>
        <color rgb="FF0070C0"/>
        <rFont val="Arial"/>
        <family val="2"/>
      </rPr>
      <t xml:space="preserve"> campo 14.16</t>
    </r>
    <r>
      <rPr>
        <sz val="9"/>
        <rFont val="Arial"/>
        <family val="2"/>
      </rPr>
      <t xml:space="preserve"> será igual a 3, que corresponde ao maior risco. O resultado desse indicador considera o risco máximo e a área equivalente de cada talhão ou cultura identificados no estabelecimento.
</t>
    </r>
  </si>
  <si>
    <r>
      <rPr>
        <b/>
        <sz val="9"/>
        <color theme="8" tint="-0.499984740745262"/>
        <rFont val="Arial"/>
        <family val="2"/>
      </rPr>
      <t>OBJETIVO</t>
    </r>
    <r>
      <rPr>
        <sz val="9"/>
        <rFont val="Arial"/>
        <family val="2"/>
      </rPr>
      <t xml:space="preserve">
Verificar a presença de solos em estágio de degradação, dimensionar a área equivalente e sua intensidade (escala e potencial de impacto) e avaliar a tendência de comportamento do processo de degradação (intensificação, estabilização ou diminuição).
</t>
    </r>
    <r>
      <rPr>
        <b/>
        <sz val="9"/>
        <color theme="8" tint="-0.499984740745262"/>
        <rFont val="Arial"/>
        <family val="2"/>
      </rPr>
      <t>APLICAÇÃO</t>
    </r>
    <r>
      <rPr>
        <sz val="9"/>
        <rFont val="Arial"/>
        <family val="2"/>
      </rPr>
      <t xml:space="preserve">
</t>
    </r>
    <r>
      <rPr>
        <b/>
        <sz val="9"/>
        <rFont val="Arial"/>
        <family val="2"/>
      </rPr>
      <t>1</t>
    </r>
    <r>
      <rPr>
        <b/>
        <sz val="9"/>
        <rFont val="Calibri"/>
        <family val="2"/>
      </rPr>
      <t>ª</t>
    </r>
    <r>
      <rPr>
        <b/>
        <sz val="9"/>
        <rFont val="Arial"/>
        <family val="2"/>
      </rPr>
      <t xml:space="preserve"> ETAPA</t>
    </r>
    <r>
      <rPr>
        <sz val="9"/>
        <rFont val="Arial"/>
        <family val="2"/>
      </rPr>
      <t xml:space="preserve"> - Identificar no estabelecimento áreas com solos em estágio de degradação (presença de erosão laminar, em sulcos ou voçorocas).
</t>
    </r>
    <r>
      <rPr>
        <b/>
        <sz val="9"/>
        <rFont val="Arial"/>
        <family val="2"/>
      </rPr>
      <t>2</t>
    </r>
    <r>
      <rPr>
        <b/>
        <sz val="9"/>
        <rFont val="Calibri"/>
        <family val="2"/>
      </rPr>
      <t>ª</t>
    </r>
    <r>
      <rPr>
        <b/>
        <sz val="9"/>
        <rFont val="Arial"/>
        <family val="2"/>
      </rPr>
      <t xml:space="preserve"> ETAPA</t>
    </r>
    <r>
      <rPr>
        <sz val="9"/>
        <rFont val="Arial"/>
        <family val="2"/>
      </rPr>
      <t xml:space="preserve"> - Uma vez identificadas no campo, verificar qual a área com maior intensidade e/ou com maior área em estágio de degradação. A estimativa das áreas pode ser feita com o entrevistado ou com a ajuda de técnicas de geoprocessamento de imagens de satélite (Google ou no CAR). Fazer o lançamento de apenas uma área no </t>
    </r>
    <r>
      <rPr>
        <sz val="9"/>
        <color rgb="FF0070C0"/>
        <rFont val="Arial"/>
        <family val="2"/>
      </rPr>
      <t>campo 15.1</t>
    </r>
    <r>
      <rPr>
        <sz val="9"/>
        <rFont val="Arial"/>
        <family val="2"/>
      </rPr>
      <t>, em uma das opções: estágio inicial; estágio intermediário; ou estágio avançado (</t>
    </r>
    <r>
      <rPr>
        <sz val="9"/>
        <color rgb="FFC00000"/>
        <rFont val="Arial"/>
        <family val="2"/>
      </rPr>
      <t>lançar apenas uma das três opções, ou seja, não é possível lançar mais de uma área ou mais de um estágio de degradação</t>
    </r>
    <r>
      <rPr>
        <sz val="9"/>
        <rFont val="Arial"/>
        <family val="2"/>
      </rPr>
      <t xml:space="preserve">).
</t>
    </r>
    <r>
      <rPr>
        <b/>
        <sz val="9"/>
        <rFont val="Arial"/>
        <family val="2"/>
      </rPr>
      <t>3</t>
    </r>
    <r>
      <rPr>
        <b/>
        <sz val="9"/>
        <rFont val="Calibri"/>
        <family val="2"/>
      </rPr>
      <t>ª</t>
    </r>
    <r>
      <rPr>
        <b/>
        <sz val="9"/>
        <rFont val="Arial"/>
        <family val="2"/>
      </rPr>
      <t xml:space="preserve"> ETAPA</t>
    </r>
    <r>
      <rPr>
        <sz val="9"/>
        <rFont val="Arial"/>
        <family val="2"/>
      </rPr>
      <t xml:space="preserve"> - Marcar uma das opções de tendência de comportamento do processo de erosão identificado no </t>
    </r>
    <r>
      <rPr>
        <sz val="9"/>
        <color rgb="FF0070C0"/>
        <rFont val="Arial"/>
        <family val="2"/>
      </rPr>
      <t>campo 15.2</t>
    </r>
    <r>
      <rPr>
        <sz val="9"/>
        <rFont val="Arial"/>
        <family val="2"/>
      </rPr>
      <t>: redução do processo; inalterado; ou intensificação do processo de erosão.</t>
    </r>
  </si>
  <si>
    <t>Indicativos da Intensidade do estágio de degradação</t>
  </si>
  <si>
    <t>Erosão laminar</t>
  </si>
  <si>
    <t>Redução de infiltração de água Raízes expostas</t>
  </si>
  <si>
    <t>Remoção do horizonte superficial do solo</t>
  </si>
  <si>
    <t>Erosão em sulcos</t>
  </si>
  <si>
    <t>Presença de sulcos rasos localizados</t>
  </si>
  <si>
    <t>Sulcos profundos e disseminados em toda a área</t>
  </si>
  <si>
    <t>Voçoroca</t>
  </si>
  <si>
    <t>Presença de voçorocas, movimento de  massa (deslocamento de grandes volumes de solo)</t>
  </si>
  <si>
    <r>
      <rPr>
        <b/>
        <sz val="9"/>
        <color theme="8" tint="-0.499984740745262"/>
        <rFont val="Arial"/>
        <family val="2"/>
      </rPr>
      <t>OBJETIVO</t>
    </r>
    <r>
      <rPr>
        <sz val="9"/>
        <rFont val="Arial"/>
        <family val="2"/>
      </rPr>
      <t xml:space="preserve">
Avaliar o grau de adoção de uma série de medidas para a conservação do solo e água em todos os sistemas de produção no imóvel rural. A verificação é realizada nas lavouras e talhões. Também é verificado no imóvel rural e com o produtor, quais são as estratégias adotadas para o convívio com a seca ou estresse hídrico e para a conservação e reservação da água no imóvel rural.
</t>
    </r>
    <r>
      <rPr>
        <b/>
        <sz val="9"/>
        <color theme="8" tint="-0.499984740745262"/>
        <rFont val="Arial"/>
        <family val="2"/>
      </rPr>
      <t>APLICAÇÃO</t>
    </r>
    <r>
      <rPr>
        <sz val="9"/>
        <rFont val="Arial"/>
        <family val="2"/>
      </rPr>
      <t xml:space="preserve">
</t>
    </r>
    <r>
      <rPr>
        <b/>
        <sz val="9"/>
        <rFont val="Arial"/>
        <family val="2"/>
      </rPr>
      <t>1</t>
    </r>
    <r>
      <rPr>
        <b/>
        <sz val="9"/>
        <rFont val="Calibri"/>
        <family val="2"/>
      </rPr>
      <t>ª</t>
    </r>
    <r>
      <rPr>
        <b/>
        <sz val="9"/>
        <rFont val="Arial"/>
        <family val="2"/>
      </rPr>
      <t xml:space="preserve"> ETAPA </t>
    </r>
    <r>
      <rPr>
        <sz val="9"/>
        <rFont val="Arial"/>
        <family val="2"/>
      </rPr>
      <t>- Percorrer os talhões identificados no</t>
    </r>
    <r>
      <rPr>
        <sz val="9"/>
        <color rgb="FF0070C0"/>
        <rFont val="Arial"/>
        <family val="2"/>
      </rPr>
      <t xml:space="preserve"> item 10.1 do questionário</t>
    </r>
    <r>
      <rPr>
        <sz val="9"/>
        <rFont val="Arial"/>
        <family val="2"/>
      </rPr>
      <t xml:space="preserve">, verificando o grau de adoção de práticas de conservação do solo e da água (a somatória das áreas de produção para cada categoria - lavouras permanentes, lavouras temporárias, pastagens e florestas, aparecem no cabeçalho da tabela do </t>
    </r>
    <r>
      <rPr>
        <sz val="9"/>
        <color rgb="FF0070C0"/>
        <rFont val="Arial"/>
        <family val="2"/>
      </rPr>
      <t>campo 16.1</t>
    </r>
    <r>
      <rPr>
        <sz val="9"/>
        <rFont val="Arial"/>
        <family val="2"/>
      </rPr>
      <t xml:space="preserve">).
</t>
    </r>
    <r>
      <rPr>
        <b/>
        <sz val="9"/>
        <rFont val="Arial"/>
        <family val="2"/>
      </rPr>
      <t>2</t>
    </r>
    <r>
      <rPr>
        <b/>
        <sz val="9"/>
        <rFont val="Calibri"/>
        <family val="2"/>
      </rPr>
      <t>ª</t>
    </r>
    <r>
      <rPr>
        <b/>
        <sz val="9"/>
        <rFont val="Arial"/>
        <family val="2"/>
      </rPr>
      <t xml:space="preserve"> ETAPA</t>
    </r>
    <r>
      <rPr>
        <sz val="9"/>
        <rFont val="Arial"/>
        <family val="2"/>
      </rPr>
      <t xml:space="preserve"> - Após a verificação do grau de adoção de práticas conservacionistas, levando em conta a topografia do terreno, o tipo de cobertura vegetal, e, para as culturas permanentes e florestas plantadas, o seu estágio de desenvolvimento, são preenchidos o </t>
    </r>
    <r>
      <rPr>
        <sz val="9"/>
        <color rgb="FF0070C0"/>
        <rFont val="Arial"/>
        <family val="2"/>
      </rPr>
      <t>campo 16.1</t>
    </r>
    <r>
      <rPr>
        <sz val="9"/>
        <rFont val="Arial"/>
        <family val="2"/>
      </rPr>
      <t xml:space="preserve"> com as respectivas áreas dos talhões levantados no</t>
    </r>
    <r>
      <rPr>
        <sz val="9"/>
        <color rgb="FF0070C0"/>
        <rFont val="Arial"/>
        <family val="2"/>
      </rPr>
      <t xml:space="preserve"> item 10.1 do questionário</t>
    </r>
    <r>
      <rPr>
        <sz val="9"/>
        <rFont val="Arial"/>
        <family val="2"/>
      </rPr>
      <t xml:space="preserve">, conforme as seguintes categorias do grau de adoção de práticas para a conservação dos solos: suficiente; insuficiente (as medidas não são suficientes para conter os processos erosivos, incluindo erosão laminar com baixo nível de intensidade); situação inadequada (situações extremas de ausência de práticas de conservação dos solos e/ou presença de processos erosivos com alta intensidade).                                                                                                                                                                                                                       </t>
    </r>
    <r>
      <rPr>
        <b/>
        <sz val="9"/>
        <rFont val="Arial"/>
        <family val="2"/>
      </rPr>
      <t>3</t>
    </r>
    <r>
      <rPr>
        <b/>
        <sz val="9"/>
        <rFont val="Calibri"/>
        <family val="2"/>
      </rPr>
      <t>ª</t>
    </r>
    <r>
      <rPr>
        <b/>
        <sz val="9"/>
        <rFont val="Arial"/>
        <family val="2"/>
      </rPr>
      <t xml:space="preserve"> ETAPA</t>
    </r>
    <r>
      <rPr>
        <sz val="9"/>
        <rFont val="Arial"/>
        <family val="2"/>
      </rPr>
      <t xml:space="preserve"> - Verificar com o produtor o grau de adoção de estratégias para a conservação e reservação das águas, considerando todo o imóvel rural, marcando a opção com x: se é suficiente; insuficiente; ou situação inadequada ou de alta fragilidade.</t>
    </r>
  </si>
  <si>
    <r>
      <rPr>
        <b/>
        <sz val="9"/>
        <color theme="8" tint="-0.499984740745262"/>
        <rFont val="Arial"/>
        <family val="2"/>
      </rPr>
      <t>GRAU DE ADOÇÃO DE PRÁTICAS DE CONSERVAÇÃO DO SOLO</t>
    </r>
    <r>
      <rPr>
        <sz val="9"/>
        <rFont val="Arial"/>
        <family val="2"/>
      </rPr>
      <t xml:space="preserve">
</t>
    </r>
    <r>
      <rPr>
        <b/>
        <sz val="9"/>
        <rFont val="Arial"/>
        <family val="2"/>
      </rPr>
      <t>SUFICIENTE</t>
    </r>
    <r>
      <rPr>
        <sz val="9"/>
        <rFont val="Arial"/>
        <family val="2"/>
      </rPr>
      <t xml:space="preserve"> - Exemplos de práticas conservacionistas: plantio em nível; solo com cobertura durante o ano todo; plantio direto na palha; terraceamento; rotação de culturas.
</t>
    </r>
    <r>
      <rPr>
        <b/>
        <sz val="9"/>
        <rFont val="Arial"/>
        <family val="2"/>
      </rPr>
      <t>INSUFICIENTE</t>
    </r>
    <r>
      <rPr>
        <sz val="9"/>
        <rFont val="Arial"/>
        <family val="2"/>
      </rPr>
      <t xml:space="preserve"> - Solo desprotegido, plantio sem seguir as curvas de nível, uso intensivo de grade e arado, etc.
</t>
    </r>
    <r>
      <rPr>
        <b/>
        <sz val="9"/>
        <rFont val="Arial"/>
        <family val="2"/>
      </rPr>
      <t>SITUAÇÃO INADEQUADA</t>
    </r>
    <r>
      <rPr>
        <sz val="9"/>
        <rFont val="Arial"/>
        <family val="2"/>
      </rPr>
      <t xml:space="preserve"> - Situação extrema de ausência de práticas de conservação dos solos, com presença de erosão, solos muito compactados, aração morro abaixo, presença de fogo, etc.</t>
    </r>
  </si>
  <si>
    <r>
      <rPr>
        <b/>
        <sz val="9"/>
        <color theme="8" tint="-0.499984740745262"/>
        <rFont val="Arial"/>
        <family val="2"/>
      </rPr>
      <t>GRAU DE ADOÇÃO DE ESTRATÉGIAS PARA A CONSERVAÇÃO E RESERVAÇÃO DAS ÁGUAS NO IMÓVEL RURAL</t>
    </r>
    <r>
      <rPr>
        <sz val="9"/>
        <rFont val="Arial"/>
        <family val="2"/>
      </rPr>
      <t xml:space="preserve">
</t>
    </r>
    <r>
      <rPr>
        <b/>
        <sz val="9"/>
        <rFont val="Arial"/>
        <family val="2"/>
      </rPr>
      <t>SUFICIENTE</t>
    </r>
    <r>
      <rPr>
        <sz val="9"/>
        <rFont val="Arial"/>
        <family val="2"/>
      </rPr>
      <t xml:space="preserve"> - Práticas adotadas são suficientes para garantir o fornecimento de água para o abastecimento, dessedentação e/ou para as atividades de agricultura irrigada; práticas adotadas são suficientes para evitar enxurradas e erosões nas áreas de produção e nas estradas.
</t>
    </r>
    <r>
      <rPr>
        <b/>
        <sz val="9"/>
        <rFont val="Arial"/>
        <family val="2"/>
      </rPr>
      <t>INSUFICIENTE</t>
    </r>
    <r>
      <rPr>
        <sz val="9"/>
        <rFont val="Arial"/>
        <family val="2"/>
      </rPr>
      <t xml:space="preserve"> - Práticas adotadas não são suficientes para garantir o fornecimento de água para o abastecimento, dessedentação, para as atividades de agricultura irrigada, bem como evitar processos erosivos.
</t>
    </r>
    <r>
      <rPr>
        <b/>
        <sz val="9"/>
        <rFont val="Arial"/>
        <family val="2"/>
      </rPr>
      <t>SITUAÇÃO INADEQUADA</t>
    </r>
    <r>
      <rPr>
        <sz val="9"/>
        <rFont val="Arial"/>
        <family val="2"/>
      </rPr>
      <t xml:space="preserve"> - Escassez de água para abastecimento humano; escassez de água para a dessedentação de animais no imóvel rural; ausência de estratégias para convívio com a seca; processos erosivos recorrentes no imóvel rural.</t>
    </r>
  </si>
  <si>
    <r>
      <rPr>
        <b/>
        <sz val="9"/>
        <color theme="8" tint="-0.499984740745262"/>
        <rFont val="Arial"/>
        <family val="2"/>
      </rPr>
      <t>PLANTIO EM CURVA DE NÍVEL</t>
    </r>
    <r>
      <rPr>
        <sz val="9"/>
        <rFont val="Arial"/>
        <family val="2"/>
      </rPr>
      <t xml:space="preserve"> - Preparo do solo é realizado seguindo a direção da curva de nível do terreno. Dessa forma, para terrenos com pequena declividade, são criados obstáculos à descida da enxurrada, propiciando a redução dos processos erosivos e aumento da infiltração de água no solo.                                                                                                                                                                                                                    </t>
    </r>
    <r>
      <rPr>
        <b/>
        <sz val="9"/>
        <color theme="8" tint="-0.499984740745262"/>
        <rFont val="Arial"/>
        <family val="2"/>
      </rPr>
      <t>PREPARO DO TERRENO COM O MÍNIMO DE REVOLVIMENTO</t>
    </r>
    <r>
      <rPr>
        <sz val="9"/>
        <rFont val="Arial"/>
        <family val="2"/>
      </rPr>
      <t xml:space="preserve"> - Consiste em abrir apenas um sulco no solo onde serão introduzidas as sementes e o adubo, dispensando assim, os processos convencionais de aração e gradagem. Este tipo de preparo mantém os restos da cultura anterior sobre o solo. Com isso, atenua-se a erosão e a compactação das camadas mais profundas do solo devido à redução do uso de máquinas pesadas.                                                                                                                                             </t>
    </r>
    <r>
      <rPr>
        <b/>
        <sz val="9"/>
        <color theme="8" tint="-0.499984740745262"/>
        <rFont val="Arial"/>
        <family val="2"/>
      </rPr>
      <t>PLANTIO DIRETO</t>
    </r>
    <r>
      <rPr>
        <sz val="9"/>
        <rFont val="Arial"/>
        <family val="2"/>
      </rPr>
      <t xml:space="preserve"> - É um sistema de semeadura, no qual a semente é colocada diretamente no solo não revolvido, usando-se máquinas específicas. Somente é aberto um pequeno sulco ou cova de largura e profundidade suficientes para a adequada cobertura e contato das sementes com o solo.
</t>
    </r>
    <r>
      <rPr>
        <b/>
        <sz val="9"/>
        <color theme="8" tint="-0.499984740745262"/>
        <rFont val="Arial"/>
        <family val="2"/>
      </rPr>
      <t>MANTER O SOLO PROTEGIDO O ANO TODO</t>
    </r>
    <r>
      <rPr>
        <sz val="9"/>
        <rFont val="Arial"/>
        <family val="2"/>
      </rPr>
      <t xml:space="preserve"> - A permanência de palhadas de colheitas anteriores ou o uso de plantas de cobertura evitam que o solo fique exposto à insolação, reduz a evaporação, fornece também proteção contra o impacto das gotas de chuva, reduzindo o escoamento superficial e a erosão. Assim, a cobertura do solo apresenta como benefícios: a redução da incidência de plantas invasoras; promoção do equilíbrio da flora e da fauna do solo; favorecimento do manejo integrado de pragas e doenças; maior estabilização da taxa de reciclagem de nutrientes; e promoção da atividade biológica no solo.
</t>
    </r>
    <r>
      <rPr>
        <b/>
        <sz val="9"/>
        <color theme="8" tint="-0.499984740745262"/>
        <rFont val="Arial"/>
        <family val="2"/>
      </rPr>
      <t>QUEBRA-VENTOS</t>
    </r>
    <r>
      <rPr>
        <b/>
        <sz val="9"/>
        <rFont val="Arial"/>
        <family val="2"/>
      </rPr>
      <t xml:space="preserve"> </t>
    </r>
    <r>
      <rPr>
        <sz val="9"/>
        <rFont val="Arial"/>
        <family val="2"/>
      </rPr>
      <t xml:space="preserve">- Essa prática consiste no plantio de árvores em intervalos regulares ao redor da lavoura em direção perpendicular aos ventos dominantes. Os quebra-ventos agem diretamente de duas formas sobre o ambiente: sombreando parcial e temporariamente a cultura; diminuindo a velocidade do vento. Seus benefícios principais são as alterações no microclima, o que pode levar a incrementos na produção, reduzindo a necessidade por insumos externos. O sombreamento auxilia no aumento da umidade do solo, enquanto a redução dos ventos diminui a erosão eólica. A presença de árvores também funciona como um fator atrativo para espécimes faunísticos, principalmente aves. 
</t>
    </r>
    <r>
      <rPr>
        <b/>
        <sz val="9"/>
        <color theme="8" tint="-0.499984740745262"/>
        <rFont val="Arial"/>
        <family val="2"/>
      </rPr>
      <t>FAIXAS COM VEGETAÇÃO NATURAL, ROÇADAS ALTERNADAS</t>
    </r>
    <r>
      <rPr>
        <sz val="9"/>
        <rFont val="Arial"/>
        <family val="2"/>
      </rPr>
      <t xml:space="preserve"> - Prática aplicável em áreas novas, onde o desmate ocorre em faixas alternadas, havendo a permanência de vegetação nativa entre as faixas de cultura. Essas áreas não desmatadas acumulam as funções de quebra-vento e refúgio para inimigos naturais de pragas. Recomenda-se que as faixas, assim como no caso dos quebra-ventos, sejam feitas perpendicularmente à direção dos ventos dominantes. 
</t>
    </r>
    <r>
      <rPr>
        <b/>
        <sz val="9"/>
        <color theme="8" tint="-0.499984740745262"/>
        <rFont val="Arial"/>
        <family val="2"/>
      </rPr>
      <t>CULTURAS INTERCALARES</t>
    </r>
    <r>
      <rPr>
        <b/>
        <sz val="9"/>
        <rFont val="Arial"/>
        <family val="2"/>
      </rPr>
      <t xml:space="preserve"> </t>
    </r>
    <r>
      <rPr>
        <sz val="9"/>
        <rFont val="Arial"/>
        <family val="2"/>
      </rPr>
      <t xml:space="preserve">- Podem ser utilizadas culturas comerciais ou não. O plantio de culturas de porte, ciclo e comportamento agronômico diferentes é benéfico, pois, além do benefício direto do aumento da biodiversidade, possibilita um melhor aproveitamento dos nutrientes do solo, explorando diferentes camadas do solo.
</t>
    </r>
    <r>
      <rPr>
        <b/>
        <sz val="9"/>
        <color theme="8" tint="-0.499984740745262"/>
        <rFont val="Arial"/>
        <family val="2"/>
      </rPr>
      <t>TERRACEAMENTO</t>
    </r>
    <r>
      <rPr>
        <sz val="9"/>
        <rFont val="Arial"/>
        <family val="2"/>
      </rPr>
      <t xml:space="preserve"> -  Os terraços podem ser locados em nível, em desnível ou misto. Os terraços em nível possuem as extremidades bloqueadas e têm a função de acumular e infiltrar a água, e são recomendados para áreas com boa permeabilidade e declividade de até 12%. Os terraços em desnível apresentam pequeno gradiente ao longo de seu comprimento e conduzem a água para as laterais, sendo mais adequados, para áreas com menor permeabilidade e/ou declividades superiores a 12%. Os terraços mistos englobam os dois tipos anteriores, ou seja, são projetados em pequeno desnível e com capacidade de acumulação de água que, ao ser excedida, escoa pelas laterais. Em encostas ou morros onde o volume e a velocidade da enxurrada são grandes, dependendo do comprimento de rampa e da declividade, o terraço em desnível é mais recomendado para se evitar que estes se rompam, podendo ser construídos com menor largura. A seleção do tipo de terraço a ser construído, assim como seu dimensionamento, sua locação e sua construção devem ser feitas por profissionais qualificados. Os terraços classificam-se ainda quanto a sua largura, em base estreita (menos de 3 m), base média (3 a 6 m) e base larga (6 a 12 m), e, quanto ao seu perfil, em terraço do tipo comum, embutido, murundu, e patamar (plataforma). 
</t>
    </r>
    <r>
      <rPr>
        <b/>
        <sz val="10"/>
        <color theme="8" tint="-0.499984740745262"/>
        <rFont val="Arial"/>
        <family val="2"/>
      </rPr>
      <t/>
    </r>
  </si>
  <si>
    <t>ESTADO DE CONSERVAÇÃO DAS ESTRADAS QUE CORTAM OU MARGEIAM O IMÓVEL RURAL</t>
  </si>
  <si>
    <r>
      <rPr>
        <b/>
        <sz val="9"/>
        <color theme="8" tint="-0.499984740745262"/>
        <rFont val="Arial"/>
        <family val="2"/>
      </rPr>
      <t>OBJETIVO</t>
    </r>
    <r>
      <rPr>
        <sz val="9"/>
        <rFont val="Arial"/>
        <family val="2"/>
      </rPr>
      <t xml:space="preserve">
Verificar o estado de conservação das estradas, internas e externas (municipais, estaduais, etc.), observando a presença de abaulamentos ou declividade transversal das mesmas, a presença de lombadas para o desvio de enxurrada, a presença de bacias ou caixas de infiltração para captar a água proveniente do escoamento das estradas, e a presença de buracos e sulcos de erosão.
</t>
    </r>
    <r>
      <rPr>
        <b/>
        <sz val="9"/>
        <color theme="8" tint="-0.499984740745262"/>
        <rFont val="Arial"/>
        <family val="2"/>
      </rPr>
      <t>APLICAÇÃO</t>
    </r>
    <r>
      <rPr>
        <sz val="9"/>
        <rFont val="Arial"/>
        <family val="2"/>
      </rPr>
      <t xml:space="preserve">
</t>
    </r>
    <r>
      <rPr>
        <b/>
        <sz val="9"/>
        <rFont val="Arial"/>
        <family val="2"/>
      </rPr>
      <t>1</t>
    </r>
    <r>
      <rPr>
        <b/>
        <sz val="9"/>
        <rFont val="Calibri"/>
        <family val="2"/>
      </rPr>
      <t>ª</t>
    </r>
    <r>
      <rPr>
        <b/>
        <sz val="9"/>
        <rFont val="Arial"/>
        <family val="2"/>
      </rPr>
      <t xml:space="preserve"> ETAPA</t>
    </r>
    <r>
      <rPr>
        <sz val="9"/>
        <rFont val="Arial"/>
        <family val="2"/>
      </rPr>
      <t xml:space="preserve"> - Percorrer as estradas de acesso que cortam ou margeiam o imóvel rural, e as estradas internas, observando o estado de conservação dessas e a adoção de práticas conservacionistas (descrição nos</t>
    </r>
    <r>
      <rPr>
        <sz val="9"/>
        <color theme="8" tint="-0.499984740745262"/>
        <rFont val="Arial"/>
        <family val="2"/>
      </rPr>
      <t xml:space="preserve"> </t>
    </r>
    <r>
      <rPr>
        <sz val="9"/>
        <color rgb="FF0070C0"/>
        <rFont val="Arial"/>
        <family val="2"/>
      </rPr>
      <t>campos 17.1 e 17.2</t>
    </r>
    <r>
      <rPr>
        <sz val="9"/>
        <rFont val="Arial"/>
        <family val="2"/>
      </rPr>
      <t xml:space="preserve">).
</t>
    </r>
    <r>
      <rPr>
        <b/>
        <sz val="9"/>
        <rFont val="Arial"/>
        <family val="2"/>
      </rPr>
      <t>2</t>
    </r>
    <r>
      <rPr>
        <b/>
        <sz val="9"/>
        <rFont val="Calibri"/>
        <family val="2"/>
      </rPr>
      <t>ª</t>
    </r>
    <r>
      <rPr>
        <b/>
        <sz val="9"/>
        <rFont val="Arial"/>
        <family val="2"/>
      </rPr>
      <t xml:space="preserve"> ETAPA</t>
    </r>
    <r>
      <rPr>
        <sz val="9"/>
        <rFont val="Arial"/>
        <family val="2"/>
      </rPr>
      <t xml:space="preserve"> - Depois de percorrer as estradas, fazer o preenchimento dos campos das estradas internas e externas (separadas em função do maior peso no fator de ponderação das estradas internas, ou seja, as estradas em que o proprietário é responsável pela sua conservação). O preenchimento é feito por meio da estimativa do percentual da adoção de medidas de conservação das estradas (</t>
    </r>
    <r>
      <rPr>
        <sz val="9"/>
        <color rgb="FF0070C0"/>
        <rFont val="Arial"/>
        <family val="2"/>
      </rPr>
      <t>campo 17.1</t>
    </r>
    <r>
      <rPr>
        <sz val="9"/>
        <rFont val="Arial"/>
        <family val="2"/>
      </rPr>
      <t>) e do percentual da presença de buracos e sulcos de erosão nas estradas (</t>
    </r>
    <r>
      <rPr>
        <sz val="9"/>
        <color rgb="FF0070C0"/>
        <rFont val="Arial"/>
        <family val="2"/>
      </rPr>
      <t>campo 17.2</t>
    </r>
    <r>
      <rPr>
        <sz val="9"/>
        <rFont val="Arial"/>
        <family val="2"/>
      </rPr>
      <t xml:space="preserve">). Quando o estabelecimento possui apenas estradas internas ou estradas externas, basta deixar os respectivos campos sem preencher.                                                                                                                                                                                                                   </t>
    </r>
    <r>
      <rPr>
        <b/>
        <sz val="9"/>
        <rFont val="Arial"/>
        <family val="2"/>
      </rPr>
      <t>3</t>
    </r>
    <r>
      <rPr>
        <b/>
        <sz val="9"/>
        <rFont val="Calibri"/>
        <family val="2"/>
      </rPr>
      <t>ª</t>
    </r>
    <r>
      <rPr>
        <b/>
        <sz val="9"/>
        <rFont val="Arial"/>
        <family val="2"/>
      </rPr>
      <t>ETAPA</t>
    </r>
    <r>
      <rPr>
        <sz val="9"/>
        <rFont val="Arial"/>
        <family val="2"/>
      </rPr>
      <t xml:space="preserve"> - Verificar no campo se o imóvel rural possui algum (ou vários) ponto(s) crítico(s) nas estradas que podem comprometer o acesso e escoamento da produção e recebimento de insumos. Caso afirmativo, marcar com x no </t>
    </r>
    <r>
      <rPr>
        <sz val="9"/>
        <color rgb="FF0070C0"/>
        <rFont val="Arial"/>
        <family val="2"/>
      </rPr>
      <t>campo 17.3</t>
    </r>
    <r>
      <rPr>
        <sz val="9"/>
        <rFont val="Arial"/>
        <family val="2"/>
      </rPr>
      <t xml:space="preserve">.
</t>
    </r>
  </si>
  <si>
    <r>
      <rPr>
        <b/>
        <sz val="9"/>
        <color theme="8" tint="-0.499984740745262"/>
        <rFont val="Arial"/>
        <family val="2"/>
      </rPr>
      <t>DECLIVIDADE TRANSVERSAL DA ESTRADA</t>
    </r>
    <r>
      <rPr>
        <sz val="9"/>
        <rFont val="Arial"/>
        <family val="2"/>
      </rPr>
      <t xml:space="preserve"> - É uma inclinação da seção transversal, a partir do eixo da estrada, para permitir o escoamento das águas superficiais para as valas laterais. 
</t>
    </r>
    <r>
      <rPr>
        <b/>
        <sz val="9"/>
        <color theme="8" tint="-0.499984740745262"/>
        <rFont val="Arial"/>
        <family val="2"/>
      </rPr>
      <t>LOMBADAS PARA DESVIO DE ENXURRADA</t>
    </r>
    <r>
      <rPr>
        <sz val="9"/>
        <rFont val="Arial"/>
        <family val="2"/>
      </rPr>
      <t xml:space="preserve"> - São elevações construídas transversalmente ao longo de toda a largura da plataforma da estrada, objetivando conduzir adequadamente as águas superficiais, direcionando-as aos dispositivos encarregados de absorvê-las e ou armazená-las, tais como: terraços, caixas de retenção, etc. 
</t>
    </r>
    <r>
      <rPr>
        <b/>
        <sz val="9"/>
        <color theme="8" tint="-0.499984740745262"/>
        <rFont val="Arial"/>
        <family val="2"/>
      </rPr>
      <t>CAIXAS DE CAPTAÇÃO DE ÁGUA OU BARRAGINHAS</t>
    </r>
    <r>
      <rPr>
        <sz val="9"/>
        <rFont val="Arial"/>
        <family val="2"/>
      </rPr>
      <t xml:space="preserve"> - O objetivo dessa técnica é proporcionar a captação da águas de chuva, por meio da construção de pequenas barragens ou miniaçudes, nos locais de ocorrência de enxurradas volumosas e erosivas, barrando-as e amenizando seus efeitos erosivos. 
</t>
    </r>
    <r>
      <rPr>
        <b/>
        <sz val="9"/>
        <color theme="8" tint="-0.499984740745262"/>
        <rFont val="Arial"/>
        <family val="2"/>
      </rPr>
      <t>BACIAS DE INFILTRAÇÃO</t>
    </r>
    <r>
      <rPr>
        <sz val="9"/>
        <rFont val="Arial"/>
        <family val="2"/>
      </rPr>
      <t xml:space="preserve"> - Bacia de infiltração é uma depressão no terreno construída, geralmente, às margens da estrada com o objetivo de reduzir o volume das enxurradas e promover a recarga da água subterrânea. 
</t>
    </r>
  </si>
  <si>
    <r>
      <rPr>
        <b/>
        <sz val="9"/>
        <color theme="8" tint="-0.499984740745262"/>
        <rFont val="Arial"/>
        <family val="2"/>
      </rPr>
      <t>OBJETIVO</t>
    </r>
    <r>
      <rPr>
        <sz val="9"/>
        <rFont val="Arial"/>
        <family val="2"/>
      </rPr>
      <t xml:space="preserve">
Avaliar o estado de preservação dos remanescentes de vegetação nativa e o nível de fragmentação desses habitats no imóvel rural. Verifica-se também se estes fragmentos de vegetação nativa têm ligação com outros fragmentos nos estabelecimentos rurais vizinhos, formando corredores ecológicos. São identificadas as fitofisionomias (campo rupestre/campo de altitude; campo higrófilo de várzea; cerrado ralo; cerrado típico; cerradão; mata de galeria; veredas; mata atlântica/mata seca; e vegetação de caatinga) e o estado de conservação com base nas referências para os estágios sucessionais das principais fitofisionomias dos biomas Mata Atlântica, Cerrado e Caatinga.
</t>
    </r>
    <r>
      <rPr>
        <b/>
        <sz val="9"/>
        <color theme="8" tint="-0.499984740745262"/>
        <rFont val="Arial"/>
        <family val="2"/>
      </rPr>
      <t>APLICAÇÃO</t>
    </r>
    <r>
      <rPr>
        <sz val="9"/>
        <rFont val="Arial"/>
        <family val="2"/>
      </rPr>
      <t xml:space="preserve">
</t>
    </r>
    <r>
      <rPr>
        <b/>
        <sz val="9"/>
        <rFont val="Arial"/>
        <family val="2"/>
      </rPr>
      <t>1</t>
    </r>
    <r>
      <rPr>
        <b/>
        <sz val="9"/>
        <rFont val="Calibri"/>
        <family val="2"/>
      </rPr>
      <t>ª</t>
    </r>
    <r>
      <rPr>
        <b/>
        <sz val="9"/>
        <rFont val="Arial"/>
        <family val="2"/>
      </rPr>
      <t xml:space="preserve"> ETAPA </t>
    </r>
    <r>
      <rPr>
        <sz val="9"/>
        <rFont val="Arial"/>
        <family val="2"/>
      </rPr>
      <t xml:space="preserve">- Identificar os diferentes tipos de vegetação nativa (selecionar o tipo de fitofisionomia vegetal no cabeçalho da tabela do Indicador  - clicar com o mouse no cabeçalho, clicar novamente na seta que aparece no canto inferior direito, e, escolher uma das fitofisionomias listadas)
</t>
    </r>
    <r>
      <rPr>
        <b/>
        <sz val="9"/>
        <rFont val="Arial"/>
        <family val="2"/>
      </rPr>
      <t>2</t>
    </r>
    <r>
      <rPr>
        <b/>
        <sz val="9"/>
        <rFont val="Calibri"/>
        <family val="2"/>
      </rPr>
      <t>ª</t>
    </r>
    <r>
      <rPr>
        <b/>
        <sz val="9"/>
        <rFont val="Arial"/>
        <family val="2"/>
      </rPr>
      <t xml:space="preserve"> ETAPA</t>
    </r>
    <r>
      <rPr>
        <sz val="9"/>
        <rFont val="Arial"/>
        <family val="2"/>
      </rPr>
      <t xml:space="preserve"> - Estimar a área correspondente de cada fragmento com vegetação nativa, a partir das informações geradas no croqui do CAR. Lançar as áreas no </t>
    </r>
    <r>
      <rPr>
        <sz val="9"/>
        <color rgb="FF0070C0"/>
        <rFont val="Arial"/>
        <family val="2"/>
      </rPr>
      <t>campo 18.1</t>
    </r>
    <r>
      <rPr>
        <sz val="9"/>
        <rFont val="Arial"/>
        <family val="2"/>
      </rPr>
      <t xml:space="preserve"> de acordo com o estágio sucessional (inicial, intermediário ou avançado).
</t>
    </r>
    <r>
      <rPr>
        <b/>
        <sz val="9"/>
        <rFont val="Arial"/>
        <family val="2"/>
      </rPr>
      <t>3</t>
    </r>
    <r>
      <rPr>
        <b/>
        <sz val="9"/>
        <rFont val="Calibri"/>
        <family val="2"/>
      </rPr>
      <t>ª</t>
    </r>
    <r>
      <rPr>
        <b/>
        <sz val="9"/>
        <rFont val="Arial"/>
        <family val="2"/>
      </rPr>
      <t xml:space="preserve"> ETAPA</t>
    </r>
    <r>
      <rPr>
        <sz val="9"/>
        <rFont val="Arial"/>
        <family val="2"/>
      </rPr>
      <t xml:space="preserve"> - Verificar no imóvel rural a proporção de cada fragmento que está protegida do fogo e pastoreio (</t>
    </r>
    <r>
      <rPr>
        <sz val="9"/>
        <color rgb="FF0070C0"/>
        <rFont val="Arial"/>
        <family val="2"/>
      </rPr>
      <t>campo 18.2</t>
    </r>
    <r>
      <rPr>
        <sz val="9"/>
        <rFont val="Arial"/>
        <family val="2"/>
      </rPr>
      <t xml:space="preserve">).
</t>
    </r>
    <r>
      <rPr>
        <b/>
        <sz val="9"/>
        <rFont val="Arial"/>
        <family val="2"/>
      </rPr>
      <t>4</t>
    </r>
    <r>
      <rPr>
        <b/>
        <sz val="9"/>
        <rFont val="Calibri"/>
        <family val="2"/>
      </rPr>
      <t>ª</t>
    </r>
    <r>
      <rPr>
        <b/>
        <sz val="9"/>
        <rFont val="Arial"/>
        <family val="2"/>
      </rPr>
      <t xml:space="preserve"> ETAPA</t>
    </r>
    <r>
      <rPr>
        <sz val="9"/>
        <rFont val="Arial"/>
        <family val="2"/>
      </rPr>
      <t xml:space="preserve"> - Verificar na imagem de satélite, e no campo, o número de fragmentos com vegetação nativa (</t>
    </r>
    <r>
      <rPr>
        <sz val="9"/>
        <color rgb="FF0070C0"/>
        <rFont val="Arial"/>
        <family val="2"/>
      </rPr>
      <t>campo 18.3</t>
    </r>
    <r>
      <rPr>
        <sz val="9"/>
        <rFont val="Arial"/>
        <family val="2"/>
      </rPr>
      <t xml:space="preserve">)                                                    </t>
    </r>
    <r>
      <rPr>
        <b/>
        <sz val="9"/>
        <rFont val="Arial"/>
        <family val="2"/>
      </rPr>
      <t>5</t>
    </r>
    <r>
      <rPr>
        <b/>
        <sz val="9"/>
        <rFont val="Calibri"/>
        <family val="2"/>
      </rPr>
      <t>ª</t>
    </r>
    <r>
      <rPr>
        <b/>
        <sz val="9"/>
        <rFont val="Arial"/>
        <family val="2"/>
      </rPr>
      <t xml:space="preserve"> ETAPA </t>
    </r>
    <r>
      <rPr>
        <sz val="9"/>
        <rFont val="Arial"/>
        <family val="2"/>
      </rPr>
      <t>-</t>
    </r>
    <r>
      <rPr>
        <b/>
        <sz val="9"/>
        <rFont val="Arial"/>
        <family val="2"/>
      </rPr>
      <t xml:space="preserve"> </t>
    </r>
    <r>
      <rPr>
        <sz val="9"/>
        <rFont val="Arial"/>
        <family val="2"/>
      </rPr>
      <t xml:space="preserve">Verificar se algum fragmento de vegetação nativa tem conexão com a vegetação nativa de estabelecimentos rurais vizinhos. Caso afirmativo, marcar a opção com x no </t>
    </r>
    <r>
      <rPr>
        <sz val="9"/>
        <color rgb="FF0070C0"/>
        <rFont val="Arial"/>
        <family val="2"/>
      </rPr>
      <t>campo 18.4</t>
    </r>
    <r>
      <rPr>
        <sz val="9"/>
        <rFont val="Arial"/>
        <family val="2"/>
      </rPr>
      <t xml:space="preserve">.
 </t>
    </r>
  </si>
  <si>
    <r>
      <rPr>
        <sz val="9"/>
        <color theme="8" tint="-0.249977111117893"/>
        <rFont val="Arial"/>
        <family val="2"/>
      </rPr>
      <t>BIOMA MATA ATLÂNTICA</t>
    </r>
    <r>
      <rPr>
        <sz val="9"/>
        <rFont val="Arial"/>
        <family val="2"/>
      </rPr>
      <t xml:space="preserve"> - </t>
    </r>
    <r>
      <rPr>
        <sz val="9"/>
        <color rgb="FFC00000"/>
        <rFont val="Arial"/>
        <family val="2"/>
      </rPr>
      <t>Estágio avançado</t>
    </r>
    <r>
      <rPr>
        <sz val="9"/>
        <rFont val="Arial"/>
        <family val="2"/>
      </rPr>
      <t xml:space="preserve">
1. estratificação definida com a formação de três estratos: dossel, sub-dossel e sub-bosque;
2. dossel superior a 12 (doze) metros de altura e com ocorrência frequente de árvores emergentes;
3. sub-bosque normalmente menos expressivo do que no estágio intermediário;
4. menor densidade de cipós e arbustos em relação ao estágio intermediário;
5. riqueza e abundância de epífitas, especialmente nas Florestas Ombrófilas;
6. trepadeiras geralmente lenhosas, com maior frequência e riqueza de espécies na Floresta Estacional;
7. serapilheira presente variando em função da localização;
8. espécies lenhosas com distribuição diamétrica de grande amplitude com DAP médio superior a 18 (dezoito) centímetros.
</t>
    </r>
  </si>
  <si>
    <r>
      <rPr>
        <sz val="9"/>
        <color theme="8" tint="-0.249977111117893"/>
        <rFont val="Arial"/>
        <family val="2"/>
      </rPr>
      <t>BIOMA MATA ATLÂNTICA</t>
    </r>
    <r>
      <rPr>
        <sz val="9"/>
        <rFont val="Arial"/>
        <family val="2"/>
      </rPr>
      <t xml:space="preserve"> - </t>
    </r>
    <r>
      <rPr>
        <sz val="9"/>
        <color rgb="FFC00000"/>
        <rFont val="Arial"/>
        <family val="2"/>
      </rPr>
      <t>Estágio intermediário</t>
    </r>
    <r>
      <rPr>
        <sz val="9"/>
        <rFont val="Arial"/>
        <family val="2"/>
      </rPr>
      <t xml:space="preserve">
1. estratificação incipiente com formação de dois estratos: dossel e sub-bosque;
2. predominância de espécies arbóreas formando um dossel definido entre 5 (cinco) e 12 (doze) metros de altura, com redução gradativa da densidade de arbustos e arvoretas;
3. presença marcante de cipós;
4. maior riqueza e abundância de epífitas em relação ao estágio inicial, sendo mais abundantes nas Florestas Ombrófilas;
5. trepadeiras, quando presentes, podem ser herbáceas ou lenhosas;
6. serapilheira presente variando de espessura de acordo com as estações do ano e a localização;
7. espécies lenhosas com distribuição diamétrica de moderada amplitude com DAP médio entre 10 (dez) centímetros e 20 (vinte) centímetros.
</t>
    </r>
  </si>
  <si>
    <r>
      <rPr>
        <sz val="9"/>
        <color theme="8" tint="-0.249977111117893"/>
        <rFont val="Arial"/>
        <family val="2"/>
      </rPr>
      <t>BIOMA MATA ATLÂNTICA</t>
    </r>
    <r>
      <rPr>
        <sz val="9"/>
        <rFont val="Arial"/>
        <family val="2"/>
      </rPr>
      <t xml:space="preserve"> - </t>
    </r>
    <r>
      <rPr>
        <sz val="9"/>
        <color rgb="FFC00000"/>
        <rFont val="Arial"/>
        <family val="2"/>
      </rPr>
      <t>Estágio Inicial</t>
    </r>
    <r>
      <rPr>
        <sz val="9"/>
        <rFont val="Arial"/>
        <family val="2"/>
      </rPr>
      <t xml:space="preserve">
1. ausência de estratificação definida;
2. predominância de indivíduos jovens de espécies arbóreas, arbustivas e cipós, formando um adensamento (paliteiro) com altura de até 5 (cinco) metros;
3. espécies lenhosas com distribuição diamétrica de pequena amplitude com DAP médio de até 10 (dez) centímetros;
4. espécies pioneiras abundantes;
5. dominância de poucas espécies indicadoras;
6. epífitas, se existentes, são representadas principalmente por líquens, briófitas e pteridófitas com baixa diversidade;
7. serapilheira, quando existente, forma uma fina camada, pouco decomposta, contínua ou não;
8. trepadeiras, se presentes, geralmente herbáceas.
</t>
    </r>
  </si>
  <si>
    <r>
      <rPr>
        <b/>
        <sz val="9"/>
        <color theme="8" tint="-0.499984740745262"/>
        <rFont val="Arial"/>
        <family val="2"/>
      </rPr>
      <t>OBJETIVO</t>
    </r>
    <r>
      <rPr>
        <sz val="9"/>
        <rFont val="Arial"/>
        <family val="2"/>
      </rPr>
      <t xml:space="preserve">
Verificar se o uso e ocupação do solo nas APPs está em conformidade com a Lei Ambiental Mineira e o Novo Código Florestal, e verificar o estado de conservação das APPs no entorno de nascentes e corpos d’água (cursos d'água, represas, lagoas, etc.).
</t>
    </r>
    <r>
      <rPr>
        <b/>
        <sz val="9"/>
        <color theme="8" tint="-0.499984740745262"/>
        <rFont val="Arial"/>
        <family val="2"/>
      </rPr>
      <t>APLICAÇÃO</t>
    </r>
    <r>
      <rPr>
        <sz val="9"/>
        <rFont val="Arial"/>
        <family val="2"/>
      </rPr>
      <t xml:space="preserve">
</t>
    </r>
    <r>
      <rPr>
        <b/>
        <sz val="9"/>
        <rFont val="Arial"/>
        <family val="2"/>
      </rPr>
      <t>1</t>
    </r>
    <r>
      <rPr>
        <b/>
        <sz val="9"/>
        <rFont val="Calibri"/>
        <family val="2"/>
      </rPr>
      <t>ª</t>
    </r>
    <r>
      <rPr>
        <b/>
        <sz val="9"/>
        <rFont val="Arial"/>
        <family val="2"/>
      </rPr>
      <t xml:space="preserve"> ETAPA</t>
    </r>
    <r>
      <rPr>
        <sz val="9"/>
        <rFont val="Arial"/>
        <family val="2"/>
      </rPr>
      <t xml:space="preserve"> - O lançamento dos dados é feito automaticamente no </t>
    </r>
    <r>
      <rPr>
        <sz val="9"/>
        <color rgb="FF0070C0"/>
        <rFont val="Arial"/>
        <family val="2"/>
      </rPr>
      <t>campo 19.1</t>
    </r>
    <r>
      <rPr>
        <sz val="9"/>
        <rFont val="Arial"/>
        <family val="2"/>
      </rPr>
      <t xml:space="preserve">, a partir da identificação do uso e ocupação do solo nas APPs na </t>
    </r>
    <r>
      <rPr>
        <sz val="9"/>
        <color rgb="FF0070C0"/>
        <rFont val="Arial"/>
        <family val="2"/>
      </rPr>
      <t>aba Geoprocessamento, item 3.2</t>
    </r>
    <r>
      <rPr>
        <sz val="9"/>
        <rFont val="Arial"/>
        <family val="2"/>
      </rPr>
      <t xml:space="preserve">, identificando as áreas com vegetação nativa, com uso consolidado e a área que deve ser recomposta ou recuperada, a partir do CAR. 
</t>
    </r>
    <r>
      <rPr>
        <b/>
        <sz val="9"/>
        <rFont val="Arial"/>
        <family val="2"/>
      </rPr>
      <t>2</t>
    </r>
    <r>
      <rPr>
        <b/>
        <sz val="9"/>
        <rFont val="Calibri"/>
        <family val="2"/>
      </rPr>
      <t>ª</t>
    </r>
    <r>
      <rPr>
        <b/>
        <sz val="9"/>
        <rFont val="Arial"/>
        <family val="2"/>
      </rPr>
      <t xml:space="preserve"> ETAPA</t>
    </r>
    <r>
      <rPr>
        <sz val="9"/>
        <rFont val="Arial"/>
        <family val="2"/>
      </rPr>
      <t xml:space="preserve"> - Verificar no campo e estimar o percentual das APPs úmidas efetivamente protegidas e com bom estado de conservação no </t>
    </r>
    <r>
      <rPr>
        <sz val="9"/>
        <color rgb="FF0070C0"/>
        <rFont val="Arial"/>
        <family val="2"/>
      </rPr>
      <t>campo 19.2</t>
    </r>
    <r>
      <rPr>
        <sz val="9"/>
        <rFont val="Arial"/>
        <family val="2"/>
      </rPr>
      <t>.</t>
    </r>
  </si>
  <si>
    <r>
      <rPr>
        <b/>
        <sz val="9"/>
        <color theme="8" tint="-0.499984740745262"/>
        <rFont val="Arial"/>
        <family val="2"/>
      </rPr>
      <t>OBJETIVO</t>
    </r>
    <r>
      <rPr>
        <sz val="9"/>
        <rFont val="Arial"/>
        <family val="2"/>
      </rPr>
      <t xml:space="preserve">
Avaliar o cumprimento com a exigência de Reserva Legal (RL), conforme a Lei Ambiental Mineira e o Novo Código Florestal. Verificar também se o imóvel rural possui área com vegetação nativa excedente à exigência para RL (considerado um ativo ambiental). 
</t>
    </r>
    <r>
      <rPr>
        <b/>
        <sz val="9"/>
        <color theme="8" tint="-0.499984740745262"/>
        <rFont val="Arial"/>
        <family val="2"/>
      </rPr>
      <t>APLICAÇÃO</t>
    </r>
    <r>
      <rPr>
        <sz val="9"/>
        <rFont val="Arial"/>
        <family val="2"/>
      </rPr>
      <t xml:space="preserve">
</t>
    </r>
    <r>
      <rPr>
        <b/>
        <sz val="9"/>
        <rFont val="Arial"/>
        <family val="2"/>
      </rPr>
      <t>1</t>
    </r>
    <r>
      <rPr>
        <b/>
        <sz val="9"/>
        <rFont val="Calibri"/>
        <family val="2"/>
      </rPr>
      <t>ª</t>
    </r>
    <r>
      <rPr>
        <b/>
        <sz val="9"/>
        <rFont val="Arial"/>
        <family val="2"/>
      </rPr>
      <t xml:space="preserve"> ETAPA</t>
    </r>
    <r>
      <rPr>
        <sz val="9"/>
        <rFont val="Arial"/>
        <family val="2"/>
      </rPr>
      <t xml:space="preserve"> - Verificar se a RL está localizada dentro ou fora do imóvel rural. 
Se a RL (ou parte da RL) estiver localizada fora do imóvel rural, lançar a área correspondente no </t>
    </r>
    <r>
      <rPr>
        <sz val="9"/>
        <color rgb="FF0070C0"/>
        <rFont val="Arial"/>
        <family val="2"/>
      </rPr>
      <t>item 20.1</t>
    </r>
    <r>
      <rPr>
        <sz val="9"/>
        <rFont val="Arial"/>
        <family val="2"/>
      </rPr>
      <t xml:space="preserve"> no quadro  "</t>
    </r>
    <r>
      <rPr>
        <sz val="9"/>
        <color rgb="FFC00000"/>
        <rFont val="Arial"/>
        <family val="2"/>
      </rPr>
      <t>RL fora do imóvel rural</t>
    </r>
    <r>
      <rPr>
        <sz val="9"/>
        <rFont val="Arial"/>
        <family val="2"/>
      </rPr>
      <t xml:space="preserve">"
</t>
    </r>
    <r>
      <rPr>
        <b/>
        <sz val="9"/>
        <rFont val="Arial"/>
        <family val="2"/>
      </rPr>
      <t>2</t>
    </r>
    <r>
      <rPr>
        <b/>
        <sz val="9"/>
        <rFont val="Calibri"/>
        <family val="2"/>
      </rPr>
      <t>ª</t>
    </r>
    <r>
      <rPr>
        <b/>
        <sz val="9"/>
        <rFont val="Arial"/>
        <family val="2"/>
      </rPr>
      <t xml:space="preserve"> ETAPA</t>
    </r>
    <r>
      <rPr>
        <sz val="9"/>
        <rFont val="Arial"/>
        <family val="2"/>
      </rPr>
      <t xml:space="preserve"> - Se a RL estiver localizada dentro do imóvel rural, verificar se a mesma possui alguma área que necessita de recomposição, lançando a área correspondente no </t>
    </r>
    <r>
      <rPr>
        <sz val="9"/>
        <color rgb="FF0070C0"/>
        <rFont val="Arial"/>
        <family val="2"/>
      </rPr>
      <t>item 20.1</t>
    </r>
    <r>
      <rPr>
        <sz val="9"/>
        <rFont val="Arial"/>
        <family val="2"/>
      </rPr>
      <t xml:space="preserve"> no quadro "</t>
    </r>
    <r>
      <rPr>
        <sz val="9"/>
        <color rgb="FFC00000"/>
        <rFont val="Arial"/>
        <family val="2"/>
      </rPr>
      <t>Áreas de/para RL que necessitam de recomposição</t>
    </r>
    <r>
      <rPr>
        <sz val="9"/>
        <rFont val="Arial"/>
        <family val="2"/>
      </rPr>
      <t xml:space="preserve">".
</t>
    </r>
    <r>
      <rPr>
        <b/>
        <sz val="9"/>
        <rFont val="Arial"/>
        <family val="2"/>
      </rPr>
      <t>3</t>
    </r>
    <r>
      <rPr>
        <b/>
        <sz val="9"/>
        <rFont val="Calibri"/>
        <family val="2"/>
      </rPr>
      <t>ª</t>
    </r>
    <r>
      <rPr>
        <b/>
        <sz val="9"/>
        <rFont val="Arial"/>
        <family val="2"/>
      </rPr>
      <t xml:space="preserve"> ETAPA</t>
    </r>
    <r>
      <rPr>
        <sz val="9"/>
        <rFont val="Arial"/>
        <family val="2"/>
      </rPr>
      <t xml:space="preserve"> - Para os demais casos, lançar a área correspodente da RL no </t>
    </r>
    <r>
      <rPr>
        <sz val="9"/>
        <color rgb="FF0070C0"/>
        <rFont val="Arial"/>
        <family val="2"/>
      </rPr>
      <t>item 20.1</t>
    </r>
    <r>
      <rPr>
        <sz val="9"/>
        <rFont val="Arial"/>
        <family val="2"/>
      </rPr>
      <t xml:space="preserve"> no quadro "</t>
    </r>
    <r>
      <rPr>
        <sz val="9"/>
        <color rgb="FFC00000"/>
        <rFont val="Arial"/>
        <family val="2"/>
      </rPr>
      <t>Áreas de/para RL não passíveis de recomposição</t>
    </r>
    <r>
      <rPr>
        <sz val="9"/>
        <rFont val="Arial"/>
        <family val="2"/>
      </rPr>
      <t xml:space="preserve">".
</t>
    </r>
  </si>
  <si>
    <r>
      <rPr>
        <b/>
        <sz val="9"/>
        <color theme="8" tint="-0.499984740745262"/>
        <rFont val="Arial"/>
        <family val="2"/>
      </rPr>
      <t>OBJETIVO</t>
    </r>
    <r>
      <rPr>
        <sz val="9"/>
        <rFont val="Arial"/>
        <family val="2"/>
      </rPr>
      <t xml:space="preserve">
Verificar a diversificação da paisagem na escala de lavouras e talhões, e na escala do imóvel rural e seu entorno.
</t>
    </r>
    <r>
      <rPr>
        <b/>
        <sz val="9"/>
        <color theme="8" tint="-0.499984740745262"/>
        <rFont val="Arial"/>
        <family val="2"/>
      </rPr>
      <t>APLICAÇÃO</t>
    </r>
    <r>
      <rPr>
        <sz val="9"/>
        <rFont val="Arial"/>
        <family val="2"/>
      </rPr>
      <t xml:space="preserve">
</t>
    </r>
    <r>
      <rPr>
        <b/>
        <sz val="9"/>
        <rFont val="Arial"/>
        <family val="2"/>
      </rPr>
      <t>1</t>
    </r>
    <r>
      <rPr>
        <b/>
        <sz val="9"/>
        <rFont val="Calibri"/>
        <family val="2"/>
      </rPr>
      <t>ª</t>
    </r>
    <r>
      <rPr>
        <b/>
        <sz val="9"/>
        <rFont val="Arial"/>
        <family val="2"/>
      </rPr>
      <t xml:space="preserve"> ETAPA</t>
    </r>
    <r>
      <rPr>
        <sz val="9"/>
        <rFont val="Arial"/>
        <family val="2"/>
      </rPr>
      <t xml:space="preserve"> - Avaliar, em cada talhão descrito no</t>
    </r>
    <r>
      <rPr>
        <sz val="9"/>
        <color rgb="FF0070C0"/>
        <rFont val="Arial"/>
        <family val="2"/>
      </rPr>
      <t xml:space="preserve"> item 10.1 do questionário</t>
    </r>
    <r>
      <rPr>
        <sz val="9"/>
        <rFont val="Arial"/>
        <family val="2"/>
      </rPr>
      <t xml:space="preserve">, o grau de adoção de práticas que auxiliem na indução da agrobiodiversidade (culturas intercalares, consórcios, integração LP, LPF, PF, policultivos, SAFs, adubação verde, roçadas em faixas alternadas, presença de barreiras vegetais no talhão, presença de corredores ecológicos no talhão, rotação de culturas, entre outros). O preenchimento do </t>
    </r>
    <r>
      <rPr>
        <sz val="9"/>
        <color rgb="FF0070C0"/>
        <rFont val="Arial"/>
        <family val="2"/>
      </rPr>
      <t>campo 21.1</t>
    </r>
    <r>
      <rPr>
        <sz val="9"/>
        <rFont val="Arial"/>
        <family val="2"/>
      </rPr>
      <t xml:space="preserve"> poderá ser realizado de forma similar ao</t>
    </r>
    <r>
      <rPr>
        <sz val="9"/>
        <color rgb="FF0070C0"/>
        <rFont val="Arial"/>
        <family val="2"/>
      </rPr>
      <t xml:space="preserve"> campo 16.1 </t>
    </r>
    <r>
      <rPr>
        <sz val="9"/>
        <rFont val="Arial"/>
        <family val="2"/>
      </rPr>
      <t>do indicador</t>
    </r>
    <r>
      <rPr>
        <sz val="9"/>
        <color rgb="FF0070C0"/>
        <rFont val="Arial"/>
        <family val="2"/>
      </rPr>
      <t xml:space="preserve"> 16 </t>
    </r>
    <r>
      <rPr>
        <sz val="9"/>
        <rFont val="Arial"/>
        <family val="2"/>
      </rPr>
      <t xml:space="preserve">(grau de adoção de práticas conservacionistas).
</t>
    </r>
    <r>
      <rPr>
        <b/>
        <sz val="9"/>
        <rFont val="Arial"/>
        <family val="2"/>
      </rPr>
      <t>2</t>
    </r>
    <r>
      <rPr>
        <b/>
        <sz val="9"/>
        <rFont val="Calibri"/>
        <family val="2"/>
      </rPr>
      <t>ª</t>
    </r>
    <r>
      <rPr>
        <b/>
        <sz val="9"/>
        <rFont val="Arial"/>
        <family val="2"/>
      </rPr>
      <t xml:space="preserve"> ETAPA</t>
    </r>
    <r>
      <rPr>
        <sz val="9"/>
        <rFont val="Arial"/>
        <family val="2"/>
      </rPr>
      <t xml:space="preserve"> - A diversificação da paisagem na escala do imóvel rural é feita automaticamente, por meio da avaliação da diversidade das fitofisionomias dos remanescentes de vegetação nativa, e da diversificação do uso do solo no imóvel rural, por meio de uma adaptação do índice de Shannon-Wiever. 
</t>
    </r>
    <r>
      <rPr>
        <b/>
        <sz val="9"/>
        <rFont val="Arial"/>
        <family val="2"/>
      </rPr>
      <t>3</t>
    </r>
    <r>
      <rPr>
        <b/>
        <sz val="9"/>
        <rFont val="Calibri"/>
        <family val="2"/>
      </rPr>
      <t>ª</t>
    </r>
    <r>
      <rPr>
        <b/>
        <sz val="9"/>
        <rFont val="Arial"/>
        <family val="2"/>
      </rPr>
      <t xml:space="preserve"> ETAPA</t>
    </r>
    <r>
      <rPr>
        <sz val="9"/>
        <rFont val="Arial"/>
        <family val="2"/>
      </rPr>
      <t xml:space="preserve"> - O grau de diversificação das áreas fronteiriças ao imóvel rural é avaliado, a fim de verificar se ocorre pressão de monoculturas nos cultivos e pastagens existentes no imóvel rural. Para tanto, se for identificado uma alta proporção das áreas limítrofes ao imóvel rural com o mesmo uso do solo, marcar x no </t>
    </r>
    <r>
      <rPr>
        <sz val="9"/>
        <color rgb="FF0070C0"/>
        <rFont val="Arial"/>
        <family val="2"/>
      </rPr>
      <t>campo 21.3</t>
    </r>
    <r>
      <rPr>
        <sz val="9"/>
        <rFont val="Arial"/>
        <family val="2"/>
      </rPr>
      <t xml:space="preserve">.
</t>
    </r>
  </si>
  <si>
    <r>
      <rPr>
        <b/>
        <sz val="9"/>
        <color theme="8" tint="-0.499984740745262"/>
        <rFont val="Arial"/>
        <family val="2"/>
      </rPr>
      <t>FAIXAS COM VEGETAÇÃO NATURAL, ROÇADAS ALTERNADAS</t>
    </r>
    <r>
      <rPr>
        <sz val="9"/>
        <rFont val="Arial"/>
        <family val="2"/>
      </rPr>
      <t xml:space="preserve"> - explanação no indicador 16.
</t>
    </r>
    <r>
      <rPr>
        <b/>
        <sz val="9"/>
        <color theme="8" tint="-0.499984740745262"/>
        <rFont val="Arial"/>
        <family val="2"/>
      </rPr>
      <t>CULTURAS INTERCALARES</t>
    </r>
    <r>
      <rPr>
        <sz val="9"/>
        <rFont val="Arial"/>
        <family val="2"/>
      </rPr>
      <t xml:space="preserve"> - explanação no indicador 16
</t>
    </r>
    <r>
      <rPr>
        <b/>
        <sz val="9"/>
        <color theme="8" tint="-0.499984740745262"/>
        <rFont val="Arial"/>
        <family val="2"/>
      </rPr>
      <t>ROTAÇÃO DE CULTURAS</t>
    </r>
    <r>
      <rPr>
        <sz val="9"/>
        <rFont val="Arial"/>
        <family val="2"/>
      </rPr>
      <t xml:space="preserve"> - A rotação de culturas consiste em alternar, anualmente, espécies vegetais, numa mesma área agrícola. As espécies escolhidas podem ter, ao mesmo tempo, propósito comercial e de recuperação do solo. A seleção de espécies baseia-se na diversidade botânica. Plantas com diferentes sistemas radiculares, hábitos de crescimento e exigências nutricionais podem ter efeito na interrupção dos ciclos de pragas e doenças. As diferentes taxas de decomposição das espécies auxiliam na formação de uma matéria orgânica mais rica, favorecendo o desenvolvimento de uma microbiota do solo mais diversificada.
</t>
    </r>
    <r>
      <rPr>
        <b/>
        <sz val="9"/>
        <color theme="8" tint="-0.499984740745262"/>
        <rFont val="Arial"/>
        <family val="2"/>
      </rPr>
      <t>AGROFLORESTAS OU SISTEMAS DE POLICULTIVOS</t>
    </r>
    <r>
      <rPr>
        <sz val="9"/>
        <rFont val="Arial"/>
        <family val="2"/>
      </rPr>
      <t xml:space="preserve"> - Agrofloresta é a denominação do sistema de produção onde são introduzidas árvores e arbustos em áreas de produção agrícola ou pecuária. Dentro desse sistema estão reunidas diversas técnicas citadas acima, como: culturas em faixa, quebra-vento, culturas intercalares e rotação de culturas. Além das vantagens específicas a cada uma dessas técnicas, o uso mais amplo de espécies arbóreas otimiza o uso do espaço vertical do agroecossistema, reciclando nutrientes absorvidos pelas raízes profundas por meio da queda de folhas. 
</t>
    </r>
    <r>
      <rPr>
        <b/>
        <sz val="9"/>
        <color theme="8" tint="-0.499984740745262"/>
        <rFont val="Arial"/>
        <family val="2"/>
      </rPr>
      <t>CONSORCIAÇÃO</t>
    </r>
    <r>
      <rPr>
        <sz val="9"/>
        <rFont val="Arial"/>
        <family val="2"/>
      </rPr>
      <t xml:space="preserve"> - É o cultivo de duas ou mais espécies anuais e/ou perenes em uma mesma área em sistema de policultivo. O plantio nesse sistema é feito procurando distribuir o espaço da lavoura o mais conveniente possível, buscando uma baixa competição entre plantas pelos fatores de produção como luz, água e nutrientes. Assim, as características agronômicas de cada uma das culturas envolvidas na consorciação como o ciclo vegetativo, as épocas de cultivo, que devem ser distintas, e o porte das plantas devem ser considerados no planejamento da distribuição delas nas linhas de plantio. </t>
    </r>
  </si>
  <si>
    <t>Fórmulas</t>
  </si>
  <si>
    <t>AVALIAÇÃO DOS BENS DO EMPREENDIMENTO</t>
  </si>
  <si>
    <t>Item 12.1</t>
  </si>
  <si>
    <r>
      <t>Fórmula -</t>
    </r>
    <r>
      <rPr>
        <sz val="9"/>
        <color rgb="FFCC3300"/>
        <rFont val="Arial"/>
        <family val="2"/>
      </rPr>
      <t xml:space="preserve"> VR(valor residual) = (1-T)</t>
    </r>
    <r>
      <rPr>
        <vertAlign val="superscript"/>
        <sz val="9"/>
        <color rgb="FFC00000"/>
        <rFont val="Arial"/>
        <family val="2"/>
      </rPr>
      <t>N</t>
    </r>
    <r>
      <rPr>
        <sz val="9"/>
        <color rgb="FFCC3300"/>
        <rFont val="Arial"/>
        <family val="2"/>
      </rPr>
      <t xml:space="preserve"> x VI</t>
    </r>
    <r>
      <rPr>
        <sz val="9"/>
        <rFont val="Arial"/>
        <family val="2"/>
      </rPr>
      <t>, em que: T = taxa de depreciação; N = tempo (nº de anos); e VI = valor inicial</t>
    </r>
  </si>
  <si>
    <t>Item 12.2</t>
  </si>
  <si>
    <r>
      <t>Fórmula</t>
    </r>
    <r>
      <rPr>
        <sz val="9"/>
        <color rgb="FFCC3300"/>
        <rFont val="Arial"/>
        <family val="2"/>
      </rPr>
      <t xml:space="preserve"> - VR(valor residual) = (1-T)</t>
    </r>
    <r>
      <rPr>
        <vertAlign val="superscript"/>
        <sz val="9"/>
        <color rgb="FFCC3300"/>
        <rFont val="Arial"/>
        <family val="2"/>
      </rPr>
      <t>N</t>
    </r>
    <r>
      <rPr>
        <sz val="9"/>
        <color rgb="FFCC3300"/>
        <rFont val="Arial"/>
        <family val="2"/>
      </rPr>
      <t xml:space="preserve"> x VI</t>
    </r>
    <r>
      <rPr>
        <sz val="9"/>
        <rFont val="Arial"/>
        <family val="2"/>
      </rPr>
      <t>, em que: T = taxa de depreciação; N = tempo (nº de anos); e VI = valor inicial</t>
    </r>
  </si>
  <si>
    <t>ESTIMATIVA DO VALOR PATRIMONIAL DO EMPREENDIMENTO</t>
  </si>
  <si>
    <t>Categorias</t>
  </si>
  <si>
    <t>Ponderação</t>
  </si>
  <si>
    <t>Valor total atual</t>
  </si>
  <si>
    <t>Área total</t>
  </si>
  <si>
    <t>Valor histórico</t>
  </si>
  <si>
    <t>Vegetação nativa e outros</t>
  </si>
  <si>
    <r>
      <t xml:space="preserve">Irrigação </t>
    </r>
    <r>
      <rPr>
        <sz val="8"/>
        <color theme="1"/>
        <rFont val="Arial"/>
        <family val="2"/>
      </rPr>
      <t>(+ R$1.000,00/ha)</t>
    </r>
  </si>
  <si>
    <t>Lav. perene/silvicutura</t>
  </si>
  <si>
    <t xml:space="preserve">Histórico </t>
  </si>
  <si>
    <t>Valor Total da terra</t>
  </si>
  <si>
    <t/>
  </si>
  <si>
    <t>Evolução decorrente da modificação do uso do solo</t>
  </si>
  <si>
    <r>
      <t xml:space="preserve">Evolução patrimonial </t>
    </r>
    <r>
      <rPr>
        <sz val="9"/>
        <rFont val="Arial"/>
        <family val="2"/>
      </rPr>
      <t>(sem a valorização do preço da terra)</t>
    </r>
  </si>
  <si>
    <r>
      <rPr>
        <sz val="12"/>
        <color theme="1"/>
        <rFont val="Arial"/>
        <family val="2"/>
      </rPr>
      <t>Evolução patrimonial total</t>
    </r>
    <r>
      <rPr>
        <sz val="11"/>
        <color theme="1"/>
        <rFont val="Arial"/>
        <family val="2"/>
      </rPr>
      <t xml:space="preserve"> </t>
    </r>
  </si>
  <si>
    <r>
      <t xml:space="preserve">Áreas de Reserva Legal </t>
    </r>
    <r>
      <rPr>
        <sz val="11"/>
        <color theme="1"/>
        <rFont val="Arial"/>
        <family val="2"/>
      </rPr>
      <t>(gerada no geoprocessamento para estabelecimentos &gt; 4MF)</t>
    </r>
  </si>
  <si>
    <t>*Para estabelecimentos acima de 4MF (considerando a área total do estabelecimento descrita no CAR, menos a área de Servidão Administrativa)</t>
  </si>
  <si>
    <t>Área correspondente à Reserva Legal (ha)*</t>
  </si>
  <si>
    <t>Área de vegetação nativa passível de ser considerada como Reserva Legal (ha)*</t>
  </si>
  <si>
    <t>% (área total)</t>
  </si>
  <si>
    <t>Área total cultivada (culturas, silvicultura) + pastagens</t>
  </si>
  <si>
    <t>Área total com Vegetação Nativa</t>
  </si>
  <si>
    <t>Área necessária de recomposição para RL no imóvel =&gt;</t>
  </si>
  <si>
    <t>Área total classificada como APP</t>
  </si>
  <si>
    <t>Total de áreas a serem recuperadas nas APPs</t>
  </si>
  <si>
    <t>Área de vegetação nativa dentro das APPs</t>
  </si>
  <si>
    <t xml:space="preserve">Área de vegetação nativa fora das APPs e RL </t>
  </si>
  <si>
    <t>Fator de Ponderação</t>
  </si>
  <si>
    <t>20% maior</t>
  </si>
  <si>
    <t>Fórmula (R parcial) = Yo + ax</t>
  </si>
  <si>
    <t>produtividade ou preço de venda = a regional</t>
  </si>
  <si>
    <t>yo</t>
  </si>
  <si>
    <t>20% menor</t>
  </si>
  <si>
    <t>a</t>
  </si>
  <si>
    <t>40% menor</t>
  </si>
  <si>
    <r>
      <t xml:space="preserve">Fórmula (resultado final) = </t>
    </r>
    <r>
      <rPr>
        <sz val="9"/>
        <color rgb="FFC00000"/>
        <rFont val="Arial"/>
        <family val="2"/>
      </rPr>
      <t xml:space="preserve">média dos valores atribuídos no resultado parcial </t>
    </r>
  </si>
  <si>
    <t>Variação do item 1.3 em relação ao item 1.5</t>
  </si>
  <si>
    <t>Variação do item 1.4 em relação ao item 1.6</t>
  </si>
  <si>
    <t>Matriz de ponderação</t>
  </si>
  <si>
    <t>Produtividade</t>
  </si>
  <si>
    <t>Preço de venda</t>
  </si>
  <si>
    <t>item 2.1</t>
  </si>
  <si>
    <r>
      <t>1 - (F21</t>
    </r>
    <r>
      <rPr>
        <vertAlign val="superscript"/>
        <sz val="10"/>
        <rFont val="Arial"/>
        <family val="2"/>
      </rPr>
      <t>2</t>
    </r>
    <r>
      <rPr>
        <sz val="10"/>
        <rFont val="Arial"/>
        <family val="2"/>
      </rPr>
      <t xml:space="preserve"> *0,3)</t>
    </r>
  </si>
  <si>
    <r>
      <t>(1- ((F21</t>
    </r>
    <r>
      <rPr>
        <vertAlign val="superscript"/>
        <sz val="8"/>
        <color rgb="FFC00000"/>
        <rFont val="Arial"/>
        <family val="2"/>
      </rPr>
      <t>2</t>
    </r>
    <r>
      <rPr>
        <sz val="8"/>
        <color rgb="FFC00000"/>
        <rFont val="Arial"/>
        <family val="2"/>
      </rPr>
      <t xml:space="preserve"> * 0,3) + (F22</t>
    </r>
    <r>
      <rPr>
        <vertAlign val="superscript"/>
        <sz val="8"/>
        <color rgb="FFC00000"/>
        <rFont val="Arial"/>
        <family val="2"/>
      </rPr>
      <t>2</t>
    </r>
    <r>
      <rPr>
        <sz val="8"/>
        <color rgb="FFC00000"/>
        <rFont val="Arial"/>
        <family val="2"/>
      </rPr>
      <t xml:space="preserve"> * 0,3) + (F23</t>
    </r>
    <r>
      <rPr>
        <vertAlign val="superscript"/>
        <sz val="8"/>
        <color rgb="FFC00000"/>
        <rFont val="Arial"/>
        <family val="2"/>
      </rPr>
      <t>2</t>
    </r>
    <r>
      <rPr>
        <sz val="8"/>
        <color rgb="FFC00000"/>
        <rFont val="Arial"/>
        <family val="2"/>
      </rPr>
      <t xml:space="preserve"> * 1) + (F24</t>
    </r>
    <r>
      <rPr>
        <vertAlign val="superscript"/>
        <sz val="8"/>
        <color rgb="FFC00000"/>
        <rFont val="Arial"/>
        <family val="2"/>
      </rPr>
      <t>2</t>
    </r>
    <r>
      <rPr>
        <sz val="8"/>
        <color rgb="FFC00000"/>
        <rFont val="Arial"/>
        <family val="2"/>
      </rPr>
      <t xml:space="preserve"> * 2))) - 10% (se identificada a concentração de renda acima de 80% - célula I142 do questionário)</t>
    </r>
  </si>
  <si>
    <t>item 2.2</t>
  </si>
  <si>
    <r>
      <t>1 - (F22</t>
    </r>
    <r>
      <rPr>
        <vertAlign val="superscript"/>
        <sz val="10"/>
        <rFont val="Arial"/>
        <family val="2"/>
      </rPr>
      <t>2</t>
    </r>
    <r>
      <rPr>
        <sz val="10"/>
        <rFont val="Arial"/>
        <family val="2"/>
      </rPr>
      <t xml:space="preserve"> *0,3)</t>
    </r>
  </si>
  <si>
    <t>item 2.3</t>
  </si>
  <si>
    <r>
      <t>1 - (F23</t>
    </r>
    <r>
      <rPr>
        <vertAlign val="superscript"/>
        <sz val="10"/>
        <rFont val="Arial"/>
        <family val="2"/>
      </rPr>
      <t>2</t>
    </r>
    <r>
      <rPr>
        <sz val="10"/>
        <rFont val="Arial"/>
        <family val="2"/>
      </rPr>
      <t xml:space="preserve"> *1)</t>
    </r>
  </si>
  <si>
    <t>item 2.4</t>
  </si>
  <si>
    <r>
      <t>1 - (F24</t>
    </r>
    <r>
      <rPr>
        <vertAlign val="superscript"/>
        <sz val="10"/>
        <rFont val="Arial"/>
        <family val="2"/>
      </rPr>
      <t>2</t>
    </r>
    <r>
      <rPr>
        <sz val="10"/>
        <rFont val="Arial"/>
        <family val="2"/>
      </rPr>
      <t xml:space="preserve"> *2)</t>
    </r>
  </si>
  <si>
    <t>item 3.1</t>
  </si>
  <si>
    <t>(0,6*F34+F35+F36+F37+F38) + acréscimo da variação do balanço patrimonial (sem a valorização da terra F40) que excedeu a variação de 6% aa no período avaliado (4 anos = 26%)*</t>
  </si>
  <si>
    <t>item 3.2</t>
  </si>
  <si>
    <t>item 3.3</t>
  </si>
  <si>
    <t>item 3.4</t>
  </si>
  <si>
    <t>Verificação</t>
  </si>
  <si>
    <t>&lt; 5%</t>
  </si>
  <si>
    <t>(D50*0,7)+(D51*1,0)+(D52*0,7)+(D53*0,6)+(D54*0,4)+(D55*0,1)</t>
  </si>
  <si>
    <t>5-10%</t>
  </si>
  <si>
    <t>10-15%</t>
  </si>
  <si>
    <t>15-20%</t>
  </si>
  <si>
    <t>20-25%</t>
  </si>
  <si>
    <t>1 a 3</t>
  </si>
  <si>
    <t>((SOMA(D67:G75))/Nº de residências)/Nº de variáveis(9)</t>
  </si>
  <si>
    <t>Referência: Família com 5 pessoas e média de 2.630 kcal/dia: 4 pés citros; 13 mamoeiros; 18 bananeiras; 2 vacas leite;  4 cevados (porco)/ano; 100 frangos/ano; 50 galinhas; 3 galos; 600 kg de hortaliças (folhosas/frutos/tubérculos/ano); 200 kg mandioca.</t>
  </si>
  <si>
    <t>Fórmula: ((SOMA(D82:G84)/Nº de residências)/Nº de variáveis(3)</t>
  </si>
  <si>
    <t>Fórmula: limiar de sustentabilidade (0,7) =&gt; adultos com no mínimo 5 anos de escolaridade (equivalente a 4 anos na grade escolar antiga) e crianças na rede de ensino. Cursos de capacitação direcionados para a atividade e mão de obra qualificada =&gt; acréscimo máx. 0,3 nota final</t>
  </si>
  <si>
    <t>Fórmula dos itens 6.2 a 6.5 = (D97*0,7 + D98*1 + D99*1,2 + D100*1,5) + (F97*0,7 + F98*1 + F99*1,2 + F100*1,5)/nº pessoas * 0,7. Fórmula dos itens 6.6 e 6.7 = (D101*0,5 + D102*0,8)+(F101*0,5 + F102*0,8)/nº pessoas * 0,3. Fórmula do item 6.8 = (E103 + G103)/nº pessoas * 0,7</t>
  </si>
  <si>
    <t xml:space="preserve">Fórmula: = 0,7 se houver o cumprimento da lei referente ao registro e pagamento de hora extra de todos os funcionários; auxílios e benefícios acréscimo - máx.0,3 </t>
  </si>
  <si>
    <t>E129+E130+E131+E132+(E133*2)+ (0,4*E134)+(0,4*E135)+(0,2*E136)/7</t>
  </si>
  <si>
    <t>(0,4*E144)+(0,4*E145)+(0,3*E146)+ (0,4*E148)</t>
  </si>
  <si>
    <t>(F174+F175+F176+F177+178)</t>
  </si>
  <si>
    <t>Não se aplica</t>
  </si>
  <si>
    <t>Fórmula: 0,7, se atende todas as regras, conforme legislação ambiental vigente (EPI; armazenamento e devolução de embalagens)</t>
  </si>
  <si>
    <t>12.2 - Fator Ponderação</t>
  </si>
  <si>
    <t>Classificação</t>
  </si>
  <si>
    <t>Muito Arg.</t>
  </si>
  <si>
    <t>12.2 - Fórmulas</t>
  </si>
  <si>
    <t xml:space="preserve"> Yo + ax + bx2 + cx3 </t>
  </si>
  <si>
    <t xml:space="preserve">Fórmula2 = Yo + ax </t>
  </si>
  <si>
    <t>Yo</t>
  </si>
  <si>
    <t>b</t>
  </si>
  <si>
    <t>c</t>
  </si>
  <si>
    <t>12.2 - Representação Gráfica</t>
  </si>
  <si>
    <t>12.3 - Fator Ponderação</t>
  </si>
  <si>
    <t>12.3 - Fórmulas</t>
  </si>
  <si>
    <t xml:space="preserve"> Yo + ax </t>
  </si>
  <si>
    <r>
      <t>F</t>
    </r>
    <r>
      <rPr>
        <vertAlign val="subscript"/>
        <sz val="9"/>
        <color rgb="FFC00000"/>
        <rFont val="Arial"/>
        <family val="2"/>
      </rPr>
      <t>2</t>
    </r>
    <r>
      <rPr>
        <sz val="9"/>
        <color rgb="FFC00000"/>
        <rFont val="Arial"/>
        <family val="2"/>
      </rPr>
      <t xml:space="preserve"> = Yo + ax + bx</t>
    </r>
    <r>
      <rPr>
        <vertAlign val="subscript"/>
        <sz val="9"/>
        <color rgb="FFC00000"/>
        <rFont val="Arial"/>
        <family val="2"/>
      </rPr>
      <t>2</t>
    </r>
    <r>
      <rPr>
        <sz val="9"/>
        <color rgb="FFC00000"/>
        <rFont val="Arial"/>
        <family val="2"/>
      </rPr>
      <t xml:space="preserve"> </t>
    </r>
  </si>
  <si>
    <r>
      <t>F</t>
    </r>
    <r>
      <rPr>
        <vertAlign val="subscript"/>
        <sz val="9"/>
        <color rgb="FFC00000"/>
        <rFont val="Arial"/>
        <family val="2"/>
      </rPr>
      <t>3</t>
    </r>
    <r>
      <rPr>
        <sz val="9"/>
        <color rgb="FFC00000"/>
        <rFont val="Arial"/>
        <family val="2"/>
      </rPr>
      <t xml:space="preserve"> = Yo + ax </t>
    </r>
  </si>
  <si>
    <r>
      <t>F</t>
    </r>
    <r>
      <rPr>
        <vertAlign val="subscript"/>
        <sz val="8"/>
        <color rgb="FFC00000"/>
        <rFont val="Arial"/>
        <family val="2"/>
      </rPr>
      <t>1</t>
    </r>
    <r>
      <rPr>
        <sz val="8"/>
        <color rgb="FFC00000"/>
        <rFont val="Arial"/>
        <family val="2"/>
      </rPr>
      <t xml:space="preserve"> = Yo + ax + bx</t>
    </r>
    <r>
      <rPr>
        <vertAlign val="subscript"/>
        <sz val="8"/>
        <color rgb="FFC00000"/>
        <rFont val="Arial"/>
        <family val="2"/>
      </rPr>
      <t>2</t>
    </r>
    <r>
      <rPr>
        <sz val="8"/>
        <color rgb="FFC00000"/>
        <rFont val="Arial"/>
        <family val="2"/>
      </rPr>
      <t xml:space="preserve"> </t>
    </r>
  </si>
  <si>
    <r>
      <t>F</t>
    </r>
    <r>
      <rPr>
        <vertAlign val="subscript"/>
        <sz val="8"/>
        <color rgb="FFC00000"/>
        <rFont val="Arial"/>
        <family val="2"/>
      </rPr>
      <t>2</t>
    </r>
    <r>
      <rPr>
        <sz val="8"/>
        <color rgb="FFC00000"/>
        <rFont val="Arial"/>
        <family val="2"/>
      </rPr>
      <t xml:space="preserve"> = Yo + ax + bx</t>
    </r>
    <r>
      <rPr>
        <vertAlign val="subscript"/>
        <sz val="8"/>
        <color rgb="FFC00000"/>
        <rFont val="Arial"/>
        <family val="2"/>
      </rPr>
      <t>2</t>
    </r>
    <r>
      <rPr>
        <sz val="8"/>
        <color rgb="FFC00000"/>
        <rFont val="Arial"/>
        <family val="2"/>
      </rPr>
      <t xml:space="preserve"> </t>
    </r>
  </si>
  <si>
    <r>
      <t>F</t>
    </r>
    <r>
      <rPr>
        <vertAlign val="subscript"/>
        <sz val="8"/>
        <color rgb="FFC00000"/>
        <rFont val="Arial"/>
        <family val="2"/>
      </rPr>
      <t>3</t>
    </r>
    <r>
      <rPr>
        <sz val="8"/>
        <color rgb="FFC00000"/>
        <rFont val="Arial"/>
        <family val="2"/>
      </rPr>
      <t xml:space="preserve"> = Yo + ax </t>
    </r>
  </si>
  <si>
    <t>12.3 - Representação Gráfica</t>
  </si>
  <si>
    <t>12.4 - Fator Ponderação</t>
  </si>
  <si>
    <t>12.4 - Fórmulas</t>
  </si>
  <si>
    <t xml:space="preserve">F1 = Yo + ax + bx2 </t>
  </si>
  <si>
    <t xml:space="preserve">F2 = Yo + ax + bx2 </t>
  </si>
  <si>
    <t xml:space="preserve">F3 = Yo + ax </t>
  </si>
  <si>
    <t>12.4 - Representação Gráfica</t>
  </si>
  <si>
    <t>12.5 - Fator Ponderação</t>
  </si>
  <si>
    <t>12.5 - Fórmulas</t>
  </si>
  <si>
    <t>12.5 - Representação Gráfica</t>
  </si>
  <si>
    <t>12.6 - Fator Ponderação</t>
  </si>
  <si>
    <t>12.6 - Fórmulas</t>
  </si>
  <si>
    <t>12.6 - Representação Gráfica</t>
  </si>
  <si>
    <t>12.7 - Fator Ponderação</t>
  </si>
  <si>
    <t>12.7 - Fórmulas</t>
  </si>
  <si>
    <t>12.7 - Representação Gráfica</t>
  </si>
  <si>
    <t>12.8 - Fator Ponderação</t>
  </si>
  <si>
    <t>12.8 - Fórmulas</t>
  </si>
  <si>
    <t>12.8 - Representação Gráfica</t>
  </si>
  <si>
    <t>12.9 - Fator Ponderação</t>
  </si>
  <si>
    <t>12.9 - Fórmulas</t>
  </si>
  <si>
    <t>12.9 - Representação Gráfica</t>
  </si>
  <si>
    <t>12.10 - Fator Ponderação</t>
  </si>
  <si>
    <t>12.10 - Fórmulas</t>
  </si>
  <si>
    <t xml:space="preserve">Fórmula1 = Yo + ax </t>
  </si>
  <si>
    <r>
      <t>Fórmula2</t>
    </r>
    <r>
      <rPr>
        <vertAlign val="superscript"/>
        <sz val="8"/>
        <color rgb="FFC00000"/>
        <rFont val="Arial"/>
        <family val="2"/>
      </rPr>
      <t xml:space="preserve"> </t>
    </r>
    <r>
      <rPr>
        <sz val="8"/>
        <color rgb="FFC00000"/>
        <rFont val="Arial"/>
        <family val="2"/>
      </rPr>
      <t xml:space="preserve">= Yo + ax+bx2 </t>
    </r>
  </si>
  <si>
    <t>12.10 - Representação Gráfica</t>
  </si>
  <si>
    <t>12 - Fórmulas</t>
  </si>
  <si>
    <t>Fórmula - Média dos resultados parciais dos itens 12.2, 12.3 e 12.10 = (C198 +C206 +C256)/3</t>
  </si>
  <si>
    <t>pH - Padrões Estabelecidos</t>
  </si>
  <si>
    <r>
      <t>Classificação</t>
    </r>
    <r>
      <rPr>
        <vertAlign val="superscript"/>
        <sz val="9"/>
        <rFont val="Arial"/>
        <family val="2"/>
      </rPr>
      <t>1</t>
    </r>
  </si>
  <si>
    <r>
      <t>Ponderação</t>
    </r>
    <r>
      <rPr>
        <vertAlign val="superscript"/>
        <sz val="10"/>
        <rFont val="Arial"/>
        <family val="2"/>
      </rPr>
      <t>2</t>
    </r>
  </si>
  <si>
    <t xml:space="preserve"> Res. CONAMA 357/05</t>
  </si>
  <si>
    <t>Portaria 518/04 M.S.*</t>
  </si>
  <si>
    <t>entre 6 e 9,0</t>
  </si>
  <si>
    <t>Entre  6 e 9 para todas as classes</t>
  </si>
  <si>
    <t>Entre  6 e 9,5 na distribuição para consumo humano</t>
  </si>
  <si>
    <t>pH &lt; 6 e &gt; 9,0</t>
  </si>
  <si>
    <t>* Ministério da Saúde</t>
  </si>
  <si>
    <t xml:space="preserve">Coliformes fecais - Padrões </t>
  </si>
  <si>
    <t>UFC &lt; 1.000</t>
  </si>
  <si>
    <t>Valor máximo - 1.000 coliformes fecais por  100 mililitros em 80% ou mais de pelo menos 06 amostras</t>
  </si>
  <si>
    <t>Para abastecimento humano deve haver ausência em amostra de 100 ml (VMP)</t>
  </si>
  <si>
    <t>UFC &gt; 1.000</t>
  </si>
  <si>
    <t>Turbidez - Padrões Estabelecidos</t>
  </si>
  <si>
    <t>até 100 UNT</t>
  </si>
  <si>
    <t>Ambiente lêntico até 100 UNT para a classe 2</t>
  </si>
  <si>
    <t>Turbidez - 5 UNT na distribuição para consumo humano</t>
  </si>
  <si>
    <t>acima de 100 UNT</t>
  </si>
  <si>
    <t>Nitrato - Padrões Estabelecidos</t>
  </si>
  <si>
    <t>até 10 mg/L N</t>
  </si>
  <si>
    <t>Valor máximo 10 mg/L N</t>
  </si>
  <si>
    <r>
      <t>Valor máximo de NO</t>
    </r>
    <r>
      <rPr>
        <vertAlign val="subscript"/>
        <sz val="9"/>
        <rFont val="Arial"/>
        <family val="2"/>
      </rPr>
      <t>3</t>
    </r>
    <r>
      <rPr>
        <vertAlign val="superscript"/>
        <sz val="9"/>
        <rFont val="Arial"/>
        <family val="2"/>
      </rPr>
      <t>-</t>
    </r>
    <r>
      <rPr>
        <sz val="9"/>
        <rFont val="Arial"/>
        <family val="2"/>
      </rPr>
      <t xml:space="preserve"> para classe 2: 44,3 mg/L </t>
    </r>
  </si>
  <si>
    <t xml:space="preserve">acima de 10 mg/L N </t>
  </si>
  <si>
    <t>Indicadores do Questionário dos itens 18.1 a 18.10, a montante e a jusante, multiplicado pelo peso das colunas (esquerda peso 4, do meio peso 2 e da direita 0) e multiplicado pelos fatores de ponderação de cada item. Os valores totais foram transformados no intervalo de 0 a 100</t>
  </si>
  <si>
    <t>Fórmula resultado parcial</t>
  </si>
  <si>
    <t>Média dos resultados dos parâmetros do item 13.1 considerando os fatores de ponderação em cada item</t>
  </si>
  <si>
    <t>entre 6 e 9,5</t>
  </si>
  <si>
    <t>pH &lt; 6 e &gt; 9,5</t>
  </si>
  <si>
    <r>
      <rPr>
        <vertAlign val="superscript"/>
        <sz val="8"/>
        <rFont val="Arial"/>
        <family val="2"/>
      </rPr>
      <t>1</t>
    </r>
    <r>
      <rPr>
        <sz val="8"/>
        <rFont val="Arial"/>
        <family val="2"/>
      </rPr>
      <t>Portaria 518/04 Ministério da Saúde</t>
    </r>
  </si>
  <si>
    <t>Padrões Estabelecidos</t>
  </si>
  <si>
    <r>
      <t>Ponderação</t>
    </r>
    <r>
      <rPr>
        <vertAlign val="superscript"/>
        <sz val="9"/>
        <rFont val="Arial"/>
        <family val="2"/>
      </rPr>
      <t>2</t>
    </r>
  </si>
  <si>
    <t xml:space="preserve"> Res. CONAMA 396/08</t>
  </si>
  <si>
    <t>ausente</t>
  </si>
  <si>
    <t>Para abastecimento humano - ausência em amostra de 100 mL (VMP); para dessedentação de animais 200/100 mL</t>
  </si>
  <si>
    <t>Para abastecimento humano deve haver ausência em amostra de 100 mL (VMP)</t>
  </si>
  <si>
    <t>&gt;0</t>
  </si>
  <si>
    <t>&lt;= 10</t>
  </si>
  <si>
    <r>
      <t xml:space="preserve">Segundo essa resolução o valor máximo permitido (VMP) para consumo humano é de </t>
    </r>
    <r>
      <rPr>
        <sz val="8"/>
        <color indexed="8"/>
        <rFont val="Arial"/>
        <family val="2"/>
      </rPr>
      <t>10 mg.  L</t>
    </r>
    <r>
      <rPr>
        <vertAlign val="superscript"/>
        <sz val="8"/>
        <color indexed="8"/>
        <rFont val="Arial"/>
        <family val="2"/>
      </rPr>
      <t>-1</t>
    </r>
    <r>
      <rPr>
        <sz val="8"/>
        <color indexed="8"/>
        <rFont val="Arial"/>
        <family val="2"/>
      </rPr>
      <t xml:space="preserve"> de N)</t>
    </r>
  </si>
  <si>
    <r>
      <t>Valor máximo permitido 10 mg L</t>
    </r>
    <r>
      <rPr>
        <vertAlign val="superscript"/>
        <sz val="9"/>
        <rFont val="Arial"/>
        <family val="2"/>
      </rPr>
      <t>-1</t>
    </r>
    <r>
      <rPr>
        <sz val="9"/>
        <rFont val="Arial"/>
        <family val="2"/>
      </rPr>
      <t xml:space="preserve"> de N</t>
    </r>
  </si>
  <si>
    <t>&gt; 10</t>
  </si>
  <si>
    <t>Fórmula resultado final</t>
  </si>
  <si>
    <t>Fórmula - (D287 + D291 + H291)/3</t>
  </si>
  <si>
    <t>Fórmula - resultado parcial da qualidade da água superficial x 2 + resultado superficial da qualidade da água subterrânea/3</t>
  </si>
  <si>
    <t>não utiliza</t>
  </si>
  <si>
    <r>
      <t xml:space="preserve">Vulnerabilidade do talhão: </t>
    </r>
    <r>
      <rPr>
        <sz val="9"/>
        <rFont val="Arial"/>
        <family val="2"/>
      </rPr>
      <t xml:space="preserve">itens </t>
    </r>
    <r>
      <rPr>
        <sz val="10"/>
        <rFont val="Arial"/>
        <family val="2"/>
      </rPr>
      <t>14.10</t>
    </r>
    <r>
      <rPr>
        <sz val="9"/>
        <rFont val="Arial"/>
        <family val="2"/>
      </rPr>
      <t xml:space="preserve"> x </t>
    </r>
    <r>
      <rPr>
        <sz val="10"/>
        <rFont val="Arial"/>
        <family val="2"/>
      </rPr>
      <t>14.11</t>
    </r>
    <r>
      <rPr>
        <sz val="11"/>
        <rFont val="Arial"/>
        <family val="2"/>
      </rPr>
      <t xml:space="preserve"> </t>
    </r>
    <r>
      <rPr>
        <sz val="9"/>
        <rFont val="Arial"/>
        <family val="2"/>
      </rPr>
      <t xml:space="preserve">x </t>
    </r>
    <r>
      <rPr>
        <sz val="10"/>
        <rFont val="Arial"/>
        <family val="2"/>
      </rPr>
      <t xml:space="preserve">14.12 </t>
    </r>
    <r>
      <rPr>
        <sz val="9"/>
        <rFont val="Arial"/>
        <family val="2"/>
      </rPr>
      <t xml:space="preserve">= 1 a 3 </t>
    </r>
    <r>
      <rPr>
        <sz val="10"/>
        <rFont val="Arial"/>
        <family val="2"/>
      </rPr>
      <t>(1)</t>
    </r>
    <r>
      <rPr>
        <sz val="9"/>
        <rFont val="Arial"/>
        <family val="2"/>
      </rPr>
      <t xml:space="preserve">; 4 a 9 </t>
    </r>
    <r>
      <rPr>
        <sz val="10"/>
        <rFont val="Arial"/>
        <family val="2"/>
      </rPr>
      <t>(2)</t>
    </r>
    <r>
      <rPr>
        <sz val="9"/>
        <rFont val="Arial"/>
        <family val="2"/>
      </rPr>
      <t xml:space="preserve">; 12 a 27 </t>
    </r>
    <r>
      <rPr>
        <sz val="10"/>
        <rFont val="Arial"/>
        <family val="2"/>
      </rPr>
      <t>(3)</t>
    </r>
  </si>
  <si>
    <t>Rc: 1 a 2</t>
  </si>
  <si>
    <t>Rc: 2 e 4</t>
  </si>
  <si>
    <t>Rc: 6 e 9</t>
  </si>
  <si>
    <t>Pci</t>
  </si>
  <si>
    <t>vulnerabilidade</t>
  </si>
  <si>
    <t>Risco</t>
  </si>
  <si>
    <t>Cálculo do risco</t>
  </si>
  <si>
    <t>GUS</t>
  </si>
  <si>
    <t>Potencial de contaminação</t>
  </si>
  <si>
    <t>Risco de contaminação</t>
  </si>
  <si>
    <t>Vulnerabilidade do talhão</t>
  </si>
  <si>
    <t>14.17 - Média do risco de contaminação</t>
  </si>
  <si>
    <t>Volume total de agrotóxicos utilizados em 1 ano</t>
  </si>
  <si>
    <t>Área total de lavoura (incluindo rotações)</t>
  </si>
  <si>
    <t>Volume total / área identificada nos talhões</t>
  </si>
  <si>
    <t>Volume total / área com uso agropecuário</t>
  </si>
  <si>
    <t>Até 5%</t>
  </si>
  <si>
    <t>5%-10%</t>
  </si>
  <si>
    <t>&gt; 10%</t>
  </si>
  <si>
    <t>item 15.1</t>
  </si>
  <si>
    <t>Acima de 10%</t>
  </si>
  <si>
    <t>avançado</t>
  </si>
  <si>
    <t>intermediário</t>
  </si>
  <si>
    <t>inicial</t>
  </si>
  <si>
    <t>item 15.2</t>
  </si>
  <si>
    <t>redução</t>
  </si>
  <si>
    <t>inalterado</t>
  </si>
  <si>
    <t>intensificação</t>
  </si>
  <si>
    <t>Fórmula - verifica a proporção da área em processo de degradação em relação à área total e ao grau de intensidade do fenômeno. Após o cálculo, multiplica o valor final pelo fator 1,2, se verificada tendência de redução do estádio de degradação ou pelo fator 0,8, se a tendência é de intensificação do estádio de degradação.</t>
  </si>
  <si>
    <t>Área Total da propriedade no croqui (ha)=&gt;</t>
  </si>
  <si>
    <t>Campo rupestre/altitude</t>
  </si>
  <si>
    <t>18.1 - Fórmulas: Se a área total com vegetação nativa for superior a 20% da área total do estabelecimento, acréscimo de 10% no resultado final.</t>
  </si>
  <si>
    <t>Campo higrófilo de várzea</t>
  </si>
  <si>
    <t>Estádio avançado</t>
  </si>
  <si>
    <t>Estádio intermediário</t>
  </si>
  <si>
    <t>Estádio inicial</t>
  </si>
  <si>
    <t>Cerradão</t>
  </si>
  <si>
    <t>Veredas</t>
  </si>
  <si>
    <t>Fatores de ponderação</t>
  </si>
  <si>
    <t>Mata Atlântica/Mata Seca</t>
  </si>
  <si>
    <t>Nº de fragmentos</t>
  </si>
  <si>
    <t>Vegetação de caatinga</t>
  </si>
  <si>
    <t>Área total vegetação nativa (%)</t>
  </si>
  <si>
    <t xml:space="preserve">18.2 - Se a área com vegetação nativa &lt; 5% da área total, rebate de 35% no resultado final </t>
  </si>
  <si>
    <t>18.2 - Fórmula= 1,1 - 0,1x</t>
  </si>
  <si>
    <r>
      <t xml:space="preserve">Estádio inicial </t>
    </r>
    <r>
      <rPr>
        <sz val="9"/>
        <color rgb="FFC00000"/>
        <rFont val="Calibri"/>
        <family val="2"/>
        <scheme val="minor"/>
      </rPr>
      <t xml:space="preserve">- </t>
    </r>
    <r>
      <rPr>
        <sz val="9"/>
        <rFont val="Calibri"/>
        <family val="2"/>
        <scheme val="minor"/>
      </rPr>
      <t xml:space="preserve">ausência de estratificação definida/predominância de indivíduos jovens com até 5 m, diâmetro altura do peito de 10 cm; serapilheira fina camada/Embaúba, Esporão de Galo, Assa Peixe, Camará, etc. </t>
    </r>
  </si>
  <si>
    <r>
      <t xml:space="preserve">Estádio médio </t>
    </r>
    <r>
      <rPr>
        <sz val="9"/>
        <color rgb="FFC00000"/>
        <rFont val="Calibri"/>
        <family val="2"/>
        <scheme val="minor"/>
      </rPr>
      <t xml:space="preserve">- </t>
    </r>
    <r>
      <rPr>
        <sz val="9"/>
        <rFont val="Calibri"/>
        <family val="2"/>
        <scheme val="minor"/>
      </rPr>
      <t>estratificação incipiente - 2 estratos - dossel e sub-bosque; árvores de 5 a 12 m de altura, redução gradativa de arbustos e arboredos; presença marcante de cipós; maior riqueza e abundância de epífitas; serapilheira presente; DAP entre 10 e 20 cm; predomínio de arbóreas.</t>
    </r>
  </si>
  <si>
    <r>
      <t>Estádio avançado</t>
    </r>
    <r>
      <rPr>
        <sz val="9"/>
        <color rgb="FFC00000"/>
        <rFont val="Calibri"/>
        <family val="2"/>
        <scheme val="minor"/>
      </rPr>
      <t xml:space="preserve"> - </t>
    </r>
    <r>
      <rPr>
        <sz val="9"/>
        <rFont val="Calibri"/>
        <family val="2"/>
        <scheme val="minor"/>
      </rPr>
      <t>três estratos - dossel, subdossel e sub-bosque; dossel superior 1 m de altura com ocorrência frequente de árvores emergentes; sub-bosque menos expressivo em relação ao estádio médio; menor densidade de cipós e arbustos, riqueza de epífitas; trepadeiras lenhosas; DAP superior a 18 cm.</t>
    </r>
  </si>
  <si>
    <t>Área com vegetação nativa - geoprocessamento (ha)</t>
  </si>
  <si>
    <t>Área com vegetação nativa/área total do estabelecimento (Geo)</t>
  </si>
  <si>
    <t xml:space="preserve">Uso adequado  </t>
  </si>
  <si>
    <t>Uso inadequado</t>
  </si>
  <si>
    <t>Uso da APP com qualquer atividade antrópica posterior a 2008 (informação do produtor)</t>
  </si>
  <si>
    <t>(0,9*G397)+(0,7*G398)+(0,3*G399) * % da área protegida * fator 1,5</t>
  </si>
  <si>
    <t>Proporção das APPs em relação a área total (%)  =&gt;</t>
  </si>
  <si>
    <t>Atual %</t>
  </si>
  <si>
    <t>RL fora do imóvel rural</t>
  </si>
  <si>
    <t>Área de RL (20%)</t>
  </si>
  <si>
    <t>Área de vegetação nativa em APP passível de ser computada na RL</t>
  </si>
  <si>
    <t>Demais áreas de vegetação nativa existente na propriedade passíveis de comporem a RL</t>
  </si>
  <si>
    <t>Área a ser recomposta ou compensada para fins de RL</t>
  </si>
  <si>
    <t>Área de vegetação nativa passível de constituir Cota de Reserva Ambiental (CRA)</t>
  </si>
  <si>
    <t>21.1</t>
  </si>
  <si>
    <t>Uso da terra</t>
  </si>
  <si>
    <t>Área</t>
  </si>
  <si>
    <t>% relativa</t>
  </si>
  <si>
    <r>
      <t>pi*Log</t>
    </r>
    <r>
      <rPr>
        <vertAlign val="subscript"/>
        <sz val="9"/>
        <rFont val="Arial"/>
        <family val="2"/>
      </rPr>
      <t>e</t>
    </r>
  </si>
  <si>
    <t>Índice Shanon - áreas produtivas e habitats naturais</t>
  </si>
  <si>
    <t>Lavoura Permanente</t>
  </si>
  <si>
    <t>21.2</t>
  </si>
  <si>
    <t>Fórmula =  y=a(1-exp(-bx))</t>
  </si>
  <si>
    <r>
      <t>r</t>
    </r>
    <r>
      <rPr>
        <vertAlign val="superscript"/>
        <sz val="9"/>
        <color rgb="FFC00000"/>
        <rFont val="Arial"/>
        <family val="2"/>
      </rPr>
      <t>2</t>
    </r>
  </si>
  <si>
    <t>Vegetação nativa 1</t>
  </si>
  <si>
    <t xml:space="preserve"> - Σpi loge pi</t>
  </si>
  <si>
    <t>Vegetação nativa 2</t>
  </si>
  <si>
    <t>Vegetação nativa 3</t>
  </si>
  <si>
    <t>Vegetação nativa 4</t>
  </si>
  <si>
    <t>Soma</t>
  </si>
  <si>
    <t>Proibido em junho de 2012</t>
  </si>
  <si>
    <t>Poderoso genotóxico e neurotóxico</t>
  </si>
  <si>
    <t>PRODUTO</t>
  </si>
  <si>
    <t>2,4 D</t>
  </si>
  <si>
    <t>Abamectina</t>
  </si>
  <si>
    <t>Acefato</t>
  </si>
  <si>
    <t>Actara</t>
  </si>
  <si>
    <t>Afalon</t>
  </si>
  <si>
    <t>Alto 100</t>
  </si>
  <si>
    <t>Amistar</t>
  </si>
  <si>
    <t>Amistar Top</t>
  </si>
  <si>
    <t>Ampligo</t>
  </si>
  <si>
    <t>Amplo</t>
  </si>
  <si>
    <t>Atrazina</t>
  </si>
  <si>
    <t>Basagran</t>
  </si>
  <si>
    <t>Belt</t>
  </si>
  <si>
    <t>Cipermetrina</t>
  </si>
  <si>
    <t>Classic</t>
  </si>
  <si>
    <t>Cobra</t>
  </si>
  <si>
    <t>Comet</t>
  </si>
  <si>
    <t>Connect</t>
  </si>
  <si>
    <t>Consento</t>
  </si>
  <si>
    <t>Crucial</t>
  </si>
  <si>
    <t>Curyom</t>
  </si>
  <si>
    <t>Daconil</t>
  </si>
  <si>
    <t>Danimen</t>
  </si>
  <si>
    <t>Decis</t>
  </si>
  <si>
    <t>Dimilim</t>
  </si>
  <si>
    <t>Diuron</t>
  </si>
  <si>
    <t>Dual Gold</t>
  </si>
  <si>
    <t>Endolssufan</t>
  </si>
  <si>
    <t>Engeo Pleno</t>
  </si>
  <si>
    <t>Flex</t>
  </si>
  <si>
    <t>Folicur</t>
  </si>
  <si>
    <t>Frowncide</t>
  </si>
  <si>
    <t>Fusifllex</t>
  </si>
  <si>
    <t>Fusilade</t>
  </si>
  <si>
    <t>Gesaprin</t>
  </si>
  <si>
    <t>Gramoxene</t>
  </si>
  <si>
    <t>Hostathion</t>
  </si>
  <si>
    <t>Impact</t>
  </si>
  <si>
    <t>IMPACTO ULTRA</t>
  </si>
  <si>
    <t>Imunit</t>
  </si>
  <si>
    <t>Intrepid 240 SC</t>
  </si>
  <si>
    <t>Karate</t>
  </si>
  <si>
    <t>Klapp</t>
  </si>
  <si>
    <t>Lannate</t>
  </si>
  <si>
    <t>Lanatte</t>
  </si>
  <si>
    <t>Lava Volcano</t>
  </si>
  <si>
    <t>Lorsban</t>
  </si>
  <si>
    <t>Majesty</t>
  </si>
  <si>
    <t>MALATHION</t>
  </si>
  <si>
    <t>Mancozeb</t>
  </si>
  <si>
    <t>Match</t>
  </si>
  <si>
    <t>Mertin</t>
  </si>
  <si>
    <t>Metamido-fos</t>
  </si>
  <si>
    <t>Metomil</t>
  </si>
  <si>
    <t>Nativo</t>
  </si>
  <si>
    <t>Nomolt</t>
  </si>
  <si>
    <t>Nufos</t>
  </si>
  <si>
    <t>Opera</t>
  </si>
  <si>
    <t>Orthene</t>
  </si>
  <si>
    <t>Captana</t>
  </si>
  <si>
    <t>Pounce</t>
  </si>
  <si>
    <t>Premio</t>
  </si>
  <si>
    <t>Priori Xtra</t>
  </si>
  <si>
    <t>Propiconazole</t>
  </si>
  <si>
    <t>round up</t>
  </si>
  <si>
    <t>Sanson</t>
  </si>
  <si>
    <t>Soberan</t>
  </si>
  <si>
    <t>Soberano</t>
  </si>
  <si>
    <t>Standak</t>
  </si>
  <si>
    <t>Stron</t>
  </si>
  <si>
    <t>Sumysim</t>
  </si>
  <si>
    <t>Talento</t>
  </si>
  <si>
    <t>Temik</t>
  </si>
  <si>
    <t>Thiodam</t>
  </si>
  <si>
    <t>Tilt</t>
  </si>
  <si>
    <t>Torque</t>
  </si>
  <si>
    <t>Turbo</t>
  </si>
  <si>
    <t>Velpar k</t>
  </si>
  <si>
    <t>Verdadero 600wg</t>
  </si>
  <si>
    <t>Vertimec</t>
  </si>
  <si>
    <t>Zignal</t>
  </si>
  <si>
    <r>
      <t xml:space="preserve">Princípio ativo </t>
    </r>
    <r>
      <rPr>
        <b/>
        <sz val="14"/>
        <color rgb="FFFF0000"/>
        <rFont val="Calibri"/>
        <family val="2"/>
      </rPr>
      <t>(IUPAC)</t>
    </r>
  </si>
  <si>
    <t>abamectin</t>
  </si>
  <si>
    <t>acephate</t>
  </si>
  <si>
    <t>thiamethoxan</t>
  </si>
  <si>
    <t>linuron</t>
  </si>
  <si>
    <t>cyproconazole</t>
  </si>
  <si>
    <t>azoxystrobin</t>
  </si>
  <si>
    <t>difenoconazole</t>
  </si>
  <si>
    <t>chlorantraniliprole</t>
  </si>
  <si>
    <t>Imazamoxi</t>
  </si>
  <si>
    <t>atrazine</t>
  </si>
  <si>
    <t>bentazone</t>
  </si>
  <si>
    <t>flubendiamide</t>
  </si>
  <si>
    <t>cypermethrin</t>
  </si>
  <si>
    <t>chlorimuron-ethyl</t>
  </si>
  <si>
    <t>lactofen</t>
  </si>
  <si>
    <t>pyraclostrobin</t>
  </si>
  <si>
    <t>imidacloprid</t>
  </si>
  <si>
    <t>Fenamidone</t>
  </si>
  <si>
    <t>glyphosate</t>
  </si>
  <si>
    <t>lufenuron</t>
  </si>
  <si>
    <t>Chlorothalonil</t>
  </si>
  <si>
    <t>fenpropathrin</t>
  </si>
  <si>
    <t>deltamethrin</t>
  </si>
  <si>
    <t>diflubenzuron</t>
  </si>
  <si>
    <t>diuron</t>
  </si>
  <si>
    <t>S-metolachlor</t>
  </si>
  <si>
    <t>endosulfan</t>
  </si>
  <si>
    <t>thiamethoxam</t>
  </si>
  <si>
    <t>fomesafen</t>
  </si>
  <si>
    <t>tebuconazole</t>
  </si>
  <si>
    <t>fluazinam</t>
  </si>
  <si>
    <t>fluazifop-p-buthyl</t>
  </si>
  <si>
    <t>paraquat</t>
  </si>
  <si>
    <t>triazophos</t>
  </si>
  <si>
    <t>flutriafol</t>
  </si>
  <si>
    <t>teflubenzuron</t>
  </si>
  <si>
    <t>methoxyfenozide</t>
  </si>
  <si>
    <t>lambda-cyhalothrin</t>
  </si>
  <si>
    <t>fipronil</t>
  </si>
  <si>
    <t>methomyl</t>
  </si>
  <si>
    <t>methomyl </t>
  </si>
  <si>
    <t>tebuthiuron</t>
  </si>
  <si>
    <t>chlorpyrifos</t>
  </si>
  <si>
    <t>malathion</t>
  </si>
  <si>
    <t>mancozeb</t>
  </si>
  <si>
    <t>fentin hydroxide</t>
  </si>
  <si>
    <t>metamidophos</t>
  </si>
  <si>
    <t>epoxiconazole</t>
  </si>
  <si>
    <t xml:space="preserve">Acephate </t>
  </si>
  <si>
    <t>Captan</t>
  </si>
  <si>
    <t>permethrin</t>
  </si>
  <si>
    <t>ciproconazole</t>
  </si>
  <si>
    <t>propiconazole</t>
  </si>
  <si>
    <t>gliphosate</t>
  </si>
  <si>
    <t>nicosulfuron</t>
  </si>
  <si>
    <t>Tembotrione</t>
  </si>
  <si>
    <t>methamidophos</t>
  </si>
  <si>
    <t>flumioxazine</t>
  </si>
  <si>
    <t>metsulfuron-methyl</t>
  </si>
  <si>
    <t>aldicarb</t>
  </si>
  <si>
    <t>fenbutatin oxide</t>
  </si>
  <si>
    <t>beta-cyfluthrin</t>
  </si>
  <si>
    <t>hexazinone</t>
  </si>
  <si>
    <r>
      <rPr>
        <sz val="10"/>
        <rFont val="Arial"/>
        <family val="2"/>
      </rPr>
      <t xml:space="preserve">14.5 - </t>
    </r>
    <r>
      <rPr>
        <sz val="11"/>
        <rFont val="Arial"/>
        <family val="2"/>
      </rPr>
      <t>Princípio Ativo do produto</t>
    </r>
  </si>
  <si>
    <t>abamectim</t>
  </si>
  <si>
    <t>Thiamethoxam</t>
  </si>
  <si>
    <t>Linurom</t>
  </si>
  <si>
    <t>ciproconazol</t>
  </si>
  <si>
    <t>Azostrobina</t>
  </si>
  <si>
    <t>Difenoconazole</t>
  </si>
  <si>
    <t>Clorantraniliprole</t>
  </si>
  <si>
    <t>atrazina</t>
  </si>
  <si>
    <t>bentazona</t>
  </si>
  <si>
    <t>Flubendiamida</t>
  </si>
  <si>
    <t>clorimurom-etílico</t>
  </si>
  <si>
    <t>lactofem</t>
  </si>
  <si>
    <t>Piraclostrobina</t>
  </si>
  <si>
    <t>Fenamidona</t>
  </si>
  <si>
    <t>glifosato</t>
  </si>
  <si>
    <t>Fenpropatrina</t>
  </si>
  <si>
    <t>Deltametrina</t>
  </si>
  <si>
    <t>Diflubenzuron</t>
  </si>
  <si>
    <t>S−Metacloro</t>
  </si>
  <si>
    <t>endossulfan</t>
  </si>
  <si>
    <t>Tiametoxan</t>
  </si>
  <si>
    <t>Fomesafem</t>
  </si>
  <si>
    <t>tebucozanol</t>
  </si>
  <si>
    <t>Fluazinan</t>
  </si>
  <si>
    <t>fomesafem</t>
  </si>
  <si>
    <t>Fluazifop-P-butílico</t>
  </si>
  <si>
    <t>Paraquate</t>
  </si>
  <si>
    <t>triazofós</t>
  </si>
  <si>
    <t>Flutriafol</t>
  </si>
  <si>
    <t>Teflubenzuron</t>
  </si>
  <si>
    <t>methoxifenozide</t>
  </si>
  <si>
    <t>Lambda-cialotrina</t>
  </si>
  <si>
    <t>Clorpirifus</t>
  </si>
  <si>
    <t>Malation</t>
  </si>
  <si>
    <t>Hidróxido de Fentina</t>
  </si>
  <si>
    <t>Metamidofos</t>
  </si>
  <si>
    <t>Chlorpyrifos</t>
  </si>
  <si>
    <t>epoxiconazol</t>
  </si>
  <si>
    <t>permetrina</t>
  </si>
  <si>
    <t>Ciproconazol</t>
  </si>
  <si>
    <t>Nicossulfurom</t>
  </si>
  <si>
    <t>metamidofós</t>
  </si>
  <si>
    <t>flumioxazin</t>
  </si>
  <si>
    <t>metsulfurom metílico</t>
  </si>
  <si>
    <t>aldicarbe</t>
  </si>
  <si>
    <t>Propiconazol</t>
  </si>
  <si>
    <t>óxido de fembutatina</t>
  </si>
  <si>
    <t>Beta-Ciflutrina</t>
  </si>
  <si>
    <t>Hexazinoma</t>
  </si>
  <si>
    <t>Tiametoxam</t>
  </si>
  <si>
    <t>abamectina</t>
  </si>
  <si>
    <t>Fluazinam</t>
  </si>
  <si>
    <r>
      <rPr>
        <sz val="10"/>
        <rFont val="Arial"/>
        <family val="2"/>
      </rPr>
      <t xml:space="preserve">14.6 - </t>
    </r>
    <r>
      <rPr>
        <sz val="11"/>
        <rFont val="Arial"/>
        <family val="2"/>
      </rPr>
      <t>Toxicidade para peixes</t>
    </r>
    <r>
      <rPr>
        <sz val="12"/>
        <rFont val="Arial"/>
        <family val="2"/>
      </rPr>
      <t xml:space="preserve"> </t>
    </r>
    <r>
      <rPr>
        <sz val="10"/>
        <rFont val="Arial"/>
        <family val="2"/>
      </rPr>
      <t xml:space="preserve">- </t>
    </r>
    <r>
      <rPr>
        <sz val="8"/>
        <rFont val="Arial"/>
        <family val="2"/>
      </rPr>
      <t>96h LC50</t>
    </r>
    <r>
      <rPr>
        <sz val="12"/>
        <rFont val="Arial"/>
        <family val="2"/>
      </rPr>
      <t xml:space="preserve"> (mg l</t>
    </r>
    <r>
      <rPr>
        <vertAlign val="superscript"/>
        <sz val="12"/>
        <rFont val="Arial"/>
        <family val="2"/>
      </rPr>
      <t>-1</t>
    </r>
    <r>
      <rPr>
        <sz val="12"/>
        <rFont val="Arial"/>
        <family val="2"/>
      </rPr>
      <t>)</t>
    </r>
  </si>
  <si>
    <t>Índice para Toxicidade do produto</t>
  </si>
  <si>
    <t>226.1</t>
  </si>
  <si>
    <t>25.2</t>
  </si>
  <si>
    <r>
      <rPr>
        <sz val="14"/>
        <rFont val="Calibri"/>
        <family val="2"/>
      </rPr>
      <t xml:space="preserve">Índice de vulnerabilidade </t>
    </r>
    <r>
      <rPr>
        <b/>
        <sz val="14"/>
        <color rgb="FFFF0000"/>
        <rFont val="Calibri"/>
        <family val="2"/>
      </rPr>
      <t xml:space="preserve">GUS (IUPAC) </t>
    </r>
  </si>
  <si>
    <t>0.90</t>
  </si>
  <si>
    <t>4.22</t>
  </si>
  <si>
    <t>-2.12</t>
  </si>
  <si>
    <t>-0.85</t>
  </si>
  <si>
    <t>3.82</t>
  </si>
  <si>
    <t>-6.95</t>
  </si>
  <si>
    <t>-0.82</t>
  </si>
  <si>
    <t>-1.00</t>
  </si>
  <si>
    <t>0.15</t>
  </si>
  <si>
    <t>3.22</t>
  </si>
  <si>
    <t>-0.90</t>
  </si>
  <si>
    <t>1.73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</si>
</sst>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4" formatCode="_-&quot;R$&quot;\ * #,##0.00_-;\-&quot;R$&quot;\ * #,##0.00_-;_-&quot;R$&quot;\ * &quot;-&quot;??_-;_-@_-"/>
    <numFmt numFmtId="43" formatCode="_-* #,##0.00_-;\-* #,##0.00_-;_-* &quot;-&quot;??_-;_-@_-"/>
    <numFmt numFmtId="164" formatCode="0.0"/>
    <numFmt numFmtId="165" formatCode="0.0000"/>
    <numFmt numFmtId="166" formatCode="0.000"/>
    <numFmt numFmtId="167" formatCode="0.0%"/>
    <numFmt numFmtId="168" formatCode="_-* #,##0_-;\-* #,##0_-;_-* &quot;-&quot;??_-;_-@_-"/>
    <numFmt numFmtId="169" formatCode="_-* #,##0.0_-;\-* #,##0.0_-;_-* &quot;-&quot;??_-;_-@_-"/>
    <numFmt numFmtId="170" formatCode="#,##0.00_ ;\-#,##0.00\ "/>
    <numFmt numFmtId="171" formatCode="#,##0.0"/>
    <numFmt numFmtId="172" formatCode="dd/mm/yy;@"/>
    <numFmt numFmtId="173" formatCode="#,##0.000"/>
    <numFmt numFmtId="174" formatCode="_-&quot;R$ &quot;* #,##0.00_-;&quot;-R$ &quot;* #,##0.00_-;_-&quot;R$ &quot;* \-??_-;_-@_-"/>
    <numFmt numFmtId="175" formatCode="#,##0.00\ ;\-#,##0.00\ ;&quot; -&quot;#\ ;@\ "/>
    <numFmt numFmtId="176" formatCode="[$-416]General"/>
    <numFmt numFmtId="177" formatCode="#,##0.000;[Red]#,##0.000"/>
    <numFmt numFmtId="178" formatCode="#,##0.0000"/>
    <numFmt numFmtId="179" formatCode="000000000\-00"/>
  </numFmts>
  <fonts count="211" x14ac:knownFonts="1">
    <font>
      <sz val="11"/>
      <color theme="1"/>
      <name val="Calibri"/>
      <family val="2"/>
      <scheme val="minor"/>
    </font>
    <font>
      <sz val="10"/>
      <name val="Arial"/>
      <family val="2"/>
    </font>
    <font>
      <sz val="11"/>
      <name val="Arial"/>
      <family val="2"/>
    </font>
    <font>
      <b/>
      <sz val="12"/>
      <name val="Arial"/>
      <family val="2"/>
    </font>
    <font>
      <sz val="10"/>
      <name val="Arial"/>
      <family val="2"/>
    </font>
    <font>
      <sz val="9"/>
      <name val="Arial"/>
      <family val="2"/>
    </font>
    <font>
      <b/>
      <sz val="10"/>
      <name val="Arial"/>
      <family val="2"/>
    </font>
    <font>
      <sz val="12"/>
      <name val="Arial"/>
      <family val="2"/>
    </font>
    <font>
      <b/>
      <sz val="9"/>
      <name val="Arial"/>
      <family val="2"/>
    </font>
    <font>
      <sz val="14"/>
      <name val="Arial"/>
      <family val="2"/>
    </font>
    <font>
      <sz val="8"/>
      <name val="Arial"/>
      <family val="2"/>
    </font>
    <font>
      <b/>
      <sz val="16"/>
      <color indexed="17"/>
      <name val="Arial"/>
      <family val="2"/>
    </font>
    <font>
      <sz val="11"/>
      <color indexed="8"/>
      <name val="Calibri"/>
      <family val="2"/>
    </font>
    <font>
      <b/>
      <sz val="11"/>
      <name val="Arial"/>
      <family val="2"/>
    </font>
    <font>
      <sz val="10"/>
      <color indexed="8"/>
      <name val="Arial"/>
      <family val="2"/>
    </font>
    <font>
      <sz val="22"/>
      <name val="Arial"/>
      <family val="2"/>
    </font>
    <font>
      <sz val="20"/>
      <name val="Arial"/>
      <family val="2"/>
    </font>
    <font>
      <sz val="18"/>
      <name val="Arial"/>
      <family val="2"/>
    </font>
    <font>
      <sz val="16"/>
      <name val="Arial"/>
      <family val="2"/>
    </font>
    <font>
      <vertAlign val="superscript"/>
      <sz val="8"/>
      <name val="Arial"/>
      <family val="2"/>
    </font>
    <font>
      <sz val="11"/>
      <color theme="1"/>
      <name val="Calibri"/>
      <family val="2"/>
      <scheme val="minor"/>
    </font>
    <font>
      <sz val="11"/>
      <color theme="0"/>
      <name val="Calibri"/>
      <family val="2"/>
      <scheme val="minor"/>
    </font>
    <font>
      <u/>
      <sz val="10"/>
      <color theme="10"/>
      <name val="Arial"/>
      <family val="2"/>
    </font>
    <font>
      <b/>
      <sz val="10"/>
      <color theme="0"/>
      <name val="Arial"/>
      <family val="2"/>
    </font>
    <font>
      <sz val="11"/>
      <color theme="1"/>
      <name val="Arial"/>
      <family val="2"/>
    </font>
    <font>
      <sz val="10"/>
      <color theme="1"/>
      <name val="Arial"/>
      <family val="2"/>
    </font>
    <font>
      <sz val="10"/>
      <color theme="0"/>
      <name val="Arial"/>
      <family val="2"/>
    </font>
    <font>
      <b/>
      <sz val="14"/>
      <color theme="0"/>
      <name val="Arial"/>
      <family val="2"/>
    </font>
    <font>
      <b/>
      <sz val="12"/>
      <color theme="0"/>
      <name val="Arial"/>
      <family val="2"/>
    </font>
    <font>
      <sz val="11"/>
      <color theme="0"/>
      <name val="Arial"/>
      <family val="2"/>
    </font>
    <font>
      <b/>
      <sz val="11"/>
      <color rgb="FFFF0000"/>
      <name val="Arial"/>
      <family val="2"/>
    </font>
    <font>
      <b/>
      <sz val="11"/>
      <color theme="0"/>
      <name val="Arial"/>
      <family val="2"/>
    </font>
    <font>
      <sz val="12"/>
      <color theme="1"/>
      <name val="Arial"/>
      <family val="2"/>
    </font>
    <font>
      <b/>
      <sz val="11"/>
      <color theme="9" tint="-0.499984740745262"/>
      <name val="Arial"/>
      <family val="2"/>
    </font>
    <font>
      <sz val="11"/>
      <color theme="9" tint="-0.499984740745262"/>
      <name val="Arial"/>
      <family val="2"/>
    </font>
    <font>
      <b/>
      <sz val="14"/>
      <color rgb="FF002060"/>
      <name val="Arial"/>
      <family val="2"/>
    </font>
    <font>
      <sz val="11"/>
      <name val="Calibri"/>
      <family val="2"/>
      <scheme val="minor"/>
    </font>
    <font>
      <sz val="8"/>
      <color theme="1"/>
      <name val="Arial"/>
      <family val="2"/>
    </font>
    <font>
      <sz val="9"/>
      <color rgb="FFFF0000"/>
      <name val="Arial"/>
      <family val="2"/>
    </font>
    <font>
      <sz val="9"/>
      <color theme="1"/>
      <name val="Arial"/>
      <family val="2"/>
    </font>
    <font>
      <sz val="11"/>
      <color rgb="FFFF0000"/>
      <name val="Arial"/>
      <family val="2"/>
    </font>
    <font>
      <b/>
      <sz val="12"/>
      <color theme="1"/>
      <name val="Arial"/>
      <family val="2"/>
    </font>
    <font>
      <sz val="8"/>
      <color theme="1"/>
      <name val="Calibri"/>
      <family val="2"/>
      <scheme val="minor"/>
    </font>
    <font>
      <sz val="10"/>
      <color theme="3" tint="0.79998168889431442"/>
      <name val="Arial"/>
      <family val="2"/>
    </font>
    <font>
      <b/>
      <sz val="12"/>
      <color rgb="FF339966"/>
      <name val="Arial"/>
      <family val="2"/>
    </font>
    <font>
      <b/>
      <sz val="22"/>
      <color rgb="FF339966"/>
      <name val="Arial"/>
      <family val="2"/>
    </font>
    <font>
      <sz val="10"/>
      <color theme="6" tint="-0.499984740745262"/>
      <name val="Arial"/>
      <family val="2"/>
    </font>
    <font>
      <sz val="10"/>
      <color theme="1"/>
      <name val="Calibri"/>
      <family val="2"/>
      <scheme val="minor"/>
    </font>
    <font>
      <sz val="8"/>
      <color rgb="FFC2CFB5"/>
      <name val="Arial"/>
      <family val="2"/>
    </font>
    <font>
      <vertAlign val="superscript"/>
      <sz val="9"/>
      <name val="Arial"/>
      <family val="2"/>
    </font>
    <font>
      <sz val="20"/>
      <color rgb="FFEEECE1"/>
      <name val="Calibri"/>
      <family val="2"/>
      <scheme val="minor"/>
    </font>
    <font>
      <sz val="11"/>
      <color rgb="FFEEECE1"/>
      <name val="Arial"/>
      <family val="2"/>
    </font>
    <font>
      <sz val="11"/>
      <color rgb="FFC1BB9B"/>
      <name val="Calibri"/>
      <family val="2"/>
      <scheme val="minor"/>
    </font>
    <font>
      <sz val="14"/>
      <color theme="1"/>
      <name val="Arial"/>
      <family val="2"/>
    </font>
    <font>
      <sz val="9"/>
      <color theme="2"/>
      <name val="Arial"/>
      <family val="2"/>
    </font>
    <font>
      <sz val="20"/>
      <color rgb="FFEEECE1"/>
      <name val="Arial"/>
      <family val="2"/>
    </font>
    <font>
      <sz val="8"/>
      <color rgb="FFEEECE1"/>
      <name val="Arial"/>
      <family val="2"/>
    </font>
    <font>
      <sz val="12"/>
      <color rgb="FFC00000"/>
      <name val="Arial"/>
      <family val="2"/>
    </font>
    <font>
      <sz val="11"/>
      <color rgb="FFC00000"/>
      <name val="Arial"/>
      <family val="2"/>
    </font>
    <font>
      <b/>
      <sz val="10"/>
      <color theme="1" tint="0.34998626667073579"/>
      <name val="Arial"/>
      <family val="2"/>
    </font>
    <font>
      <sz val="10"/>
      <color theme="1" tint="0.34998626667073579"/>
      <name val="Arial"/>
      <family val="2"/>
    </font>
    <font>
      <sz val="10"/>
      <color theme="9" tint="-0.499984740745262"/>
      <name val="Arial"/>
      <family val="2"/>
    </font>
    <font>
      <sz val="9"/>
      <color theme="9" tint="-0.499984740745262"/>
      <name val="Arial"/>
      <family val="2"/>
    </font>
    <font>
      <b/>
      <sz val="10"/>
      <color theme="9" tint="-0.499984740745262"/>
      <name val="Arial"/>
      <family val="2"/>
    </font>
    <font>
      <vertAlign val="superscript"/>
      <sz val="10"/>
      <name val="Arial"/>
      <family val="2"/>
    </font>
    <font>
      <sz val="16"/>
      <color theme="1"/>
      <name val="Arial"/>
      <family val="2"/>
    </font>
    <font>
      <sz val="9"/>
      <color theme="6" tint="-0.499984740745262"/>
      <name val="Arial"/>
      <family val="2"/>
    </font>
    <font>
      <sz val="10"/>
      <color rgb="FFC00000"/>
      <name val="Arial"/>
      <family val="2"/>
    </font>
    <font>
      <sz val="11"/>
      <color rgb="FFC1BB9B"/>
      <name val="Arial"/>
      <family val="2"/>
    </font>
    <font>
      <sz val="8"/>
      <color rgb="FFC00000"/>
      <name val="Arial"/>
      <family val="2"/>
    </font>
    <font>
      <vertAlign val="superscript"/>
      <sz val="9"/>
      <color rgb="FFC00000"/>
      <name val="Arial"/>
      <family val="2"/>
    </font>
    <font>
      <sz val="11"/>
      <color theme="9" tint="-0.499984740745262"/>
      <name val="Calibri"/>
      <family val="2"/>
      <scheme val="minor"/>
    </font>
    <font>
      <b/>
      <sz val="11"/>
      <color rgb="FFC00000"/>
      <name val="Arial"/>
      <family val="2"/>
    </font>
    <font>
      <b/>
      <sz val="11"/>
      <color rgb="FFC00000"/>
      <name val="Calibri"/>
      <family val="2"/>
      <scheme val="minor"/>
    </font>
    <font>
      <b/>
      <sz val="10"/>
      <color rgb="FFC00000"/>
      <name val="Arial"/>
      <family val="2"/>
    </font>
    <font>
      <sz val="9"/>
      <name val="Calibri"/>
      <family val="2"/>
      <scheme val="minor"/>
    </font>
    <font>
      <sz val="9"/>
      <color theme="1"/>
      <name val="Calibri"/>
      <family val="2"/>
      <scheme val="minor"/>
    </font>
    <font>
      <sz val="11"/>
      <color theme="0" tint="-0.499984740745262"/>
      <name val="Arial"/>
      <family val="2"/>
    </font>
    <font>
      <sz val="12"/>
      <color theme="0" tint="-0.499984740745262"/>
      <name val="Arial"/>
      <family val="2"/>
    </font>
    <font>
      <sz val="12"/>
      <color theme="5" tint="-0.499984740745262"/>
      <name val="Arial"/>
      <family val="2"/>
    </font>
    <font>
      <b/>
      <sz val="10"/>
      <color theme="0" tint="-0.499984740745262"/>
      <name val="Arial"/>
      <family val="2"/>
    </font>
    <font>
      <sz val="10"/>
      <color rgb="FFC1BB9B"/>
      <name val="Arial"/>
      <family val="2"/>
    </font>
    <font>
      <sz val="11"/>
      <color theme="0" tint="-0.499984740745262"/>
      <name val="Calibri"/>
      <family val="2"/>
      <scheme val="minor"/>
    </font>
    <font>
      <sz val="8"/>
      <color theme="0" tint="-0.34998626667073579"/>
      <name val="Arial"/>
      <family val="2"/>
    </font>
    <font>
      <sz val="9"/>
      <color theme="0"/>
      <name val="Calibri"/>
      <family val="2"/>
      <scheme val="minor"/>
    </font>
    <font>
      <sz val="11"/>
      <color theme="0" tint="-0.249977111117893"/>
      <name val="Arial"/>
      <family val="2"/>
    </font>
    <font>
      <sz val="11"/>
      <color rgb="FFCC3300"/>
      <name val="Arial"/>
      <family val="2"/>
    </font>
    <font>
      <sz val="8"/>
      <color rgb="FFB2B2B2"/>
      <name val="Arial"/>
      <family val="2"/>
    </font>
    <font>
      <sz val="18"/>
      <color rgb="FF808080"/>
      <name val="Arial"/>
      <family val="2"/>
    </font>
    <font>
      <sz val="10"/>
      <color rgb="FFB2B2B2"/>
      <name val="Arial"/>
      <family val="2"/>
    </font>
    <font>
      <sz val="9"/>
      <color rgb="FFCC3300"/>
      <name val="Arial"/>
      <family val="2"/>
    </font>
    <font>
      <vertAlign val="superscript"/>
      <sz val="9"/>
      <color rgb="FFCC3300"/>
      <name val="Arial"/>
      <family val="2"/>
    </font>
    <font>
      <sz val="9"/>
      <color rgb="FFB2B2B2"/>
      <name val="Arial"/>
      <family val="2"/>
    </font>
    <font>
      <sz val="8"/>
      <color indexed="8"/>
      <name val="Arial"/>
      <family val="2"/>
    </font>
    <font>
      <sz val="12"/>
      <color rgb="FFB2B2B2"/>
      <name val="Arial"/>
      <family val="2"/>
    </font>
    <font>
      <sz val="11"/>
      <color rgb="FFB2B2B2"/>
      <name val="Arial"/>
      <family val="2"/>
    </font>
    <font>
      <b/>
      <sz val="16"/>
      <color theme="1"/>
      <name val="Calibri"/>
      <family val="2"/>
      <scheme val="minor"/>
    </font>
    <font>
      <sz val="10"/>
      <color rgb="FF808080"/>
      <name val="Arial"/>
      <family val="2"/>
    </font>
    <font>
      <sz val="11"/>
      <color rgb="FF808080"/>
      <name val="Arial"/>
      <family val="2"/>
    </font>
    <font>
      <b/>
      <sz val="14"/>
      <color theme="1"/>
      <name val="Calibri"/>
      <family val="2"/>
      <scheme val="minor"/>
    </font>
    <font>
      <vertAlign val="subscript"/>
      <sz val="9"/>
      <name val="Arial"/>
      <family val="2"/>
    </font>
    <font>
      <u/>
      <sz val="10"/>
      <name val="Arial"/>
      <family val="2"/>
    </font>
    <font>
      <vertAlign val="superscript"/>
      <sz val="8"/>
      <color indexed="8"/>
      <name val="Arial"/>
      <family val="2"/>
    </font>
    <font>
      <sz val="9"/>
      <color rgb="FF808080"/>
      <name val="Arial"/>
      <family val="2"/>
    </font>
    <font>
      <sz val="7"/>
      <name val="Arial"/>
      <family val="2"/>
    </font>
    <font>
      <sz val="12"/>
      <color theme="0"/>
      <name val="Arial"/>
      <family val="2"/>
    </font>
    <font>
      <vertAlign val="superscript"/>
      <sz val="10"/>
      <color rgb="FFC00000"/>
      <name val="Arial"/>
      <family val="2"/>
    </font>
    <font>
      <sz val="9"/>
      <color rgb="FFC00000"/>
      <name val="Arial"/>
      <family val="2"/>
    </font>
    <font>
      <vertAlign val="subscript"/>
      <sz val="9"/>
      <color rgb="FFC00000"/>
      <name val="Arial"/>
      <family val="2"/>
    </font>
    <font>
      <vertAlign val="subscript"/>
      <sz val="8"/>
      <color rgb="FFC00000"/>
      <name val="Arial"/>
      <family val="2"/>
    </font>
    <font>
      <sz val="11"/>
      <color rgb="FFC00000"/>
      <name val="Calibri"/>
      <family val="2"/>
      <scheme val="minor"/>
    </font>
    <font>
      <b/>
      <sz val="9"/>
      <color rgb="FFC00000"/>
      <name val="Arial"/>
      <family val="2"/>
    </font>
    <font>
      <sz val="9"/>
      <color rgb="FFC00000"/>
      <name val="Calibri"/>
      <family val="2"/>
      <scheme val="minor"/>
    </font>
    <font>
      <u/>
      <sz val="9"/>
      <color rgb="FFC00000"/>
      <name val="Arial"/>
      <family val="2"/>
    </font>
    <font>
      <sz val="12"/>
      <name val="Arial"/>
      <family val="2"/>
      <charset val="1"/>
    </font>
    <font>
      <sz val="10"/>
      <color rgb="FF000000"/>
      <name val="Arial"/>
      <family val="2"/>
      <charset val="1"/>
    </font>
    <font>
      <sz val="12"/>
      <color rgb="FF632523"/>
      <name val="Arial"/>
      <family val="2"/>
      <charset val="1"/>
    </font>
    <font>
      <sz val="11"/>
      <color indexed="8"/>
      <name val="Arial"/>
      <family val="2"/>
    </font>
    <font>
      <sz val="9"/>
      <color theme="0"/>
      <name val="Arial"/>
      <family val="2"/>
    </font>
    <font>
      <b/>
      <sz val="12"/>
      <color rgb="FF70983A"/>
      <name val="Arial"/>
      <family val="2"/>
    </font>
    <font>
      <sz val="18"/>
      <color theme="1"/>
      <name val="Arial"/>
      <family val="2"/>
    </font>
    <font>
      <sz val="10"/>
      <color rgb="FFC00000"/>
      <name val="Calibri"/>
      <family val="2"/>
      <scheme val="minor"/>
    </font>
    <font>
      <sz val="10"/>
      <color rgb="FF713605"/>
      <name val="Arial"/>
      <family val="2"/>
    </font>
    <font>
      <sz val="11"/>
      <color rgb="FF713605"/>
      <name val="Arial"/>
      <family val="2"/>
    </font>
    <font>
      <b/>
      <sz val="10"/>
      <color rgb="FF713605"/>
      <name val="Arial"/>
      <family val="2"/>
    </font>
    <font>
      <sz val="19"/>
      <color theme="0" tint="-0.34998626667073579"/>
      <name val="Arial"/>
      <family val="2"/>
    </font>
    <font>
      <sz val="11"/>
      <color rgb="FF000000"/>
      <name val="Calibri"/>
      <family val="2"/>
    </font>
    <font>
      <sz val="9"/>
      <color theme="0" tint="-0.34998626667073579"/>
      <name val="Arial"/>
      <family val="2"/>
    </font>
    <font>
      <vertAlign val="superscript"/>
      <sz val="10"/>
      <color theme="1"/>
      <name val="Arial"/>
      <family val="2"/>
    </font>
    <font>
      <vertAlign val="superscript"/>
      <sz val="8"/>
      <color rgb="FFC00000"/>
      <name val="Arial"/>
      <family val="2"/>
    </font>
    <font>
      <sz val="8"/>
      <color theme="0"/>
      <name val="Arial"/>
      <family val="2"/>
    </font>
    <font>
      <sz val="11"/>
      <color theme="0" tint="-0.14999847407452621"/>
      <name val="Arial"/>
      <family val="2"/>
    </font>
    <font>
      <b/>
      <sz val="12"/>
      <color theme="0" tint="-0.34998626667073579"/>
      <name val="Arial"/>
      <family val="2"/>
    </font>
    <font>
      <b/>
      <sz val="9"/>
      <color theme="0" tint="-0.249977111117893"/>
      <name val="Arial"/>
      <family val="2"/>
    </font>
    <font>
      <sz val="18"/>
      <color theme="0" tint="-0.34998626667073579"/>
      <name val="Calibri"/>
      <family val="2"/>
      <scheme val="minor"/>
    </font>
    <font>
      <sz val="9"/>
      <color theme="0" tint="-0.14999847407452621"/>
      <name val="Arial"/>
      <family val="2"/>
    </font>
    <font>
      <b/>
      <u/>
      <sz val="12"/>
      <color theme="0" tint="-0.34998626667073579"/>
      <name val="Arial"/>
      <family val="2"/>
    </font>
    <font>
      <b/>
      <sz val="14"/>
      <color theme="0" tint="-0.34998626667073579"/>
      <name val="Arial"/>
      <family val="2"/>
    </font>
    <font>
      <sz val="12"/>
      <color rgb="FF002060"/>
      <name val="Arial"/>
      <family val="2"/>
    </font>
    <font>
      <b/>
      <sz val="10"/>
      <color theme="5" tint="-0.499984740745262"/>
      <name val="Arial"/>
      <family val="2"/>
    </font>
    <font>
      <vertAlign val="superscript"/>
      <sz val="12"/>
      <name val="Arial"/>
      <family val="2"/>
    </font>
    <font>
      <vertAlign val="subscript"/>
      <sz val="12"/>
      <name val="Arial"/>
      <family val="2"/>
    </font>
    <font>
      <sz val="10"/>
      <color theme="0" tint="-0.34998626667073579"/>
      <name val="Arial"/>
      <family val="2"/>
    </font>
    <font>
      <sz val="11"/>
      <color theme="0" tint="-0.34998626667073579"/>
      <name val="Arial"/>
      <family val="2"/>
    </font>
    <font>
      <sz val="18"/>
      <color rgb="FFB2B2B2"/>
      <name val="Arial"/>
      <family val="2"/>
    </font>
    <font>
      <sz val="18"/>
      <color theme="0" tint="-0.34998626667073579"/>
      <name val="Arial"/>
      <family val="2"/>
    </font>
    <font>
      <sz val="12"/>
      <color theme="0" tint="-0.249977111117893"/>
      <name val="Arial"/>
      <family val="2"/>
    </font>
    <font>
      <vertAlign val="subscript"/>
      <sz val="10"/>
      <color rgb="FFC00000"/>
      <name val="Arial"/>
      <family val="2"/>
    </font>
    <font>
      <b/>
      <sz val="16"/>
      <color theme="0" tint="-0.34998626667073579"/>
      <name val="Calibri"/>
      <family val="2"/>
      <scheme val="minor"/>
    </font>
    <font>
      <sz val="11"/>
      <color theme="0" tint="-0.34998626667073579"/>
      <name val="Calibri"/>
      <family val="2"/>
      <scheme val="minor"/>
    </font>
    <font>
      <b/>
      <sz val="14"/>
      <color theme="0" tint="-0.34998626667073579"/>
      <name val="Calibri"/>
      <family val="2"/>
      <scheme val="minor"/>
    </font>
    <font>
      <b/>
      <sz val="12"/>
      <color theme="0" tint="-0.34998626667073579"/>
      <name val="Calibri"/>
      <family val="2"/>
      <scheme val="minor"/>
    </font>
    <font>
      <sz val="10"/>
      <color theme="0" tint="-0.499984740745262"/>
      <name val="Arial"/>
      <family val="2"/>
    </font>
    <font>
      <sz val="8"/>
      <color theme="0" tint="-0.499984740745262"/>
      <name val="Arial"/>
      <family val="2"/>
    </font>
    <font>
      <b/>
      <sz val="9"/>
      <color theme="1"/>
      <name val="Arial"/>
      <family val="2"/>
    </font>
    <font>
      <sz val="9"/>
      <color theme="0" tint="-4.9989318521683403E-2"/>
      <name val="Calibri"/>
      <family val="2"/>
      <scheme val="minor"/>
    </font>
    <font>
      <b/>
      <sz val="36"/>
      <color rgb="FFEEECE1"/>
      <name val="Raavi"/>
      <family val="2"/>
    </font>
    <font>
      <b/>
      <sz val="18"/>
      <color rgb="FF990033"/>
      <name val="Arial"/>
      <family val="2"/>
    </font>
    <font>
      <b/>
      <sz val="18"/>
      <name val="Arial"/>
      <family val="2"/>
    </font>
    <font>
      <b/>
      <sz val="36"/>
      <color rgb="FF418B43"/>
      <name val="Raavi"/>
      <family val="2"/>
    </font>
    <font>
      <b/>
      <sz val="36"/>
      <color rgb="FF306631"/>
      <name val="Raavi"/>
      <family val="2"/>
    </font>
    <font>
      <b/>
      <sz val="19"/>
      <color rgb="FF306631"/>
      <name val="Arial"/>
      <family val="2"/>
    </font>
    <font>
      <sz val="8"/>
      <name val="Arial"/>
      <family val="2"/>
      <charset val="1"/>
    </font>
    <font>
      <b/>
      <sz val="14"/>
      <name val="Arial"/>
      <family val="2"/>
    </font>
    <font>
      <sz val="11"/>
      <color theme="0" tint="-0.249977111117893"/>
      <name val="Calibri"/>
      <family val="2"/>
      <scheme val="minor"/>
    </font>
    <font>
      <sz val="11"/>
      <name val="Arial"/>
      <family val="2"/>
      <charset val="1"/>
    </font>
    <font>
      <sz val="11"/>
      <color rgb="FF000000"/>
      <name val="Arial"/>
      <family val="2"/>
    </font>
    <font>
      <sz val="11"/>
      <color rgb="FF000000"/>
      <name val="Arial"/>
      <family val="2"/>
      <charset val="1"/>
    </font>
    <font>
      <b/>
      <sz val="10.5"/>
      <name val="Arial"/>
      <family val="2"/>
    </font>
    <font>
      <b/>
      <sz val="12"/>
      <color indexed="10"/>
      <name val="Arial"/>
      <family val="2"/>
    </font>
    <font>
      <b/>
      <sz val="10"/>
      <color indexed="12"/>
      <name val="Arial"/>
      <family val="2"/>
    </font>
    <font>
      <sz val="10"/>
      <color indexed="10"/>
      <name val="Arial"/>
      <family val="2"/>
    </font>
    <font>
      <sz val="10"/>
      <color indexed="12"/>
      <name val="Arial"/>
      <family val="2"/>
    </font>
    <font>
      <b/>
      <sz val="10"/>
      <color indexed="8"/>
      <name val="Arial"/>
      <family val="2"/>
    </font>
    <font>
      <sz val="9"/>
      <color indexed="12"/>
      <name val="Arial"/>
      <family val="2"/>
    </font>
    <font>
      <b/>
      <sz val="8"/>
      <name val="Arial"/>
      <family val="2"/>
    </font>
    <font>
      <b/>
      <sz val="10"/>
      <color indexed="10"/>
      <name val="Arial"/>
      <family val="2"/>
    </font>
    <font>
      <b/>
      <sz val="12"/>
      <color indexed="8"/>
      <name val="Arial"/>
      <family val="2"/>
    </font>
    <font>
      <b/>
      <sz val="10"/>
      <color indexed="14"/>
      <name val="Arial"/>
      <family val="2"/>
    </font>
    <font>
      <b/>
      <sz val="10.5"/>
      <color indexed="10"/>
      <name val="Arial"/>
      <family val="2"/>
    </font>
    <font>
      <b/>
      <sz val="9"/>
      <color theme="0" tint="-0.499984740745262"/>
      <name val="Arial"/>
      <family val="2"/>
    </font>
    <font>
      <b/>
      <sz val="12"/>
      <color rgb="FFC00000"/>
      <name val="Arial"/>
      <family val="2"/>
    </font>
    <font>
      <b/>
      <sz val="14"/>
      <color rgb="FF004E4C"/>
      <name val="Arial"/>
      <family val="2"/>
    </font>
    <font>
      <sz val="18"/>
      <color rgb="FFC00000"/>
      <name val="Arial"/>
      <family val="2"/>
    </font>
    <font>
      <b/>
      <sz val="10"/>
      <color theme="8" tint="-0.499984740745262"/>
      <name val="Arial"/>
      <family val="2"/>
    </font>
    <font>
      <sz val="10"/>
      <color rgb="FF000000"/>
      <name val="Arial"/>
      <family val="2"/>
    </font>
    <font>
      <b/>
      <sz val="18"/>
      <color rgb="FF004E4C"/>
      <name val="Arial"/>
      <family val="2"/>
    </font>
    <font>
      <sz val="9"/>
      <color theme="8" tint="-0.249977111117893"/>
      <name val="Arial"/>
      <family val="2"/>
    </font>
    <font>
      <sz val="14"/>
      <color rgb="FF000000"/>
      <name val="Calibri"/>
      <family val="2"/>
      <charset val="1"/>
    </font>
    <font>
      <sz val="12"/>
      <name val="Calibri"/>
      <family val="2"/>
      <charset val="1"/>
    </font>
    <font>
      <sz val="12"/>
      <color rgb="FF000000"/>
      <name val="Calibri"/>
      <family val="2"/>
      <charset val="1"/>
    </font>
    <font>
      <b/>
      <sz val="14"/>
      <color rgb="FFFF0000"/>
      <name val="Calibri"/>
      <family val="2"/>
    </font>
    <font>
      <b/>
      <sz val="12"/>
      <name val="Calibri"/>
      <family val="2"/>
      <charset val="1"/>
    </font>
    <font>
      <b/>
      <sz val="12"/>
      <color rgb="FF000000"/>
      <name val="Calibri"/>
      <family val="2"/>
      <charset val="1"/>
    </font>
    <font>
      <b/>
      <sz val="14"/>
      <color rgb="FF000000"/>
      <name val="Calibri"/>
      <family val="2"/>
      <charset val="1"/>
    </font>
    <font>
      <sz val="14"/>
      <name val="Calibri"/>
      <family val="2"/>
    </font>
    <font>
      <sz val="12"/>
      <name val="Calibri"/>
      <family val="2"/>
    </font>
    <font>
      <sz val="12"/>
      <color rgb="FF000000"/>
      <name val="Calibri"/>
      <family val="2"/>
    </font>
    <font>
      <sz val="14"/>
      <color rgb="FF000000"/>
      <name val="Calibri"/>
      <family val="2"/>
    </font>
    <font>
      <b/>
      <sz val="9"/>
      <color theme="8" tint="-0.499984740745262"/>
      <name val="Arial"/>
      <family val="2"/>
    </font>
    <font>
      <sz val="10"/>
      <name val="Calibri"/>
      <family val="2"/>
    </font>
    <font>
      <sz val="9"/>
      <color rgb="FF0070C0"/>
      <name val="Arial"/>
      <family val="2"/>
    </font>
    <font>
      <sz val="9"/>
      <color theme="8" tint="-0.499984740745262"/>
      <name val="Arial"/>
      <family val="2"/>
    </font>
    <font>
      <b/>
      <sz val="12"/>
      <color rgb="FFC00000"/>
      <name val="Calibri"/>
      <family val="2"/>
    </font>
    <font>
      <b/>
      <sz val="9"/>
      <name val="Calibri"/>
      <family val="2"/>
    </font>
    <font>
      <vertAlign val="superscript"/>
      <sz val="11"/>
      <color theme="0" tint="-0.499984740745262"/>
      <name val="Arial"/>
      <family val="2"/>
    </font>
    <font>
      <u/>
      <sz val="11"/>
      <color theme="11"/>
      <name val="Calibri"/>
      <family val="2"/>
      <scheme val="minor"/>
    </font>
    <font>
      <i/>
      <sz val="11"/>
      <name val="Arial"/>
    </font>
    <font>
      <i/>
      <sz val="9"/>
      <color theme="1"/>
      <name val="Arial"/>
    </font>
    <font>
      <i/>
      <sz val="10"/>
      <color theme="1"/>
      <name val="Arial"/>
    </font>
    <font>
      <i/>
      <sz val="11"/>
      <color rgb="FF000000"/>
      <name val="Arial"/>
    </font>
  </fonts>
  <fills count="30">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E4DBD2"/>
        <bgColor indexed="64"/>
      </patternFill>
    </fill>
    <fill>
      <patternFill patternType="solid">
        <fgColor theme="0"/>
        <bgColor indexed="41"/>
      </patternFill>
    </fill>
    <fill>
      <patternFill patternType="solid">
        <fgColor theme="0" tint="-4.9989318521683403E-2"/>
        <bgColor indexed="64"/>
      </patternFill>
    </fill>
    <fill>
      <patternFill patternType="solid">
        <fgColor rgb="FFF8F8F8"/>
        <bgColor indexed="64"/>
      </patternFill>
    </fill>
    <fill>
      <patternFill patternType="solid">
        <fgColor rgb="FFFFFF99"/>
        <bgColor indexed="64"/>
      </patternFill>
    </fill>
    <fill>
      <patternFill patternType="solid">
        <fgColor rgb="FFFFFF99"/>
        <bgColor indexed="41"/>
      </patternFill>
    </fill>
    <fill>
      <patternFill patternType="solid">
        <fgColor rgb="FFEAEAEA"/>
        <bgColor indexed="64"/>
      </patternFill>
    </fill>
    <fill>
      <patternFill patternType="solid">
        <fgColor rgb="FFFFFF99"/>
        <bgColor rgb="FFDEEBB4"/>
      </patternFill>
    </fill>
    <fill>
      <patternFill patternType="solid">
        <fgColor indexed="43"/>
        <bgColor indexed="11"/>
      </patternFill>
    </fill>
    <fill>
      <patternFill patternType="solid">
        <fgColor theme="2"/>
        <bgColor indexed="64"/>
      </patternFill>
    </fill>
    <fill>
      <patternFill patternType="solid">
        <fgColor rgb="FFFFFF99"/>
        <bgColor indexed="11"/>
      </patternFill>
    </fill>
    <fill>
      <patternFill patternType="solid">
        <fgColor rgb="FFFFFFCC"/>
        <bgColor indexed="64"/>
      </patternFill>
    </fill>
    <fill>
      <patternFill patternType="solid">
        <fgColor rgb="FFFFFFCC"/>
        <bgColor rgb="FFDEEBB4"/>
      </patternFill>
    </fill>
    <fill>
      <patternFill patternType="solid">
        <fgColor theme="6" tint="0.79998168889431442"/>
        <bgColor indexed="64"/>
      </patternFill>
    </fill>
    <fill>
      <patternFill patternType="solid">
        <fgColor rgb="FFFFFF99"/>
        <bgColor rgb="FF000000"/>
      </patternFill>
    </fill>
    <fill>
      <patternFill patternType="solid">
        <fgColor theme="0"/>
        <bgColor rgb="FFDEEBB4"/>
      </patternFill>
    </fill>
    <fill>
      <patternFill patternType="solid">
        <fgColor rgb="FFFFEFBD"/>
        <bgColor indexed="64"/>
      </patternFill>
    </fill>
    <fill>
      <patternFill patternType="solid">
        <fgColor theme="0"/>
        <bgColor rgb="FFFF99CC"/>
      </patternFill>
    </fill>
    <fill>
      <patternFill patternType="solid">
        <fgColor rgb="FFFFFFFF"/>
        <bgColor rgb="FFFFFFCC"/>
      </patternFill>
    </fill>
    <fill>
      <patternFill patternType="solid">
        <fgColor rgb="FFD99694"/>
        <bgColor rgb="FFFF99CC"/>
      </patternFill>
    </fill>
    <fill>
      <patternFill patternType="solid">
        <fgColor theme="0"/>
        <bgColor rgb="FFFFFF00"/>
      </patternFill>
    </fill>
    <fill>
      <patternFill patternType="solid">
        <fgColor theme="0"/>
        <bgColor rgb="FFFFFFCC"/>
      </patternFill>
    </fill>
    <fill>
      <patternFill patternType="solid">
        <fgColor theme="0"/>
        <bgColor rgb="FF993300"/>
      </patternFill>
    </fill>
    <fill>
      <patternFill patternType="solid">
        <fgColor indexed="43"/>
        <bgColor indexed="26"/>
      </patternFill>
    </fill>
    <fill>
      <patternFill patternType="solid">
        <fgColor rgb="FFFFDC97"/>
        <bgColor indexed="64"/>
      </patternFill>
    </fill>
    <fill>
      <patternFill patternType="solid">
        <fgColor rgb="FFFFCE6D"/>
        <bgColor indexed="64"/>
      </patternFill>
    </fill>
  </fills>
  <borders count="235">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right/>
      <top style="thin">
        <color auto="1"/>
      </top>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auto="1"/>
      </left>
      <right/>
      <top/>
      <bottom style="thin">
        <color auto="1"/>
      </bottom>
      <diagonal/>
    </border>
    <border>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right/>
      <top/>
      <bottom style="thin">
        <color rgb="FFEEECE1"/>
      </bottom>
      <diagonal/>
    </border>
    <border>
      <left style="thin">
        <color rgb="FFEEECE1"/>
      </left>
      <right/>
      <top style="thin">
        <color rgb="FFEEECE1"/>
      </top>
      <bottom/>
      <diagonal/>
    </border>
    <border>
      <left/>
      <right/>
      <top style="thin">
        <color rgb="FFEEECE1"/>
      </top>
      <bottom/>
      <diagonal/>
    </border>
    <border>
      <left/>
      <right style="thin">
        <color rgb="FFEEECE1"/>
      </right>
      <top style="thin">
        <color rgb="FFEEECE1"/>
      </top>
      <bottom/>
      <diagonal/>
    </border>
    <border>
      <left style="thin">
        <color rgb="FFEEECE1"/>
      </left>
      <right/>
      <top/>
      <bottom/>
      <diagonal/>
    </border>
    <border>
      <left/>
      <right style="thin">
        <color rgb="FFEEECE1"/>
      </right>
      <top/>
      <bottom/>
      <diagonal/>
    </border>
    <border>
      <left/>
      <right style="thin">
        <color rgb="FFEEECE1"/>
      </right>
      <top/>
      <bottom style="thin">
        <color rgb="FFEEECE1"/>
      </bottom>
      <diagonal/>
    </border>
    <border>
      <left style="thin">
        <color rgb="FFEEECE1"/>
      </left>
      <right/>
      <top/>
      <bottom style="thin">
        <color auto="1"/>
      </bottom>
      <diagonal/>
    </border>
    <border>
      <left style="thin">
        <color rgb="FFEEECE1"/>
      </left>
      <right/>
      <top/>
      <bottom style="thin">
        <color rgb="FFEEECE1"/>
      </bottom>
      <diagonal/>
    </border>
    <border>
      <left style="thin">
        <color rgb="FFEEECE1"/>
      </left>
      <right/>
      <top style="thin">
        <color auto="1"/>
      </top>
      <bottom style="thin">
        <color auto="1"/>
      </bottom>
      <diagonal/>
    </border>
    <border>
      <left style="thin">
        <color rgb="FFEEECE1"/>
      </left>
      <right style="thin">
        <color rgb="FFEEECE1"/>
      </right>
      <top style="thin">
        <color rgb="FFEEECE1"/>
      </top>
      <bottom/>
      <diagonal/>
    </border>
    <border>
      <left style="thin">
        <color rgb="FFEEECE1"/>
      </left>
      <right/>
      <top style="thin">
        <color auto="1"/>
      </top>
      <bottom/>
      <diagonal/>
    </border>
    <border>
      <left style="thin">
        <color auto="1"/>
      </left>
      <right/>
      <top/>
      <bottom style="thin">
        <color rgb="FFEEECE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style="medium">
        <color auto="1"/>
      </bottom>
      <diagonal/>
    </border>
    <border>
      <left style="thin">
        <color auto="1"/>
      </left>
      <right/>
      <top/>
      <bottom style="medium">
        <color auto="1"/>
      </bottom>
      <diagonal/>
    </border>
    <border>
      <left style="thin">
        <color auto="1"/>
      </left>
      <right/>
      <top style="medium">
        <color auto="1"/>
      </top>
      <bottom style="thin">
        <color auto="1"/>
      </bottom>
      <diagonal/>
    </border>
    <border>
      <left style="dotted">
        <color auto="1"/>
      </left>
      <right style="thin">
        <color auto="1"/>
      </right>
      <top style="thin">
        <color auto="1"/>
      </top>
      <bottom style="thin">
        <color auto="1"/>
      </bottom>
      <diagonal/>
    </border>
    <border>
      <left style="dotted">
        <color auto="1"/>
      </left>
      <right/>
      <top style="thin">
        <color auto="1"/>
      </top>
      <bottom style="thin">
        <color auto="1"/>
      </bottom>
      <diagonal/>
    </border>
    <border>
      <left style="hair">
        <color auto="1"/>
      </left>
      <right/>
      <top style="thin">
        <color auto="1"/>
      </top>
      <bottom/>
      <diagonal/>
    </border>
    <border>
      <left style="hair">
        <color auto="1"/>
      </left>
      <right/>
      <top style="thin">
        <color auto="1"/>
      </top>
      <bottom style="thin">
        <color auto="1"/>
      </bottom>
      <diagonal/>
    </border>
    <border>
      <left style="hair">
        <color auto="1"/>
      </left>
      <right/>
      <top/>
      <bottom style="thin">
        <color auto="1"/>
      </bottom>
      <diagonal/>
    </border>
    <border>
      <left style="hair">
        <color auto="1"/>
      </left>
      <right style="thin">
        <color auto="1"/>
      </right>
      <top style="thin">
        <color auto="1"/>
      </top>
      <bottom style="thin">
        <color auto="1"/>
      </bottom>
      <diagonal/>
    </border>
    <border>
      <left style="hair">
        <color auto="1"/>
      </left>
      <right style="thin">
        <color auto="1"/>
      </right>
      <top style="thin">
        <color auto="1"/>
      </top>
      <bottom/>
      <diagonal/>
    </border>
    <border>
      <left style="hair">
        <color auto="1"/>
      </left>
      <right style="thin">
        <color auto="1"/>
      </right>
      <top/>
      <bottom style="thin">
        <color auto="1"/>
      </bottom>
      <diagonal/>
    </border>
    <border>
      <left style="hair">
        <color auto="1"/>
      </left>
      <right style="hair">
        <color auto="1"/>
      </right>
      <top style="thin">
        <color auto="1"/>
      </top>
      <bottom style="thin">
        <color auto="1"/>
      </bottom>
      <diagonal/>
    </border>
    <border>
      <left style="thin">
        <color auto="1"/>
      </left>
      <right style="hair">
        <color auto="1"/>
      </right>
      <top style="thin">
        <color auto="1"/>
      </top>
      <bottom style="thin">
        <color auto="1"/>
      </bottom>
      <diagonal/>
    </border>
    <border>
      <left/>
      <right style="hair">
        <color auto="1"/>
      </right>
      <top style="thin">
        <color auto="1"/>
      </top>
      <bottom style="thin">
        <color auto="1"/>
      </bottom>
      <diagonal/>
    </border>
    <border>
      <left style="thin">
        <color auto="1"/>
      </left>
      <right style="hair">
        <color auto="1"/>
      </right>
      <top/>
      <bottom style="thin">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style="thin">
        <color theme="0"/>
      </right>
      <top/>
      <bottom/>
      <diagonal/>
    </border>
    <border>
      <left style="thin">
        <color auto="1"/>
      </left>
      <right style="thin">
        <color rgb="FFEEECE1"/>
      </right>
      <top/>
      <bottom/>
      <diagonal/>
    </border>
    <border>
      <left style="hair">
        <color auto="1"/>
      </left>
      <right style="hair">
        <color auto="1"/>
      </right>
      <top/>
      <bottom style="thin">
        <color auto="1"/>
      </bottom>
      <diagonal/>
    </border>
    <border>
      <left style="hair">
        <color auto="1"/>
      </left>
      <right style="thin">
        <color auto="1"/>
      </right>
      <top style="medium">
        <color auto="1"/>
      </top>
      <bottom style="thin">
        <color auto="1"/>
      </bottom>
      <diagonal/>
    </border>
    <border>
      <left style="hair">
        <color auto="1"/>
      </left>
      <right style="thin">
        <color auto="1"/>
      </right>
      <top/>
      <bottom style="medium">
        <color auto="1"/>
      </bottom>
      <diagonal/>
    </border>
    <border>
      <left style="thin">
        <color rgb="FFEAEAEA"/>
      </left>
      <right style="thin">
        <color rgb="FFEAEAEA"/>
      </right>
      <top style="thin">
        <color rgb="FFEAEAEA"/>
      </top>
      <bottom style="thin">
        <color rgb="FFEAEAEA"/>
      </bottom>
      <diagonal/>
    </border>
    <border>
      <left/>
      <right style="thin">
        <color rgb="FFEAEAEA"/>
      </right>
      <top style="thin">
        <color rgb="FFEAEAEA"/>
      </top>
      <bottom style="thin">
        <color rgb="FFEAEAEA"/>
      </bottom>
      <diagonal/>
    </border>
    <border>
      <left style="thin">
        <color rgb="FFEAEAEA"/>
      </left>
      <right style="thin">
        <color rgb="FFEAEAEA"/>
      </right>
      <top/>
      <bottom/>
      <diagonal/>
    </border>
    <border>
      <left style="thin">
        <color auto="1"/>
      </left>
      <right style="thin">
        <color rgb="FFEEECE1"/>
      </right>
      <top/>
      <bottom style="thin">
        <color rgb="FFEAEAEA"/>
      </bottom>
      <diagonal/>
    </border>
    <border>
      <left/>
      <right/>
      <top/>
      <bottom style="thin">
        <color rgb="FFEAEAEA"/>
      </bottom>
      <diagonal/>
    </border>
    <border>
      <left style="thin">
        <color rgb="FFEAEAEA"/>
      </left>
      <right style="thin">
        <color rgb="FFEAEAEA"/>
      </right>
      <top style="thin">
        <color auto="1"/>
      </top>
      <bottom style="thin">
        <color rgb="FFEAEAEA"/>
      </bottom>
      <diagonal/>
    </border>
    <border>
      <left/>
      <right style="thin">
        <color rgb="FFEAEAEA"/>
      </right>
      <top style="thin">
        <color auto="1"/>
      </top>
      <bottom/>
      <diagonal/>
    </border>
    <border>
      <left/>
      <right/>
      <top style="thin">
        <color rgb="FFEAEAEA"/>
      </top>
      <bottom/>
      <diagonal/>
    </border>
    <border>
      <left style="thin">
        <color rgb="FFEAEAEA"/>
      </left>
      <right/>
      <top/>
      <bottom/>
      <diagonal/>
    </border>
    <border>
      <left style="thin">
        <color rgb="FFEAEAEA"/>
      </left>
      <right/>
      <top/>
      <bottom style="thin">
        <color auto="1"/>
      </bottom>
      <diagonal/>
    </border>
    <border>
      <left/>
      <right style="thin">
        <color rgb="FFEEECE1"/>
      </right>
      <top/>
      <bottom style="thin">
        <color auto="1"/>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hair">
        <color indexed="8"/>
      </right>
      <top style="thin">
        <color indexed="8"/>
      </top>
      <bottom style="thin">
        <color indexed="8"/>
      </bottom>
      <diagonal/>
    </border>
    <border>
      <left/>
      <right style="hair">
        <color indexed="8"/>
      </right>
      <top style="thin">
        <color indexed="8"/>
      </top>
      <bottom style="thin">
        <color indexed="8"/>
      </bottom>
      <diagonal/>
    </border>
    <border>
      <left style="hair">
        <color indexed="8"/>
      </left>
      <right style="hair">
        <color indexed="8"/>
      </right>
      <top style="thin">
        <color indexed="8"/>
      </top>
      <bottom style="thin">
        <color indexed="8"/>
      </bottom>
      <diagonal/>
    </border>
    <border>
      <left/>
      <right/>
      <top/>
      <bottom style="thin">
        <color indexed="8"/>
      </bottom>
      <diagonal/>
    </border>
    <border>
      <left style="hair">
        <color indexed="8"/>
      </left>
      <right style="hair">
        <color indexed="8"/>
      </right>
      <top/>
      <bottom style="thin">
        <color indexed="8"/>
      </bottom>
      <diagonal/>
    </border>
    <border>
      <left/>
      <right style="thin">
        <color indexed="8"/>
      </right>
      <top style="thin">
        <color indexed="8"/>
      </top>
      <bottom style="thin">
        <color indexed="8"/>
      </bottom>
      <diagonal/>
    </border>
    <border>
      <left style="thin">
        <color auto="1"/>
      </left>
      <right style="thin">
        <color rgb="FFEAEAEA"/>
      </right>
      <top/>
      <bottom/>
      <diagonal/>
    </border>
    <border>
      <left style="thin">
        <color auto="1"/>
      </left>
      <right style="thin">
        <color rgb="FFEAEAEA"/>
      </right>
      <top/>
      <bottom style="thin">
        <color auto="1"/>
      </bottom>
      <diagonal/>
    </border>
    <border>
      <left/>
      <right/>
      <top style="thin">
        <color rgb="FFEAEAEA"/>
      </top>
      <bottom style="thin">
        <color rgb="FFEAEAEA"/>
      </bottom>
      <diagonal/>
    </border>
    <border>
      <left style="hair">
        <color auto="1"/>
      </left>
      <right/>
      <top style="hair">
        <color auto="1"/>
      </top>
      <bottom/>
      <diagonal/>
    </border>
    <border>
      <left/>
      <right style="hair">
        <color auto="1"/>
      </right>
      <top style="hair">
        <color auto="1"/>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right/>
      <top style="thin">
        <color theme="0" tint="-0.14999847407452621"/>
      </top>
      <bottom/>
      <diagonal/>
    </border>
    <border>
      <left/>
      <right/>
      <top/>
      <bottom style="thin">
        <color theme="0" tint="-0.14999847407452621"/>
      </bottom>
      <diagonal/>
    </border>
    <border>
      <left style="hair">
        <color auto="1"/>
      </left>
      <right style="hair">
        <color auto="1"/>
      </right>
      <top style="thin">
        <color indexed="8"/>
      </top>
      <bottom style="thin">
        <color indexed="8"/>
      </bottom>
      <diagonal/>
    </border>
    <border>
      <left style="hair">
        <color auto="1"/>
      </left>
      <right style="hair">
        <color auto="1"/>
      </right>
      <top/>
      <bottom style="thin">
        <color indexed="8"/>
      </bottom>
      <diagonal/>
    </border>
    <border>
      <left style="hair">
        <color auto="1"/>
      </left>
      <right/>
      <top style="thin">
        <color indexed="8"/>
      </top>
      <bottom style="thin">
        <color indexed="8"/>
      </bottom>
      <diagonal/>
    </border>
    <border>
      <left style="hair">
        <color auto="1"/>
      </left>
      <right/>
      <top/>
      <bottom style="thin">
        <color indexed="8"/>
      </bottom>
      <diagonal/>
    </border>
    <border>
      <left style="hair">
        <color auto="1"/>
      </left>
      <right/>
      <top style="thin">
        <color indexed="8"/>
      </top>
      <bottom style="thin">
        <color auto="1"/>
      </bottom>
      <diagonal/>
    </border>
    <border>
      <left style="hair">
        <color auto="1"/>
      </left>
      <right style="thin">
        <color indexed="8"/>
      </right>
      <top style="thin">
        <color auto="1"/>
      </top>
      <bottom style="thin">
        <color indexed="8"/>
      </bottom>
      <diagonal/>
    </border>
    <border>
      <left style="hair">
        <color auto="1"/>
      </left>
      <right style="thin">
        <color indexed="8"/>
      </right>
      <top style="thin">
        <color indexed="8"/>
      </top>
      <bottom style="thin">
        <color indexed="8"/>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indexed="8"/>
      </bottom>
      <diagonal/>
    </border>
    <border>
      <left/>
      <right style="thin">
        <color auto="1"/>
      </right>
      <top style="thin">
        <color auto="1"/>
      </top>
      <bottom style="thin">
        <color indexed="8"/>
      </bottom>
      <diagonal/>
    </border>
    <border>
      <left style="hair">
        <color auto="1"/>
      </left>
      <right/>
      <top/>
      <bottom style="medium">
        <color auto="1"/>
      </bottom>
      <diagonal/>
    </border>
    <border>
      <left style="thin">
        <color indexed="8"/>
      </left>
      <right style="hair">
        <color indexed="8"/>
      </right>
      <top/>
      <bottom style="thin">
        <color indexed="8"/>
      </bottom>
      <diagonal/>
    </border>
    <border>
      <left/>
      <right style="hair">
        <color indexed="8"/>
      </right>
      <top/>
      <bottom style="thin">
        <color indexed="8"/>
      </bottom>
      <diagonal/>
    </border>
    <border>
      <left/>
      <right style="thin">
        <color indexed="8"/>
      </right>
      <top/>
      <bottom style="thin">
        <color indexed="8"/>
      </bottom>
      <diagonal/>
    </border>
    <border>
      <left style="thin">
        <color theme="2"/>
      </left>
      <right/>
      <top/>
      <bottom/>
      <diagonal/>
    </border>
    <border>
      <left style="hair">
        <color auto="1"/>
      </left>
      <right style="hair">
        <color auto="1"/>
      </right>
      <top/>
      <bottom style="medium">
        <color auto="1"/>
      </bottom>
      <diagonal/>
    </border>
    <border>
      <left/>
      <right/>
      <top style="thin">
        <color theme="2" tint="-9.9978637043366805E-2"/>
      </top>
      <bottom/>
      <diagonal/>
    </border>
    <border>
      <left style="thin">
        <color rgb="FFEEECE1"/>
      </left>
      <right/>
      <top style="thin">
        <color theme="2" tint="-9.9978637043366805E-2"/>
      </top>
      <bottom/>
      <diagonal/>
    </border>
    <border>
      <left style="thin">
        <color indexed="8"/>
      </left>
      <right/>
      <top style="thin">
        <color indexed="8"/>
      </top>
      <bottom/>
      <diagonal/>
    </border>
    <border>
      <left style="hair">
        <color auto="1"/>
      </left>
      <right style="thin">
        <color indexed="8"/>
      </right>
      <top style="thin">
        <color indexed="8"/>
      </top>
      <bottom/>
      <diagonal/>
    </border>
    <border>
      <left style="thin">
        <color indexed="8"/>
      </left>
      <right/>
      <top/>
      <bottom style="thin">
        <color indexed="8"/>
      </bottom>
      <diagonal/>
    </border>
    <border>
      <left style="hair">
        <color auto="1"/>
      </left>
      <right style="thin">
        <color indexed="8"/>
      </right>
      <top/>
      <bottom style="thin">
        <color indexed="8"/>
      </bottom>
      <diagonal/>
    </border>
    <border>
      <left style="thin">
        <color theme="2"/>
      </left>
      <right/>
      <top style="thin">
        <color auto="1"/>
      </top>
      <bottom/>
      <diagonal/>
    </border>
    <border>
      <left style="thin">
        <color indexed="8"/>
      </left>
      <right style="thin">
        <color theme="2"/>
      </right>
      <top style="thin">
        <color rgb="FFEAEAEA"/>
      </top>
      <bottom style="thin">
        <color rgb="FFEAEAEA"/>
      </bottom>
      <diagonal/>
    </border>
    <border>
      <left style="thin">
        <color theme="2"/>
      </left>
      <right/>
      <top/>
      <bottom style="thin">
        <color auto="1"/>
      </bottom>
      <diagonal/>
    </border>
    <border>
      <left/>
      <right style="thin">
        <color theme="2"/>
      </right>
      <top style="thin">
        <color rgb="FFEAEAEA"/>
      </top>
      <bottom/>
      <diagonal/>
    </border>
    <border>
      <left style="thin">
        <color auto="1"/>
      </left>
      <right style="thin">
        <color theme="2"/>
      </right>
      <top style="thin">
        <color rgb="FFEAEAEA"/>
      </top>
      <bottom style="thin">
        <color rgb="FFEAEAEA"/>
      </bottom>
      <diagonal/>
    </border>
    <border>
      <left style="thin">
        <color rgb="FFEEECE1"/>
      </left>
      <right/>
      <top style="thin">
        <color theme="2"/>
      </top>
      <bottom/>
      <diagonal/>
    </border>
    <border>
      <left/>
      <right/>
      <top style="thin">
        <color theme="2"/>
      </top>
      <bottom/>
      <diagonal/>
    </border>
    <border>
      <left style="thin">
        <color rgb="FFEAEAEA"/>
      </left>
      <right/>
      <top style="thin">
        <color theme="2"/>
      </top>
      <bottom style="thin">
        <color rgb="FFEAEAEA"/>
      </bottom>
      <diagonal/>
    </border>
    <border>
      <left/>
      <right/>
      <top style="thin">
        <color theme="2"/>
      </top>
      <bottom style="thin">
        <color rgb="FFEAEAEA"/>
      </bottom>
      <diagonal/>
    </border>
    <border>
      <left/>
      <right style="thin">
        <color rgb="FFEAEAEA"/>
      </right>
      <top style="thin">
        <color theme="2"/>
      </top>
      <bottom style="thin">
        <color rgb="FFEAEAEA"/>
      </bottom>
      <diagonal/>
    </border>
    <border>
      <left/>
      <right style="thin">
        <color rgb="FFEEECE1"/>
      </right>
      <top style="thin">
        <color theme="2"/>
      </top>
      <bottom/>
      <diagonal/>
    </border>
    <border>
      <left style="thin">
        <color theme="2"/>
      </left>
      <right/>
      <top style="thin">
        <color theme="2"/>
      </top>
      <bottom/>
      <diagonal/>
    </border>
    <border>
      <left/>
      <right style="thin">
        <color theme="2"/>
      </right>
      <top style="thin">
        <color theme="2"/>
      </top>
      <bottom/>
      <diagonal/>
    </border>
    <border>
      <left/>
      <right style="thin">
        <color theme="2"/>
      </right>
      <top/>
      <bottom style="thin">
        <color indexed="8"/>
      </bottom>
      <diagonal/>
    </border>
    <border>
      <left style="thin">
        <color theme="2"/>
      </left>
      <right style="thin">
        <color indexed="8"/>
      </right>
      <top/>
      <bottom style="thin">
        <color theme="2"/>
      </bottom>
      <diagonal/>
    </border>
    <border>
      <left style="thin">
        <color rgb="FFEAEAEA"/>
      </left>
      <right style="thin">
        <color rgb="FFEAEAEA"/>
      </right>
      <top style="thin">
        <color theme="2"/>
      </top>
      <bottom style="thin">
        <color rgb="FFEAEAEA"/>
      </bottom>
      <diagonal/>
    </border>
    <border>
      <left/>
      <right/>
      <top/>
      <bottom style="thin">
        <color theme="2"/>
      </bottom>
      <diagonal/>
    </border>
    <border>
      <left style="thin">
        <color rgb="FFEAEAEA"/>
      </left>
      <right style="thin">
        <color rgb="FFEAEAEA"/>
      </right>
      <top style="thin">
        <color rgb="FFEAEAEA"/>
      </top>
      <bottom style="thin">
        <color theme="2"/>
      </bottom>
      <diagonal/>
    </border>
    <border>
      <left/>
      <right style="thin">
        <color rgb="FFEEECE1"/>
      </right>
      <top/>
      <bottom style="thin">
        <color theme="2"/>
      </bottom>
      <diagonal/>
    </border>
    <border>
      <left style="thin">
        <color theme="2"/>
      </left>
      <right/>
      <top/>
      <bottom style="thin">
        <color theme="2"/>
      </bottom>
      <diagonal/>
    </border>
    <border>
      <left/>
      <right style="thin">
        <color theme="2"/>
      </right>
      <top/>
      <bottom style="thin">
        <color theme="2"/>
      </bottom>
      <diagonal/>
    </border>
    <border>
      <left style="thin">
        <color theme="2"/>
      </left>
      <right style="thin">
        <color auto="1"/>
      </right>
      <top style="thin">
        <color theme="2"/>
      </top>
      <bottom style="thin">
        <color theme="2"/>
      </bottom>
      <diagonal/>
    </border>
    <border>
      <left style="thin">
        <color theme="2"/>
      </left>
      <right/>
      <top style="thin">
        <color theme="2"/>
      </top>
      <bottom style="thin">
        <color theme="2"/>
      </bottom>
      <diagonal/>
    </border>
    <border>
      <left/>
      <right/>
      <top style="thin">
        <color theme="2"/>
      </top>
      <bottom style="thin">
        <color theme="2"/>
      </bottom>
      <diagonal/>
    </border>
    <border>
      <left/>
      <right style="thin">
        <color theme="2"/>
      </right>
      <top style="thin">
        <color theme="2"/>
      </top>
      <bottom style="thin">
        <color theme="2"/>
      </bottom>
      <diagonal/>
    </border>
    <border>
      <left/>
      <right style="thin">
        <color theme="2"/>
      </right>
      <top style="thin">
        <color auto="1"/>
      </top>
      <bottom style="thin">
        <color auto="1"/>
      </bottom>
      <diagonal/>
    </border>
    <border>
      <left style="thin">
        <color theme="2"/>
      </left>
      <right/>
      <top style="thin">
        <color auto="1"/>
      </top>
      <bottom style="thin">
        <color auto="1"/>
      </bottom>
      <diagonal/>
    </border>
    <border>
      <left style="thin">
        <color auto="1"/>
      </left>
      <right style="hair">
        <color indexed="8"/>
      </right>
      <top style="thin">
        <color indexed="8"/>
      </top>
      <bottom style="thin">
        <color indexed="8"/>
      </bottom>
      <diagonal/>
    </border>
    <border>
      <left/>
      <right/>
      <top style="thin">
        <color auto="1"/>
      </top>
      <bottom style="thin">
        <color theme="2"/>
      </bottom>
      <diagonal/>
    </border>
    <border>
      <left style="thin">
        <color auto="1"/>
      </left>
      <right style="medium">
        <color auto="1"/>
      </right>
      <top/>
      <bottom style="thin">
        <color auto="1"/>
      </bottom>
      <diagonal/>
    </border>
    <border>
      <left/>
      <right style="thin">
        <color auto="1"/>
      </right>
      <top style="thin">
        <color auto="1"/>
      </top>
      <bottom style="medium">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indexed="8"/>
      </right>
      <top style="thin">
        <color indexed="8"/>
      </top>
      <bottom/>
      <diagonal/>
    </border>
    <border>
      <left/>
      <right/>
      <top/>
      <bottom style="medium">
        <color auto="1"/>
      </bottom>
      <diagonal/>
    </border>
    <border>
      <left/>
      <right style="thin">
        <color auto="1"/>
      </right>
      <top/>
      <bottom style="medium">
        <color auto="1"/>
      </bottom>
      <diagonal/>
    </border>
    <border>
      <left style="thin">
        <color theme="0" tint="-0.249977111117893"/>
      </left>
      <right/>
      <top style="thin">
        <color theme="0" tint="-0.249977111117893"/>
      </top>
      <bottom/>
      <diagonal/>
    </border>
    <border>
      <left/>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top/>
      <bottom style="thin">
        <color theme="0" tint="-0.249977111117893"/>
      </bottom>
      <diagonal/>
    </border>
    <border>
      <left/>
      <right/>
      <top/>
      <bottom style="thin">
        <color theme="0" tint="-0.249977111117893"/>
      </bottom>
      <diagonal/>
    </border>
    <border>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bottom/>
      <diagonal/>
    </border>
    <border>
      <left/>
      <right style="thin">
        <color theme="0" tint="-0.249977111117893"/>
      </right>
      <top/>
      <bottom/>
      <diagonal/>
    </border>
    <border>
      <left style="thick">
        <color indexed="8"/>
      </left>
      <right/>
      <top style="thick">
        <color indexed="8"/>
      </top>
      <bottom style="thick">
        <color indexed="8"/>
      </bottom>
      <diagonal/>
    </border>
    <border>
      <left/>
      <right/>
      <top style="thick">
        <color indexed="8"/>
      </top>
      <bottom style="thick">
        <color indexed="8"/>
      </bottom>
      <diagonal/>
    </border>
    <border>
      <left/>
      <right style="thick">
        <color indexed="8"/>
      </right>
      <top style="thick">
        <color indexed="8"/>
      </top>
      <bottom style="thick">
        <color indexed="8"/>
      </bottom>
      <diagonal/>
    </border>
    <border>
      <left/>
      <right style="thick">
        <color indexed="8"/>
      </right>
      <top/>
      <bottom/>
      <diagonal/>
    </border>
    <border>
      <left/>
      <right/>
      <top/>
      <bottom style="thick">
        <color indexed="8"/>
      </bottom>
      <diagonal/>
    </border>
    <border>
      <left/>
      <right/>
      <top style="thin">
        <color auto="1"/>
      </top>
      <bottom style="thick">
        <color indexed="8"/>
      </bottom>
      <diagonal/>
    </border>
    <border>
      <left/>
      <right/>
      <top style="thick">
        <color indexed="8"/>
      </top>
      <bottom style="thin">
        <color auto="1"/>
      </bottom>
      <diagonal/>
    </border>
    <border>
      <left/>
      <right style="thick">
        <color indexed="8"/>
      </right>
      <top style="thin">
        <color auto="1"/>
      </top>
      <bottom/>
      <diagonal/>
    </border>
    <border>
      <left style="thin">
        <color auto="1"/>
      </left>
      <right/>
      <top/>
      <bottom style="thick">
        <color indexed="8"/>
      </bottom>
      <diagonal/>
    </border>
    <border>
      <left/>
      <right style="thick">
        <color indexed="8"/>
      </right>
      <top style="thin">
        <color auto="1"/>
      </top>
      <bottom style="thin">
        <color auto="1"/>
      </bottom>
      <diagonal/>
    </border>
    <border>
      <left/>
      <right style="thin">
        <color auto="1"/>
      </right>
      <top/>
      <bottom style="thick">
        <color indexed="8"/>
      </bottom>
      <diagonal/>
    </border>
    <border>
      <left style="thin">
        <color auto="1"/>
      </left>
      <right style="thick">
        <color indexed="8"/>
      </right>
      <top style="thin">
        <color auto="1"/>
      </top>
      <bottom style="thin">
        <color auto="1"/>
      </bottom>
      <diagonal/>
    </border>
    <border>
      <left style="thick">
        <color indexed="8"/>
      </left>
      <right style="thick">
        <color indexed="8"/>
      </right>
      <top style="thin">
        <color auto="1"/>
      </top>
      <bottom style="thin">
        <color auto="1"/>
      </bottom>
      <diagonal/>
    </border>
    <border>
      <left style="thick">
        <color indexed="8"/>
      </left>
      <right style="thin">
        <color auto="1"/>
      </right>
      <top style="thin">
        <color auto="1"/>
      </top>
      <bottom style="thin">
        <color auto="1"/>
      </bottom>
      <diagonal/>
    </border>
    <border>
      <left style="thin">
        <color theme="0" tint="-4.9989318521683403E-2"/>
      </left>
      <right/>
      <top/>
      <bottom style="thin">
        <color auto="1"/>
      </bottom>
      <diagonal/>
    </border>
    <border>
      <left style="thin">
        <color theme="0" tint="-4.9989318521683403E-2"/>
      </left>
      <right/>
      <top/>
      <bottom/>
      <diagonal/>
    </border>
    <border>
      <left style="thin">
        <color auto="1"/>
      </left>
      <right/>
      <top/>
      <bottom style="thin">
        <color theme="0" tint="-4.9989318521683403E-2"/>
      </bottom>
      <diagonal/>
    </border>
    <border>
      <left/>
      <right/>
      <top/>
      <bottom style="thin">
        <color theme="0" tint="-4.9989318521683403E-2"/>
      </bottom>
      <diagonal/>
    </border>
    <border>
      <left/>
      <right style="thin">
        <color rgb="FFEEECE1"/>
      </right>
      <top/>
      <bottom style="thin">
        <color theme="0" tint="-4.9989318521683403E-2"/>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top style="thin">
        <color theme="0" tint="-4.9989318521683403E-2"/>
      </top>
      <bottom style="thin">
        <color theme="0" tint="-4.9989318521683403E-2"/>
      </bottom>
      <diagonal/>
    </border>
    <border>
      <left/>
      <right style="thin">
        <color theme="0" tint="-4.9989318521683403E-2"/>
      </right>
      <top style="thin">
        <color theme="0" tint="-4.9989318521683403E-2"/>
      </top>
      <bottom style="thin">
        <color theme="0" tint="-4.9989318521683403E-2"/>
      </bottom>
      <diagonal/>
    </border>
    <border>
      <left style="thin">
        <color theme="0" tint="-4.9989318521683403E-2"/>
      </left>
      <right/>
      <top style="thin">
        <color theme="2"/>
      </top>
      <bottom style="thin">
        <color theme="0" tint="-4.9989318521683403E-2"/>
      </bottom>
      <diagonal/>
    </border>
    <border>
      <left/>
      <right style="thin">
        <color theme="0" tint="-4.9989318521683403E-2"/>
      </right>
      <top style="thin">
        <color theme="2"/>
      </top>
      <bottom/>
      <diagonal/>
    </border>
    <border>
      <left/>
      <right style="thin">
        <color theme="0" tint="-4.9989318521683403E-2"/>
      </right>
      <top/>
      <bottom/>
      <diagonal/>
    </border>
    <border>
      <left style="thin">
        <color theme="0" tint="-4.9989318521683403E-2"/>
      </left>
      <right/>
      <top style="thin">
        <color theme="2"/>
      </top>
      <bottom/>
      <diagonal/>
    </border>
    <border>
      <left/>
      <right style="thin">
        <color theme="0" tint="-4.9989318521683403E-2"/>
      </right>
      <top style="thin">
        <color auto="1"/>
      </top>
      <bottom/>
      <diagonal/>
    </border>
    <border>
      <left style="thin">
        <color theme="0" tint="-4.9989318521683403E-2"/>
      </left>
      <right/>
      <top style="thin">
        <color auto="1"/>
      </top>
      <bottom style="thin">
        <color theme="2"/>
      </bottom>
      <diagonal/>
    </border>
    <border>
      <left style="thin">
        <color theme="0" tint="-4.9989318521683403E-2"/>
      </left>
      <right/>
      <top style="thin">
        <color auto="1"/>
      </top>
      <bottom/>
      <diagonal/>
    </border>
    <border>
      <left style="thin">
        <color theme="0" tint="-4.9989318521683403E-2"/>
      </left>
      <right/>
      <top style="thin">
        <color auto="1"/>
      </top>
      <bottom style="thin">
        <color theme="0" tint="-4.9989318521683403E-2"/>
      </bottom>
      <diagonal/>
    </border>
    <border>
      <left/>
      <right style="thin">
        <color theme="0" tint="-4.9989318521683403E-2"/>
      </right>
      <top style="thin">
        <color auto="1"/>
      </top>
      <bottom style="thin">
        <color theme="0" tint="-4.9989318521683403E-2"/>
      </bottom>
      <diagonal/>
    </border>
    <border>
      <left style="thin">
        <color theme="0" tint="-4.9989318521683403E-2"/>
      </left>
      <right/>
      <top style="thin">
        <color auto="1"/>
      </top>
      <bottom style="thin">
        <color auto="1"/>
      </bottom>
      <diagonal/>
    </border>
    <border>
      <left style="thin">
        <color theme="0" tint="-4.9989318521683403E-2"/>
      </left>
      <right/>
      <top style="thin">
        <color theme="0" tint="-4.9989318521683403E-2"/>
      </top>
      <bottom/>
      <diagonal/>
    </border>
    <border>
      <left/>
      <right style="thin">
        <color theme="0" tint="-4.9989318521683403E-2"/>
      </right>
      <top style="thin">
        <color theme="0" tint="-4.9989318521683403E-2"/>
      </top>
      <bottom/>
      <diagonal/>
    </border>
    <border>
      <left/>
      <right/>
      <top style="thin">
        <color theme="0" tint="-4.9989318521683403E-2"/>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diagonal/>
    </border>
    <border>
      <left style="thin">
        <color auto="1"/>
      </left>
      <right style="thin">
        <color theme="0"/>
      </right>
      <top style="thin">
        <color auto="1"/>
      </top>
      <bottom/>
      <diagonal/>
    </border>
    <border>
      <left style="thin">
        <color theme="0"/>
      </left>
      <right/>
      <top style="thin">
        <color auto="1"/>
      </top>
      <bottom/>
      <diagonal/>
    </border>
    <border>
      <left/>
      <right style="thin">
        <color theme="0"/>
      </right>
      <top style="thin">
        <color auto="1"/>
      </top>
      <bottom/>
      <diagonal/>
    </border>
    <border>
      <left style="thin">
        <color theme="0"/>
      </left>
      <right style="thin">
        <color theme="0"/>
      </right>
      <top style="thin">
        <color auto="1"/>
      </top>
      <bottom/>
      <diagonal/>
    </border>
    <border>
      <left style="thin">
        <color auto="1"/>
      </left>
      <right style="thin">
        <color theme="0"/>
      </right>
      <top/>
      <bottom/>
      <diagonal/>
    </border>
    <border>
      <left/>
      <right style="thin">
        <color auto="1"/>
      </right>
      <top/>
      <bottom style="thin">
        <color theme="0"/>
      </bottom>
      <diagonal/>
    </border>
    <border>
      <left style="thin">
        <color auto="1"/>
      </left>
      <right style="thin">
        <color theme="0"/>
      </right>
      <top style="thin">
        <color theme="0"/>
      </top>
      <bottom/>
      <diagonal/>
    </border>
    <border>
      <left/>
      <right style="thin">
        <color auto="1"/>
      </right>
      <top style="thin">
        <color theme="0"/>
      </top>
      <bottom/>
      <diagonal/>
    </border>
    <border>
      <left style="thin">
        <color auto="1"/>
      </left>
      <right style="thin">
        <color theme="0"/>
      </right>
      <top/>
      <bottom style="thin">
        <color auto="1"/>
      </bottom>
      <diagonal/>
    </border>
    <border>
      <left style="thin">
        <color theme="0"/>
      </left>
      <right/>
      <top/>
      <bottom style="thin">
        <color auto="1"/>
      </bottom>
      <diagonal/>
    </border>
    <border>
      <left/>
      <right style="thin">
        <color theme="0"/>
      </right>
      <top/>
      <bottom style="thin">
        <color auto="1"/>
      </bottom>
      <diagonal/>
    </border>
    <border>
      <left style="thin">
        <color theme="0"/>
      </left>
      <right style="thin">
        <color theme="0"/>
      </right>
      <top/>
      <bottom style="thin">
        <color auto="1"/>
      </bottom>
      <diagonal/>
    </border>
    <border>
      <left style="thin">
        <color auto="1"/>
      </left>
      <right style="thin">
        <color theme="0"/>
      </right>
      <top/>
      <bottom style="thin">
        <color theme="0"/>
      </bottom>
      <diagonal/>
    </border>
    <border>
      <left style="thin">
        <color auto="1"/>
      </left>
      <right style="thin">
        <color theme="0" tint="-0.14999847407452621"/>
      </right>
      <top style="thin">
        <color auto="1"/>
      </top>
      <bottom style="thin">
        <color auto="1"/>
      </bottom>
      <diagonal/>
    </border>
    <border>
      <left style="thin">
        <color theme="0" tint="-0.14999847407452621"/>
      </left>
      <right style="thin">
        <color theme="0" tint="-0.14999847407452621"/>
      </right>
      <top style="thin">
        <color auto="1"/>
      </top>
      <bottom style="thin">
        <color auto="1"/>
      </bottom>
      <diagonal/>
    </border>
    <border>
      <left style="thin">
        <color theme="0" tint="-0.14999847407452621"/>
      </left>
      <right style="thin">
        <color auto="1"/>
      </right>
      <top style="thin">
        <color auto="1"/>
      </top>
      <bottom style="thin">
        <color auto="1"/>
      </bottom>
      <diagonal/>
    </border>
    <border>
      <left style="thin">
        <color auto="1"/>
      </left>
      <right style="thin">
        <color theme="0"/>
      </right>
      <top style="thin">
        <color auto="1"/>
      </top>
      <bottom style="thin">
        <color auto="1"/>
      </bottom>
      <diagonal/>
    </border>
    <border>
      <left style="thin">
        <color theme="0"/>
      </left>
      <right style="thin">
        <color auto="1"/>
      </right>
      <top style="thin">
        <color auto="1"/>
      </top>
      <bottom style="thin">
        <color auto="1"/>
      </bottom>
      <diagonal/>
    </border>
    <border>
      <left style="thin">
        <color theme="0" tint="-4.9989318521683403E-2"/>
      </left>
      <right style="thin">
        <color theme="0" tint="-4.9989318521683403E-2"/>
      </right>
      <top style="thin">
        <color auto="1"/>
      </top>
      <bottom style="thin">
        <color auto="1"/>
      </bottom>
      <diagonal/>
    </border>
    <border>
      <left/>
      <right style="thin">
        <color theme="0" tint="-4.9989318521683403E-2"/>
      </right>
      <top/>
      <bottom style="thin">
        <color theme="0" tint="-4.9989318521683403E-2"/>
      </bottom>
      <diagonal/>
    </border>
    <border>
      <left/>
      <right/>
      <top style="hair">
        <color auto="1"/>
      </top>
      <bottom/>
      <diagonal/>
    </border>
    <border>
      <left style="thin">
        <color auto="1"/>
      </left>
      <right style="hair">
        <color auto="1"/>
      </right>
      <top style="thin">
        <color auto="1"/>
      </top>
      <bottom/>
      <diagonal/>
    </border>
    <border>
      <left style="hair">
        <color auto="1"/>
      </left>
      <right style="thin">
        <color auto="1"/>
      </right>
      <top style="thin">
        <color indexed="8"/>
      </top>
      <bottom style="thin">
        <color auto="1"/>
      </bottom>
      <diagonal/>
    </border>
    <border>
      <left style="hair">
        <color auto="1"/>
      </left>
      <right style="hair">
        <color auto="1"/>
      </right>
      <top style="thin">
        <color auto="1"/>
      </top>
      <bottom style="medium">
        <color auto="1"/>
      </bottom>
      <diagonal/>
    </border>
    <border>
      <left style="thin">
        <color theme="0" tint="-0.14999847407452621"/>
      </left>
      <right/>
      <top/>
      <bottom/>
      <diagonal/>
    </border>
    <border>
      <left/>
      <right style="hair">
        <color auto="1"/>
      </right>
      <top style="thin">
        <color auto="1"/>
      </top>
      <bottom style="medium">
        <color auto="1"/>
      </bottom>
      <diagonal/>
    </border>
    <border>
      <left style="thin">
        <color auto="1"/>
      </left>
      <right style="hair">
        <color auto="1"/>
      </right>
      <top style="thin">
        <color auto="1"/>
      </top>
      <bottom style="medium">
        <color auto="1"/>
      </bottom>
      <diagonal/>
    </border>
    <border>
      <left style="thin">
        <color auto="1"/>
      </left>
      <right style="hair">
        <color auto="1"/>
      </right>
      <top style="medium">
        <color auto="1"/>
      </top>
      <bottom style="thin">
        <color auto="1"/>
      </bottom>
      <diagonal/>
    </border>
    <border>
      <left style="hair">
        <color auto="1"/>
      </left>
      <right style="hair">
        <color auto="1"/>
      </right>
      <top style="medium">
        <color auto="1"/>
      </top>
      <bottom style="thin">
        <color auto="1"/>
      </bottom>
      <diagonal/>
    </border>
    <border>
      <left style="thin">
        <color auto="1"/>
      </left>
      <right style="thin">
        <color indexed="8"/>
      </right>
      <top style="thin">
        <color indexed="8"/>
      </top>
      <bottom style="thin">
        <color auto="1"/>
      </bottom>
      <diagonal/>
    </border>
    <border>
      <left style="hair">
        <color auto="1"/>
      </left>
      <right style="thin">
        <color auto="1"/>
      </right>
      <top style="thin">
        <color auto="1"/>
      </top>
      <bottom style="thin">
        <color indexed="8"/>
      </bottom>
      <diagonal/>
    </border>
  </borders>
  <cellStyleXfs count="72">
    <xf numFmtId="0" fontId="0" fillId="0" borderId="0"/>
    <xf numFmtId="0" fontId="22" fillId="0" borderId="0" applyNumberFormat="0" applyFill="0" applyBorder="0" applyAlignment="0" applyProtection="0">
      <alignment vertical="top"/>
      <protection locked="0"/>
    </xf>
    <xf numFmtId="44" fontId="20" fillId="0" borderId="0" applyFont="0" applyFill="0" applyBorder="0" applyAlignment="0" applyProtection="0"/>
    <xf numFmtId="0" fontId="20" fillId="0" borderId="0"/>
    <xf numFmtId="0" fontId="1" fillId="0" borderId="0"/>
    <xf numFmtId="0" fontId="4" fillId="0" borderId="0"/>
    <xf numFmtId="9" fontId="20" fillId="0" borderId="0" applyFont="0" applyFill="0" applyBorder="0" applyAlignment="0" applyProtection="0"/>
    <xf numFmtId="9" fontId="12" fillId="0" borderId="0" applyFont="0" applyFill="0" applyBorder="0" applyAlignment="0" applyProtection="0"/>
    <xf numFmtId="43" fontId="20" fillId="0" borderId="0" applyFont="0" applyFill="0" applyBorder="0" applyAlignment="0" applyProtection="0"/>
    <xf numFmtId="0" fontId="1" fillId="0" borderId="0"/>
    <xf numFmtId="0" fontId="12" fillId="0" borderId="0"/>
    <xf numFmtId="176" fontId="126" fillId="0" borderId="0"/>
    <xf numFmtId="0" fontId="12" fillId="0" borderId="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cellStyleXfs>
  <cellXfs count="2256">
    <xf numFmtId="0" fontId="0" fillId="0" borderId="0" xfId="0"/>
    <xf numFmtId="0" fontId="0" fillId="3" borderId="0" xfId="0" applyFill="1"/>
    <xf numFmtId="0" fontId="6" fillId="3" borderId="0" xfId="0" applyFont="1" applyFill="1" applyAlignment="1">
      <alignment horizontal="center"/>
    </xf>
    <xf numFmtId="0" fontId="0" fillId="3" borderId="0" xfId="0" applyFill="1" applyBorder="1"/>
    <xf numFmtId="0" fontId="0" fillId="2" borderId="0" xfId="0" applyFill="1"/>
    <xf numFmtId="0" fontId="1" fillId="3" borderId="0" xfId="4" applyFont="1" applyFill="1"/>
    <xf numFmtId="0" fontId="24" fillId="0" borderId="0" xfId="0" applyFont="1"/>
    <xf numFmtId="0" fontId="1" fillId="2" borderId="0" xfId="4" applyFont="1" applyFill="1" applyBorder="1"/>
    <xf numFmtId="0" fontId="1" fillId="2" borderId="0" xfId="4" applyFont="1" applyFill="1" applyBorder="1" applyAlignment="1"/>
    <xf numFmtId="0" fontId="1" fillId="2" borderId="0" xfId="4" applyFont="1" applyFill="1" applyBorder="1" applyAlignment="1">
      <alignment horizontal="left"/>
    </xf>
    <xf numFmtId="0" fontId="1" fillId="2" borderId="0" xfId="4" applyFont="1" applyFill="1" applyAlignment="1"/>
    <xf numFmtId="0" fontId="8" fillId="2" borderId="0" xfId="4" applyFont="1" applyFill="1" applyBorder="1" applyAlignment="1">
      <alignment horizontal="left"/>
    </xf>
    <xf numFmtId="0" fontId="24" fillId="2" borderId="0" xfId="0" applyFont="1" applyFill="1"/>
    <xf numFmtId="0" fontId="24" fillId="3" borderId="0" xfId="0" applyFont="1" applyFill="1"/>
    <xf numFmtId="2" fontId="3" fillId="2" borderId="0" xfId="4" applyNumberFormat="1" applyFont="1" applyFill="1" applyBorder="1" applyAlignment="1"/>
    <xf numFmtId="0" fontId="0" fillId="0" borderId="0" xfId="0"/>
    <xf numFmtId="0" fontId="24" fillId="4" borderId="0" xfId="0" applyFont="1" applyFill="1"/>
    <xf numFmtId="0" fontId="7" fillId="3" borderId="1" xfId="0" applyFont="1" applyFill="1" applyBorder="1" applyAlignment="1">
      <alignment horizontal="center" vertical="center"/>
    </xf>
    <xf numFmtId="0" fontId="0" fillId="0" borderId="0" xfId="0"/>
    <xf numFmtId="0" fontId="55" fillId="3" borderId="0" xfId="0" applyFont="1" applyFill="1"/>
    <xf numFmtId="0" fontId="2" fillId="3" borderId="0" xfId="0" applyFont="1" applyFill="1"/>
    <xf numFmtId="0" fontId="36" fillId="3" borderId="0" xfId="0" applyFont="1" applyFill="1"/>
    <xf numFmtId="0" fontId="15" fillId="3" borderId="0" xfId="0" applyFont="1" applyFill="1"/>
    <xf numFmtId="0" fontId="9" fillId="3" borderId="0" xfId="0" applyFont="1" applyFill="1"/>
    <xf numFmtId="0" fontId="7" fillId="3" borderId="0" xfId="0" applyFont="1" applyFill="1" applyAlignment="1">
      <alignment horizontal="center"/>
    </xf>
    <xf numFmtId="0" fontId="7" fillId="3" borderId="0" xfId="0" applyFont="1" applyFill="1" applyAlignment="1">
      <alignment horizontal="left"/>
    </xf>
    <xf numFmtId="0" fontId="9" fillId="3" borderId="0" xfId="0" applyFont="1" applyFill="1" applyAlignment="1"/>
    <xf numFmtId="0" fontId="7" fillId="3" borderId="0" xfId="0" applyFont="1" applyFill="1" applyAlignment="1"/>
    <xf numFmtId="0" fontId="56" fillId="3" borderId="0" xfId="0" applyFont="1" applyFill="1"/>
    <xf numFmtId="0" fontId="24" fillId="3" borderId="0" xfId="0" applyFont="1" applyFill="1" applyAlignment="1">
      <alignment horizontal="center"/>
    </xf>
    <xf numFmtId="0" fontId="7" fillId="3" borderId="0" xfId="0" applyFont="1" applyFill="1"/>
    <xf numFmtId="0" fontId="1" fillId="5" borderId="0" xfId="0" applyFont="1" applyFill="1" applyBorder="1" applyAlignment="1" applyProtection="1">
      <alignment horizontal="left"/>
      <protection locked="0"/>
    </xf>
    <xf numFmtId="0" fontId="37" fillId="3" borderId="0" xfId="0" applyFont="1" applyFill="1"/>
    <xf numFmtId="0" fontId="32" fillId="3" borderId="0" xfId="0" applyFont="1" applyFill="1"/>
    <xf numFmtId="0" fontId="3" fillId="3" borderId="0" xfId="0" applyFont="1" applyFill="1" applyBorder="1" applyAlignment="1">
      <alignment horizontal="center"/>
    </xf>
    <xf numFmtId="0" fontId="6" fillId="3" borderId="0" xfId="0" applyFont="1" applyFill="1"/>
    <xf numFmtId="0" fontId="24" fillId="5" borderId="0" xfId="0" applyFont="1" applyFill="1" applyBorder="1" applyAlignment="1" applyProtection="1">
      <alignment horizontal="left"/>
      <protection locked="0"/>
    </xf>
    <xf numFmtId="0" fontId="10" fillId="3" borderId="0" xfId="0" applyFont="1" applyFill="1" applyBorder="1" applyAlignment="1"/>
    <xf numFmtId="0" fontId="24" fillId="3" borderId="0" xfId="0" applyFont="1" applyFill="1" applyBorder="1"/>
    <xf numFmtId="0" fontId="6" fillId="5" borderId="0" xfId="0" applyFont="1" applyFill="1" applyBorder="1" applyAlignment="1" applyProtection="1">
      <alignment horizontal="center"/>
      <protection locked="0"/>
    </xf>
    <xf numFmtId="0" fontId="7" fillId="3" borderId="1" xfId="0" applyFont="1" applyFill="1" applyBorder="1" applyProtection="1"/>
    <xf numFmtId="0" fontId="2" fillId="3" borderId="1" xfId="0" applyFont="1" applyFill="1" applyBorder="1" applyProtection="1"/>
    <xf numFmtId="0" fontId="6" fillId="3" borderId="0" xfId="0" applyFont="1" applyFill="1" applyBorder="1" applyAlignment="1" applyProtection="1">
      <alignment horizontal="center"/>
    </xf>
    <xf numFmtId="0" fontId="24" fillId="3" borderId="0" xfId="0" applyFont="1" applyFill="1" applyBorder="1" applyProtection="1"/>
    <xf numFmtId="0" fontId="32" fillId="3" borderId="1" xfId="0" applyFont="1" applyFill="1" applyBorder="1"/>
    <xf numFmtId="0" fontId="2" fillId="3" borderId="0" xfId="0" applyFont="1" applyFill="1" applyBorder="1"/>
    <xf numFmtId="0" fontId="82" fillId="3" borderId="0" xfId="0" applyFont="1" applyFill="1"/>
    <xf numFmtId="0" fontId="24" fillId="3" borderId="0" xfId="0" applyFont="1" applyFill="1" applyAlignment="1">
      <alignment horizontal="left"/>
    </xf>
    <xf numFmtId="0" fontId="24" fillId="3" borderId="0" xfId="0" applyFont="1" applyFill="1" applyBorder="1" applyAlignment="1">
      <alignment textRotation="90"/>
    </xf>
    <xf numFmtId="0" fontId="32" fillId="3" borderId="0" xfId="0" applyFont="1" applyFill="1" applyBorder="1" applyAlignment="1">
      <alignment vertical="center"/>
    </xf>
    <xf numFmtId="0" fontId="37" fillId="3" borderId="0" xfId="0" applyFont="1" applyFill="1" applyBorder="1"/>
    <xf numFmtId="0" fontId="34" fillId="3" borderId="0" xfId="0" applyFont="1" applyFill="1"/>
    <xf numFmtId="168" fontId="24" fillId="3" borderId="0" xfId="8" applyNumberFormat="1" applyFont="1" applyFill="1" applyBorder="1"/>
    <xf numFmtId="43" fontId="24" fillId="3" borderId="0" xfId="0" applyNumberFormat="1" applyFont="1" applyFill="1" applyBorder="1"/>
    <xf numFmtId="0" fontId="32" fillId="3" borderId="0" xfId="0" applyFont="1" applyFill="1" applyBorder="1" applyAlignment="1">
      <alignment horizontal="left"/>
    </xf>
    <xf numFmtId="0" fontId="2" fillId="3" borderId="0" xfId="4" applyFont="1" applyFill="1" applyBorder="1" applyAlignment="1">
      <alignment horizontal="left"/>
    </xf>
    <xf numFmtId="0" fontId="24" fillId="3" borderId="0" xfId="0" applyFont="1" applyFill="1" applyAlignment="1">
      <alignment horizontal="center" vertical="center"/>
    </xf>
    <xf numFmtId="0" fontId="39" fillId="3" borderId="0" xfId="0" applyFont="1" applyFill="1"/>
    <xf numFmtId="43" fontId="43" fillId="3" borderId="0" xfId="0" applyNumberFormat="1" applyFont="1" applyFill="1"/>
    <xf numFmtId="43" fontId="25" fillId="3" borderId="0" xfId="0" applyNumberFormat="1" applyFont="1" applyFill="1"/>
    <xf numFmtId="0" fontId="32" fillId="3" borderId="0" xfId="0" applyFont="1" applyFill="1" applyBorder="1"/>
    <xf numFmtId="0" fontId="37" fillId="3" borderId="0" xfId="0" applyFont="1" applyFill="1" applyAlignment="1">
      <alignment horizontal="right"/>
    </xf>
    <xf numFmtId="0" fontId="5" fillId="3" borderId="0" xfId="0" applyFont="1" applyFill="1"/>
    <xf numFmtId="0" fontId="10" fillId="3" borderId="0" xfId="0" applyFont="1" applyFill="1"/>
    <xf numFmtId="166" fontId="10" fillId="3" borderId="0" xfId="0" applyNumberFormat="1" applyFont="1" applyFill="1"/>
    <xf numFmtId="0" fontId="75" fillId="3" borderId="0" xfId="0" applyFont="1" applyFill="1"/>
    <xf numFmtId="0" fontId="73" fillId="3" borderId="0" xfId="0" applyFont="1" applyFill="1"/>
    <xf numFmtId="0" fontId="5" fillId="3" borderId="0" xfId="0" applyFont="1" applyFill="1" applyAlignment="1">
      <alignment vertical="top"/>
    </xf>
    <xf numFmtId="44" fontId="32" fillId="3" borderId="0" xfId="2" applyFont="1" applyFill="1" applyBorder="1" applyAlignment="1">
      <alignment horizontal="left"/>
    </xf>
    <xf numFmtId="0" fontId="24" fillId="3" borderId="0" xfId="0" applyFont="1" applyFill="1" applyBorder="1" applyAlignment="1"/>
    <xf numFmtId="0" fontId="72" fillId="3" borderId="0" xfId="0" applyFont="1" applyFill="1"/>
    <xf numFmtId="166" fontId="72" fillId="3" borderId="0" xfId="0" applyNumberFormat="1" applyFont="1" applyFill="1"/>
    <xf numFmtId="0" fontId="32" fillId="3" borderId="0" xfId="0" applyFont="1" applyFill="1" applyBorder="1" applyAlignment="1"/>
    <xf numFmtId="14" fontId="24" fillId="5" borderId="0" xfId="0" applyNumberFormat="1" applyFont="1" applyFill="1" applyBorder="1" applyAlignment="1" applyProtection="1">
      <protection locked="0"/>
    </xf>
    <xf numFmtId="0" fontId="62" fillId="3" borderId="0" xfId="0" applyFont="1" applyFill="1"/>
    <xf numFmtId="0" fontId="38" fillId="3" borderId="0" xfId="0" applyFont="1" applyFill="1"/>
    <xf numFmtId="44" fontId="24" fillId="3" borderId="0" xfId="2" applyFont="1" applyFill="1" applyBorder="1" applyAlignment="1">
      <alignment horizontal="center"/>
    </xf>
    <xf numFmtId="44" fontId="10" fillId="5" borderId="0" xfId="2" applyFont="1" applyFill="1" applyBorder="1" applyAlignment="1" applyProtection="1">
      <alignment horizontal="left"/>
      <protection locked="0"/>
    </xf>
    <xf numFmtId="44" fontId="7" fillId="5" borderId="0" xfId="2" applyFont="1" applyFill="1" applyBorder="1" applyAlignment="1" applyProtection="1">
      <alignment horizontal="left"/>
      <protection locked="0"/>
    </xf>
    <xf numFmtId="0" fontId="24" fillId="3" borderId="8" xfId="0" applyFont="1" applyFill="1" applyBorder="1"/>
    <xf numFmtId="0" fontId="2" fillId="3" borderId="0" xfId="0" applyFont="1" applyFill="1" applyBorder="1" applyAlignment="1" applyProtection="1">
      <alignment horizontal="left"/>
    </xf>
    <xf numFmtId="0" fontId="10" fillId="3" borderId="0" xfId="0" applyFont="1" applyFill="1" applyBorder="1" applyAlignment="1" applyProtection="1">
      <alignment horizontal="center"/>
    </xf>
    <xf numFmtId="0" fontId="40" fillId="3" borderId="0" xfId="0" applyFont="1" applyFill="1"/>
    <xf numFmtId="167" fontId="24" fillId="3" borderId="0" xfId="0" applyNumberFormat="1" applyFont="1" applyFill="1" applyBorder="1" applyAlignment="1">
      <alignment horizontal="center"/>
    </xf>
    <xf numFmtId="0" fontId="32" fillId="3" borderId="0" xfId="0" applyFont="1" applyFill="1" applyBorder="1" applyAlignment="1" applyProtection="1">
      <alignment vertical="top"/>
      <protection locked="0"/>
    </xf>
    <xf numFmtId="0" fontId="39" fillId="3" borderId="0" xfId="0" applyFont="1" applyFill="1" applyBorder="1" applyAlignment="1">
      <alignment horizontal="center"/>
    </xf>
    <xf numFmtId="0" fontId="83" fillId="3" borderId="0" xfId="0" applyFont="1" applyFill="1"/>
    <xf numFmtId="0" fontId="50" fillId="3" borderId="0" xfId="0" applyFont="1" applyFill="1"/>
    <xf numFmtId="0" fontId="16" fillId="3" borderId="0" xfId="4" applyFont="1" applyFill="1" applyAlignment="1"/>
    <xf numFmtId="0" fontId="45" fillId="3" borderId="0" xfId="4" applyFont="1" applyFill="1" applyAlignment="1">
      <alignment horizontal="left"/>
    </xf>
    <xf numFmtId="0" fontId="17" fillId="3" borderId="0" xfId="4" applyFont="1" applyFill="1" applyBorder="1" applyAlignment="1">
      <alignment vertical="center"/>
    </xf>
    <xf numFmtId="0" fontId="77" fillId="3" borderId="0" xfId="0" applyFont="1" applyFill="1" applyBorder="1" applyAlignment="1"/>
    <xf numFmtId="0" fontId="2" fillId="3" borderId="0" xfId="0" applyFont="1" applyFill="1" applyBorder="1" applyAlignment="1"/>
    <xf numFmtId="0" fontId="24" fillId="3" borderId="20" xfId="0" applyFont="1" applyFill="1" applyBorder="1"/>
    <xf numFmtId="0" fontId="24" fillId="3" borderId="21" xfId="0" applyFont="1" applyFill="1" applyBorder="1"/>
    <xf numFmtId="0" fontId="77" fillId="3" borderId="0" xfId="0" applyFont="1" applyFill="1" applyBorder="1" applyAlignment="1">
      <alignment vertical="center" wrapText="1"/>
    </xf>
    <xf numFmtId="0" fontId="2" fillId="3" borderId="0" xfId="0" applyFont="1" applyFill="1" applyBorder="1" applyAlignment="1">
      <alignment vertical="center" wrapText="1"/>
    </xf>
    <xf numFmtId="0" fontId="18" fillId="3" borderId="20" xfId="4" applyFont="1" applyFill="1" applyBorder="1" applyAlignment="1">
      <alignment horizontal="center" vertical="center"/>
    </xf>
    <xf numFmtId="0" fontId="18" fillId="3" borderId="0" xfId="0" applyFont="1" applyFill="1" applyBorder="1" applyAlignment="1">
      <alignment horizontal="left" vertical="center"/>
    </xf>
    <xf numFmtId="0" fontId="17" fillId="3" borderId="21" xfId="0" applyFont="1" applyFill="1" applyBorder="1" applyAlignment="1">
      <alignment horizontal="left" vertical="center"/>
    </xf>
    <xf numFmtId="0" fontId="2" fillId="3" borderId="0" xfId="0" applyFont="1" applyFill="1" applyBorder="1" applyAlignment="1">
      <alignment horizontal="left"/>
    </xf>
    <xf numFmtId="0" fontId="17" fillId="3" borderId="20" xfId="0" applyFont="1" applyFill="1" applyBorder="1" applyAlignment="1">
      <alignment horizontal="left" vertical="center"/>
    </xf>
    <xf numFmtId="0" fontId="37" fillId="3" borderId="20" xfId="0" applyFont="1" applyFill="1" applyBorder="1"/>
    <xf numFmtId="0" fontId="77" fillId="3" borderId="0" xfId="0" applyFont="1" applyFill="1" applyBorder="1" applyAlignment="1" applyProtection="1">
      <alignment vertical="center" wrapText="1"/>
      <protection hidden="1"/>
    </xf>
    <xf numFmtId="164" fontId="77" fillId="3" borderId="0" xfId="0" applyNumberFormat="1" applyFont="1" applyFill="1" applyBorder="1" applyAlignment="1" applyProtection="1">
      <alignment horizontal="center" vertical="center" wrapText="1"/>
      <protection hidden="1"/>
    </xf>
    <xf numFmtId="0" fontId="77" fillId="3" borderId="0" xfId="0" applyFont="1" applyFill="1" applyBorder="1" applyAlignment="1">
      <alignment horizontal="left" vertical="center"/>
    </xf>
    <xf numFmtId="0" fontId="37" fillId="3" borderId="16" xfId="0" applyFont="1" applyFill="1" applyBorder="1" applyAlignment="1"/>
    <xf numFmtId="0" fontId="37" fillId="3" borderId="22" xfId="0" applyFont="1" applyFill="1" applyBorder="1" applyAlignment="1"/>
    <xf numFmtId="11" fontId="24" fillId="3" borderId="0" xfId="0" applyNumberFormat="1" applyFont="1" applyFill="1" applyBorder="1"/>
    <xf numFmtId="3" fontId="1" fillId="3" borderId="0" xfId="0" applyNumberFormat="1" applyFont="1" applyFill="1" applyBorder="1" applyAlignment="1">
      <alignment horizontal="center"/>
    </xf>
    <xf numFmtId="0" fontId="1" fillId="3" borderId="0" xfId="0" applyFont="1" applyFill="1" applyBorder="1"/>
    <xf numFmtId="0" fontId="16" fillId="3" borderId="20" xfId="4" applyFont="1" applyFill="1" applyBorder="1" applyAlignment="1">
      <alignment vertical="center"/>
    </xf>
    <xf numFmtId="0" fontId="24" fillId="3" borderId="0" xfId="0" applyFont="1" applyFill="1" applyAlignment="1">
      <alignment wrapText="1"/>
    </xf>
    <xf numFmtId="0" fontId="24" fillId="3" borderId="19" xfId="0" applyFont="1" applyFill="1" applyBorder="1"/>
    <xf numFmtId="0" fontId="16" fillId="3" borderId="0" xfId="4" applyFont="1" applyFill="1" applyBorder="1" applyAlignment="1">
      <alignment vertical="center"/>
    </xf>
    <xf numFmtId="0" fontId="2" fillId="3" borderId="20" xfId="0" applyFont="1" applyFill="1" applyBorder="1" applyAlignment="1" applyProtection="1">
      <alignment vertical="center"/>
      <protection hidden="1"/>
    </xf>
    <xf numFmtId="0" fontId="68" fillId="3" borderId="0" xfId="0" applyFont="1" applyFill="1" applyBorder="1" applyAlignment="1" applyProtection="1">
      <alignment horizontal="center" vertical="center" wrapText="1"/>
      <protection hidden="1"/>
    </xf>
    <xf numFmtId="164" fontId="68" fillId="3" borderId="0" xfId="0" applyNumberFormat="1" applyFont="1" applyFill="1" applyBorder="1" applyAlignment="1" applyProtection="1">
      <alignment horizontal="center" vertical="center" wrapText="1"/>
      <protection hidden="1"/>
    </xf>
    <xf numFmtId="0" fontId="24" fillId="3" borderId="22" xfId="0" applyFont="1" applyFill="1" applyBorder="1"/>
    <xf numFmtId="0" fontId="46" fillId="3" borderId="0" xfId="0" applyFont="1" applyFill="1" applyBorder="1" applyAlignment="1"/>
    <xf numFmtId="0" fontId="10" fillId="3" borderId="16" xfId="4" applyFont="1" applyFill="1" applyBorder="1"/>
    <xf numFmtId="0" fontId="24" fillId="3" borderId="16" xfId="0" applyFont="1" applyFill="1" applyBorder="1"/>
    <xf numFmtId="0" fontId="1" fillId="3" borderId="16" xfId="0" applyFont="1" applyFill="1" applyBorder="1"/>
    <xf numFmtId="0" fontId="26" fillId="3" borderId="20" xfId="0" applyFont="1" applyFill="1" applyBorder="1" applyAlignment="1">
      <alignment horizontal="center"/>
    </xf>
    <xf numFmtId="0" fontId="1" fillId="3" borderId="0" xfId="0" applyFont="1" applyFill="1"/>
    <xf numFmtId="0" fontId="1" fillId="3" borderId="0" xfId="5" applyFont="1" applyFill="1"/>
    <xf numFmtId="0" fontId="77" fillId="3" borderId="0" xfId="0" applyFont="1" applyFill="1" applyBorder="1" applyAlignment="1">
      <alignment horizontal="center" vertical="center" wrapText="1"/>
    </xf>
    <xf numFmtId="2" fontId="74" fillId="3" borderId="0" xfId="0" applyNumberFormat="1" applyFont="1" applyFill="1" applyBorder="1" applyAlignment="1">
      <alignment horizontal="center"/>
    </xf>
    <xf numFmtId="0" fontId="57" fillId="3" borderId="20" xfId="0" applyFont="1" applyFill="1" applyBorder="1" applyAlignment="1">
      <alignment horizontal="center" wrapText="1"/>
    </xf>
    <xf numFmtId="9" fontId="1" fillId="3" borderId="16" xfId="6" applyFont="1" applyFill="1" applyBorder="1"/>
    <xf numFmtId="44" fontId="10" fillId="3" borderId="0" xfId="2" applyFont="1" applyFill="1" applyBorder="1"/>
    <xf numFmtId="44" fontId="10" fillId="3" borderId="0" xfId="0" applyNumberFormat="1" applyFont="1" applyFill="1"/>
    <xf numFmtId="9" fontId="1" fillId="3" borderId="0" xfId="6" applyFont="1" applyFill="1"/>
    <xf numFmtId="0" fontId="1" fillId="3" borderId="0" xfId="0" applyFont="1" applyFill="1" applyBorder="1" applyAlignment="1">
      <alignment horizontal="center" vertical="top" wrapText="1"/>
    </xf>
    <xf numFmtId="9" fontId="1" fillId="3" borderId="0" xfId="6" applyFont="1" applyFill="1" applyBorder="1"/>
    <xf numFmtId="0" fontId="5" fillId="3" borderId="0" xfId="0" applyFont="1" applyFill="1" applyBorder="1"/>
    <xf numFmtId="0" fontId="9" fillId="3" borderId="0" xfId="4" applyFont="1" applyFill="1" applyBorder="1"/>
    <xf numFmtId="0" fontId="1" fillId="3" borderId="0" xfId="4" applyFont="1" applyFill="1" applyBorder="1"/>
    <xf numFmtId="0" fontId="6" fillId="3" borderId="0" xfId="4" applyFont="1" applyFill="1" applyBorder="1" applyAlignment="1">
      <alignment horizontal="left"/>
    </xf>
    <xf numFmtId="0" fontId="6" fillId="3" borderId="0" xfId="4" applyFont="1" applyFill="1" applyAlignment="1">
      <alignment horizontal="left"/>
    </xf>
    <xf numFmtId="0" fontId="1" fillId="3" borderId="16" xfId="4" applyFont="1" applyFill="1" applyBorder="1"/>
    <xf numFmtId="0" fontId="1" fillId="3" borderId="22" xfId="4" applyFont="1" applyFill="1" applyBorder="1"/>
    <xf numFmtId="167" fontId="24" fillId="3" borderId="0" xfId="6" applyNumberFormat="1" applyFont="1" applyFill="1"/>
    <xf numFmtId="0" fontId="37" fillId="3" borderId="16" xfId="0" applyFont="1" applyFill="1" applyBorder="1"/>
    <xf numFmtId="0" fontId="16" fillId="3" borderId="0" xfId="4" applyFont="1" applyFill="1" applyBorder="1" applyAlignment="1">
      <alignment horizontal="center" vertical="center"/>
    </xf>
    <xf numFmtId="0" fontId="16" fillId="3" borderId="0" xfId="0" applyFont="1" applyFill="1" applyBorder="1" applyAlignment="1">
      <alignment vertical="center"/>
    </xf>
    <xf numFmtId="0" fontId="34" fillId="3" borderId="0" xfId="0" applyFont="1" applyFill="1" applyBorder="1"/>
    <xf numFmtId="0" fontId="76" fillId="3" borderId="0" xfId="0" applyFont="1" applyFill="1"/>
    <xf numFmtId="0" fontId="10" fillId="3" borderId="0" xfId="0" applyFont="1" applyFill="1" applyBorder="1"/>
    <xf numFmtId="2" fontId="35" fillId="3" borderId="0" xfId="4" applyNumberFormat="1" applyFont="1" applyFill="1" applyBorder="1" applyAlignment="1">
      <alignment vertical="center" wrapText="1"/>
    </xf>
    <xf numFmtId="0" fontId="77" fillId="3" borderId="20" xfId="0" applyFont="1" applyFill="1" applyBorder="1" applyAlignment="1">
      <alignment vertical="center" wrapText="1"/>
    </xf>
    <xf numFmtId="0" fontId="7" fillId="3" borderId="14" xfId="0" applyFont="1" applyFill="1" applyBorder="1" applyAlignment="1">
      <alignment horizontal="center" vertical="center" wrapText="1"/>
    </xf>
    <xf numFmtId="0" fontId="7" fillId="3" borderId="32" xfId="0" applyFont="1" applyFill="1" applyBorder="1" applyAlignment="1">
      <alignment horizontal="center" vertical="center" wrapText="1"/>
    </xf>
    <xf numFmtId="43" fontId="62" fillId="3" borderId="0" xfId="8" applyFont="1" applyFill="1" applyBorder="1"/>
    <xf numFmtId="0" fontId="10" fillId="3" borderId="20" xfId="0" applyFont="1" applyFill="1" applyBorder="1" applyAlignment="1">
      <alignment vertical="top"/>
    </xf>
    <xf numFmtId="0" fontId="10" fillId="3" borderId="0" xfId="0" applyFont="1" applyFill="1" applyBorder="1" applyAlignment="1">
      <alignment vertical="top"/>
    </xf>
    <xf numFmtId="164" fontId="77" fillId="3" borderId="0" xfId="0" applyNumberFormat="1" applyFont="1" applyFill="1" applyBorder="1" applyAlignment="1">
      <alignment horizontal="center" wrapText="1"/>
    </xf>
    <xf numFmtId="0" fontId="5" fillId="3" borderId="0" xfId="4" applyFont="1" applyFill="1" applyBorder="1"/>
    <xf numFmtId="0" fontId="9" fillId="3" borderId="0" xfId="4" applyFont="1" applyFill="1"/>
    <xf numFmtId="0" fontId="5" fillId="3" borderId="10" xfId="0" applyFont="1" applyFill="1" applyBorder="1" applyAlignment="1">
      <alignment vertical="center"/>
    </xf>
    <xf numFmtId="0" fontId="10" fillId="3" borderId="0" xfId="4" applyFont="1" applyFill="1" applyBorder="1" applyAlignment="1">
      <alignment horizontal="left"/>
    </xf>
    <xf numFmtId="2" fontId="35" fillId="3" borderId="0" xfId="4" applyNumberFormat="1" applyFont="1" applyFill="1" applyBorder="1" applyAlignment="1">
      <alignment horizontal="center" vertical="center" wrapText="1"/>
    </xf>
    <xf numFmtId="0" fontId="24" fillId="3" borderId="23" xfId="0" applyFont="1" applyFill="1" applyBorder="1"/>
    <xf numFmtId="2" fontId="48" fillId="3" borderId="0" xfId="0" applyNumberFormat="1" applyFont="1" applyFill="1" applyBorder="1" applyAlignment="1" applyProtection="1">
      <alignment horizontal="center" vertical="center" wrapText="1"/>
      <protection hidden="1"/>
    </xf>
    <xf numFmtId="0" fontId="48" fillId="3" borderId="0" xfId="0" applyFont="1" applyFill="1" applyBorder="1" applyAlignment="1">
      <alignment horizontal="center"/>
    </xf>
    <xf numFmtId="0" fontId="7" fillId="3" borderId="0" xfId="0" applyFont="1" applyFill="1" applyBorder="1" applyAlignment="1">
      <alignment vertical="top" wrapText="1"/>
    </xf>
    <xf numFmtId="2" fontId="34" fillId="3" borderId="0" xfId="0" applyNumberFormat="1" applyFont="1" applyFill="1"/>
    <xf numFmtId="2" fontId="1" fillId="3" borderId="0" xfId="1" applyNumberFormat="1" applyFont="1" applyFill="1" applyBorder="1" applyAlignment="1" applyProtection="1">
      <alignment horizontal="center"/>
    </xf>
    <xf numFmtId="0" fontId="6" fillId="3" borderId="21" xfId="4" applyFont="1" applyFill="1" applyBorder="1" applyAlignment="1">
      <alignment horizontal="left"/>
    </xf>
    <xf numFmtId="0" fontId="16" fillId="3" borderId="0" xfId="0" applyFont="1" applyFill="1" applyBorder="1" applyAlignment="1">
      <alignment horizontal="left" vertical="center"/>
    </xf>
    <xf numFmtId="0" fontId="16" fillId="3" borderId="20" xfId="0" applyFont="1" applyFill="1" applyBorder="1" applyAlignment="1">
      <alignment horizontal="left" vertical="center"/>
    </xf>
    <xf numFmtId="0" fontId="16" fillId="3" borderId="16" xfId="0" applyFont="1" applyFill="1" applyBorder="1" applyAlignment="1">
      <alignment horizontal="left" vertical="center"/>
    </xf>
    <xf numFmtId="0" fontId="6" fillId="3" borderId="22" xfId="4" applyFont="1" applyFill="1" applyBorder="1" applyAlignment="1">
      <alignment horizontal="left"/>
    </xf>
    <xf numFmtId="2" fontId="2" fillId="3" borderId="0" xfId="4" applyNumberFormat="1" applyFont="1" applyFill="1" applyBorder="1" applyAlignment="1">
      <alignment horizontal="center"/>
    </xf>
    <xf numFmtId="0" fontId="2" fillId="3" borderId="0" xfId="4" applyFont="1" applyFill="1" applyBorder="1"/>
    <xf numFmtId="0" fontId="2" fillId="3" borderId="0" xfId="4" applyFont="1" applyFill="1" applyBorder="1" applyAlignment="1">
      <alignment vertical="center"/>
    </xf>
    <xf numFmtId="2" fontId="61" fillId="3" borderId="0" xfId="0" applyNumberFormat="1" applyFont="1" applyFill="1"/>
    <xf numFmtId="0" fontId="2" fillId="3" borderId="0" xfId="4" applyNumberFormat="1" applyFont="1" applyFill="1" applyBorder="1" applyAlignment="1">
      <alignment vertical="center" wrapText="1"/>
    </xf>
    <xf numFmtId="0" fontId="22" fillId="3" borderId="0" xfId="1" applyFill="1" applyAlignment="1" applyProtection="1"/>
    <xf numFmtId="0" fontId="7" fillId="3" borderId="0" xfId="4" applyFont="1" applyFill="1" applyBorder="1" applyAlignment="1">
      <alignment horizontal="center"/>
    </xf>
    <xf numFmtId="2" fontId="54" fillId="3" borderId="0" xfId="4" applyNumberFormat="1" applyFont="1" applyFill="1" applyBorder="1" applyAlignment="1">
      <alignment horizontal="center"/>
    </xf>
    <xf numFmtId="0" fontId="2" fillId="3" borderId="0" xfId="4" applyNumberFormat="1" applyFont="1" applyFill="1" applyBorder="1" applyAlignment="1">
      <alignment horizontal="center" vertical="center" wrapText="1"/>
    </xf>
    <xf numFmtId="0" fontId="13" fillId="3" borderId="0" xfId="4" applyFont="1" applyFill="1" applyBorder="1" applyAlignment="1">
      <alignment horizontal="center"/>
    </xf>
    <xf numFmtId="2" fontId="1" fillId="3" borderId="56" xfId="1" applyNumberFormat="1" applyFont="1" applyFill="1" applyBorder="1" applyAlignment="1" applyProtection="1">
      <alignment horizontal="center"/>
    </xf>
    <xf numFmtId="0" fontId="24" fillId="3" borderId="56" xfId="0" applyFont="1" applyFill="1" applyBorder="1"/>
    <xf numFmtId="0" fontId="24" fillId="3" borderId="57" xfId="0" applyFont="1" applyFill="1" applyBorder="1"/>
    <xf numFmtId="0" fontId="24" fillId="3" borderId="18" xfId="0" applyFont="1" applyFill="1" applyBorder="1"/>
    <xf numFmtId="0" fontId="61" fillId="3" borderId="0" xfId="0" applyFont="1" applyFill="1"/>
    <xf numFmtId="0" fontId="24" fillId="3" borderId="25" xfId="0" applyFont="1" applyFill="1" applyBorder="1"/>
    <xf numFmtId="0" fontId="1" fillId="3" borderId="28" xfId="4" applyFont="1" applyFill="1" applyBorder="1" applyAlignment="1">
      <alignment horizontal="left" vertical="center"/>
    </xf>
    <xf numFmtId="0" fontId="1" fillId="3" borderId="16" xfId="4" applyFont="1" applyFill="1" applyBorder="1" applyAlignment="1">
      <alignment horizontal="left" vertical="center"/>
    </xf>
    <xf numFmtId="0" fontId="77" fillId="3" borderId="19" xfId="0" applyFont="1" applyFill="1" applyBorder="1"/>
    <xf numFmtId="0" fontId="9" fillId="3" borderId="20" xfId="4" applyFont="1" applyFill="1" applyBorder="1" applyAlignment="1">
      <alignment horizontal="center" vertical="center"/>
    </xf>
    <xf numFmtId="2" fontId="13" fillId="3" borderId="0" xfId="4" applyNumberFormat="1" applyFont="1" applyFill="1" applyBorder="1" applyAlignment="1">
      <alignment horizontal="center"/>
    </xf>
    <xf numFmtId="0" fontId="24" fillId="3" borderId="53" xfId="0" applyFont="1" applyFill="1" applyBorder="1"/>
    <xf numFmtId="0" fontId="24" fillId="3" borderId="54" xfId="0" applyFont="1" applyFill="1" applyBorder="1"/>
    <xf numFmtId="0" fontId="10" fillId="3" borderId="0" xfId="4" applyFont="1" applyFill="1" applyBorder="1" applyAlignment="1">
      <alignment horizontal="left" vertical="center"/>
    </xf>
    <xf numFmtId="0" fontId="30" fillId="3" borderId="0" xfId="4" applyFont="1" applyFill="1" applyBorder="1" applyAlignment="1">
      <alignment horizontal="center"/>
    </xf>
    <xf numFmtId="0" fontId="1" fillId="3" borderId="0" xfId="4" applyFont="1" applyFill="1" applyBorder="1" applyAlignment="1"/>
    <xf numFmtId="2" fontId="34" fillId="3" borderId="0" xfId="4" applyNumberFormat="1" applyFont="1" applyFill="1" applyBorder="1" applyAlignment="1">
      <alignment horizontal="center" vertical="center"/>
    </xf>
    <xf numFmtId="0" fontId="58" fillId="3" borderId="0" xfId="4" applyNumberFormat="1" applyFont="1" applyFill="1" applyBorder="1" applyAlignment="1">
      <alignment vertical="center" wrapText="1"/>
    </xf>
    <xf numFmtId="164" fontId="7" fillId="3" borderId="0" xfId="4" applyNumberFormat="1" applyFont="1" applyFill="1" applyBorder="1" applyAlignment="1">
      <alignment horizontal="center"/>
    </xf>
    <xf numFmtId="0" fontId="24" fillId="3" borderId="55" xfId="0" applyFont="1" applyFill="1" applyBorder="1"/>
    <xf numFmtId="0" fontId="7" fillId="3" borderId="19" xfId="4" applyFont="1" applyFill="1" applyBorder="1" applyAlignment="1">
      <alignment horizontal="center" wrapText="1"/>
    </xf>
    <xf numFmtId="0" fontId="10" fillId="3" borderId="0" xfId="4" applyFont="1" applyFill="1" applyBorder="1"/>
    <xf numFmtId="0" fontId="7" fillId="3" borderId="21" xfId="4" applyFont="1" applyFill="1" applyBorder="1" applyAlignment="1">
      <alignment horizontal="center" wrapText="1"/>
    </xf>
    <xf numFmtId="0" fontId="10" fillId="3" borderId="0" xfId="4" applyFont="1" applyFill="1" applyBorder="1" applyAlignment="1">
      <alignment vertical="center"/>
    </xf>
    <xf numFmtId="0" fontId="58" fillId="3" borderId="20" xfId="4" applyNumberFormat="1" applyFont="1" applyFill="1" applyBorder="1" applyAlignment="1">
      <alignment vertical="center" wrapText="1"/>
    </xf>
    <xf numFmtId="0" fontId="37" fillId="3" borderId="0" xfId="0" applyFont="1" applyFill="1" applyBorder="1" applyAlignment="1">
      <alignment horizontal="left" vertical="center"/>
    </xf>
    <xf numFmtId="3" fontId="24" fillId="3" borderId="0" xfId="0" applyNumberFormat="1" applyFont="1" applyFill="1"/>
    <xf numFmtId="2" fontId="61" fillId="3" borderId="55" xfId="1" applyNumberFormat="1" applyFont="1" applyFill="1" applyBorder="1" applyAlignment="1" applyProtection="1">
      <alignment horizontal="center" vertical="center"/>
      <protection hidden="1"/>
    </xf>
    <xf numFmtId="2" fontId="61" fillId="3" borderId="56" xfId="1" applyNumberFormat="1" applyFont="1" applyFill="1" applyBorder="1" applyAlignment="1" applyProtection="1">
      <alignment horizontal="center" vertical="center"/>
      <protection hidden="1"/>
    </xf>
    <xf numFmtId="2" fontId="61" fillId="3" borderId="56" xfId="1" applyNumberFormat="1" applyFont="1" applyFill="1" applyBorder="1" applyAlignment="1" applyProtection="1">
      <protection hidden="1"/>
    </xf>
    <xf numFmtId="2" fontId="61" fillId="3" borderId="57" xfId="1" applyNumberFormat="1" applyFont="1" applyFill="1" applyBorder="1" applyAlignment="1" applyProtection="1">
      <protection hidden="1"/>
    </xf>
    <xf numFmtId="0" fontId="18" fillId="3" borderId="18" xfId="4" applyFont="1" applyFill="1" applyBorder="1" applyAlignment="1">
      <alignment vertical="center"/>
    </xf>
    <xf numFmtId="0" fontId="18" fillId="3" borderId="0" xfId="4" applyFont="1" applyFill="1" applyBorder="1" applyAlignment="1">
      <alignment vertical="center"/>
    </xf>
    <xf numFmtId="11" fontId="24" fillId="3" borderId="0" xfId="0" applyNumberFormat="1" applyFont="1" applyFill="1"/>
    <xf numFmtId="0" fontId="58" fillId="3" borderId="23" xfId="4" applyNumberFormat="1" applyFont="1" applyFill="1" applyBorder="1" applyAlignment="1">
      <alignment vertical="center" wrapText="1"/>
    </xf>
    <xf numFmtId="0" fontId="2" fillId="3" borderId="0" xfId="4" applyFont="1" applyFill="1"/>
    <xf numFmtId="0" fontId="2" fillId="3" borderId="0" xfId="4" applyFont="1" applyFill="1" applyBorder="1" applyAlignment="1"/>
    <xf numFmtId="11" fontId="2" fillId="3" borderId="0" xfId="4" applyNumberFormat="1" applyFont="1" applyFill="1" applyBorder="1" applyAlignment="1"/>
    <xf numFmtId="0" fontId="6" fillId="3" borderId="0" xfId="4" applyFont="1" applyFill="1" applyBorder="1" applyAlignment="1">
      <alignment vertical="center" wrapText="1"/>
    </xf>
    <xf numFmtId="2" fontId="59" fillId="3" borderId="0" xfId="4" applyNumberFormat="1" applyFont="1" applyFill="1" applyBorder="1" applyAlignment="1">
      <alignment vertical="center"/>
    </xf>
    <xf numFmtId="0" fontId="6" fillId="3" borderId="0" xfId="4" applyFont="1" applyFill="1" applyBorder="1" applyAlignment="1">
      <alignment horizontal="center" vertical="center" wrapText="1"/>
    </xf>
    <xf numFmtId="0" fontId="34" fillId="3" borderId="57" xfId="0" applyFont="1" applyFill="1" applyBorder="1"/>
    <xf numFmtId="0" fontId="58" fillId="3" borderId="23" xfId="4" applyNumberFormat="1" applyFont="1" applyFill="1" applyBorder="1" applyAlignment="1">
      <alignment horizontal="center" vertical="center" wrapText="1"/>
    </xf>
    <xf numFmtId="0" fontId="7" fillId="3" borderId="0" xfId="4" applyFont="1" applyFill="1" applyBorder="1" applyAlignment="1">
      <alignment horizontal="center" wrapText="1"/>
    </xf>
    <xf numFmtId="0" fontId="28" fillId="3" borderId="0" xfId="4" applyFont="1" applyFill="1" applyBorder="1" applyAlignment="1">
      <alignment wrapText="1"/>
    </xf>
    <xf numFmtId="2" fontId="6" fillId="3" borderId="0" xfId="4" applyNumberFormat="1" applyFont="1" applyFill="1" applyBorder="1" applyAlignment="1">
      <alignment horizontal="center" vertical="center"/>
    </xf>
    <xf numFmtId="0" fontId="1" fillId="3" borderId="0" xfId="4" applyFont="1" applyFill="1" applyBorder="1" applyAlignment="1">
      <alignment vertical="center" wrapText="1"/>
    </xf>
    <xf numFmtId="0" fontId="60" fillId="3" borderId="0" xfId="0" applyFont="1" applyFill="1" applyBorder="1" applyAlignment="1">
      <alignment horizontal="center"/>
    </xf>
    <xf numFmtId="0" fontId="60" fillId="3" borderId="0" xfId="0" applyFont="1" applyFill="1" applyBorder="1" applyAlignment="1">
      <alignment horizontal="center" vertical="center"/>
    </xf>
    <xf numFmtId="2" fontId="1" fillId="3" borderId="0" xfId="4" applyNumberFormat="1" applyFont="1" applyFill="1" applyBorder="1" applyAlignment="1">
      <alignment horizontal="center"/>
    </xf>
    <xf numFmtId="0" fontId="33" fillId="3" borderId="55" xfId="4" applyFont="1" applyFill="1" applyBorder="1" applyAlignment="1">
      <alignment vertical="center" wrapText="1"/>
    </xf>
    <xf numFmtId="0" fontId="33" fillId="3" borderId="56" xfId="4" applyFont="1" applyFill="1" applyBorder="1" applyAlignment="1">
      <alignment vertical="center" wrapText="1"/>
    </xf>
    <xf numFmtId="2" fontId="61" fillId="3" borderId="57" xfId="4" applyNumberFormat="1" applyFont="1" applyFill="1" applyBorder="1" applyAlignment="1">
      <alignment vertical="center" wrapText="1"/>
    </xf>
    <xf numFmtId="2" fontId="2" fillId="3" borderId="0" xfId="4" applyNumberFormat="1" applyFont="1" applyFill="1" applyBorder="1" applyAlignment="1">
      <alignment horizontal="center" vertical="center"/>
    </xf>
    <xf numFmtId="0" fontId="2" fillId="3" borderId="0" xfId="4" applyFont="1" applyFill="1" applyBorder="1" applyAlignment="1">
      <alignment horizontal="center"/>
    </xf>
    <xf numFmtId="0" fontId="31" fillId="3" borderId="0" xfId="4" applyFont="1" applyFill="1" applyBorder="1" applyAlignment="1">
      <alignment vertical="center" wrapText="1"/>
    </xf>
    <xf numFmtId="0" fontId="6" fillId="3" borderId="0" xfId="0" applyFont="1" applyFill="1" applyBorder="1" applyAlignment="1">
      <alignment horizontal="center"/>
    </xf>
    <xf numFmtId="0" fontId="61" fillId="3" borderId="0" xfId="0" applyFont="1" applyFill="1" applyBorder="1" applyAlignment="1">
      <alignment horizontal="center"/>
    </xf>
    <xf numFmtId="0" fontId="7" fillId="3" borderId="1" xfId="4" applyNumberFormat="1" applyFont="1" applyFill="1" applyBorder="1" applyAlignment="1">
      <alignment horizontal="left" vertical="center" wrapText="1"/>
    </xf>
    <xf numFmtId="0" fontId="34" fillId="3" borderId="16" xfId="0" applyFont="1" applyFill="1" applyBorder="1"/>
    <xf numFmtId="0" fontId="1" fillId="3" borderId="0" xfId="0" applyFont="1" applyFill="1" applyBorder="1" applyAlignment="1">
      <alignment vertical="center"/>
    </xf>
    <xf numFmtId="0" fontId="24" fillId="3" borderId="10" xfId="0" applyFont="1" applyFill="1" applyBorder="1"/>
    <xf numFmtId="2" fontId="34" fillId="3" borderId="0" xfId="0" applyNumberFormat="1" applyFont="1" applyFill="1" applyBorder="1" applyAlignment="1">
      <alignment vertical="center"/>
    </xf>
    <xf numFmtId="2" fontId="34" fillId="3" borderId="26" xfId="0" applyNumberFormat="1" applyFont="1" applyFill="1" applyBorder="1" applyAlignment="1">
      <alignment horizontal="center"/>
    </xf>
    <xf numFmtId="0" fontId="58" fillId="3" borderId="10" xfId="0" applyFont="1" applyFill="1" applyBorder="1" applyAlignment="1">
      <alignment wrapText="1"/>
    </xf>
    <xf numFmtId="0" fontId="58" fillId="3" borderId="0" xfId="0" applyFont="1" applyFill="1" applyBorder="1" applyAlignment="1">
      <alignment horizontal="center"/>
    </xf>
    <xf numFmtId="2" fontId="2" fillId="3" borderId="0" xfId="0" applyNumberFormat="1" applyFont="1" applyFill="1" applyBorder="1"/>
    <xf numFmtId="2" fontId="51" fillId="3" borderId="0" xfId="0" applyNumberFormat="1" applyFont="1" applyFill="1" applyBorder="1"/>
    <xf numFmtId="2" fontId="2" fillId="3" borderId="0" xfId="8" applyNumberFormat="1" applyFont="1" applyFill="1" applyBorder="1" applyAlignment="1">
      <alignment horizontal="center" vertical="center"/>
    </xf>
    <xf numFmtId="0" fontId="37" fillId="3" borderId="0" xfId="0" applyFont="1" applyFill="1" applyBorder="1" applyAlignment="1">
      <alignment horizontal="center"/>
    </xf>
    <xf numFmtId="0" fontId="13" fillId="3" borderId="0" xfId="4" applyFont="1" applyFill="1" applyBorder="1" applyAlignment="1">
      <alignment vertical="center"/>
    </xf>
    <xf numFmtId="0" fontId="13" fillId="3" borderId="0" xfId="4" applyFont="1" applyFill="1" applyBorder="1" applyAlignment="1">
      <alignment horizontal="center" vertical="center" wrapText="1"/>
    </xf>
    <xf numFmtId="0" fontId="1" fillId="3" borderId="20" xfId="4" applyFont="1" applyFill="1" applyBorder="1" applyAlignment="1">
      <alignment horizontal="left"/>
    </xf>
    <xf numFmtId="2" fontId="77" fillId="3" borderId="0" xfId="4" applyNumberFormat="1" applyFont="1" applyFill="1" applyBorder="1" applyAlignment="1">
      <alignment vertical="center"/>
    </xf>
    <xf numFmtId="0" fontId="80" fillId="3" borderId="0" xfId="4" applyFont="1" applyFill="1" applyBorder="1" applyAlignment="1">
      <alignment horizontal="left"/>
    </xf>
    <xf numFmtId="0" fontId="77" fillId="3" borderId="21" xfId="4" applyFont="1" applyFill="1" applyBorder="1" applyAlignment="1" applyProtection="1">
      <alignment vertical="top" wrapText="1"/>
      <protection hidden="1"/>
    </xf>
    <xf numFmtId="0" fontId="6" fillId="3" borderId="20" xfId="4" applyFont="1" applyFill="1" applyBorder="1" applyAlignment="1">
      <alignment horizontal="left"/>
    </xf>
    <xf numFmtId="0" fontId="57" fillId="3" borderId="0" xfId="0" applyFont="1" applyFill="1" applyBorder="1" applyAlignment="1"/>
    <xf numFmtId="0" fontId="1" fillId="3" borderId="0" xfId="4" applyFont="1" applyFill="1" applyBorder="1" applyAlignment="1">
      <alignment horizontal="center"/>
    </xf>
    <xf numFmtId="0" fontId="14" fillId="3" borderId="0" xfId="0" applyFont="1" applyFill="1" applyBorder="1" applyAlignment="1">
      <alignment vertical="center"/>
    </xf>
    <xf numFmtId="2" fontId="10" fillId="3" borderId="25" xfId="4" applyNumberFormat="1" applyFont="1" applyFill="1" applyBorder="1" applyAlignment="1">
      <alignment vertical="center"/>
    </xf>
    <xf numFmtId="2" fontId="10" fillId="3" borderId="7" xfId="4" applyNumberFormat="1" applyFont="1" applyFill="1" applyBorder="1" applyAlignment="1">
      <alignment vertical="center"/>
    </xf>
    <xf numFmtId="0" fontId="6" fillId="3" borderId="16" xfId="4" applyFont="1" applyFill="1" applyBorder="1" applyAlignment="1">
      <alignment horizontal="left"/>
    </xf>
    <xf numFmtId="0" fontId="57" fillId="3" borderId="20" xfId="4" applyFont="1" applyFill="1" applyBorder="1" applyAlignment="1" applyProtection="1">
      <alignment vertical="center" wrapText="1"/>
      <protection hidden="1"/>
    </xf>
    <xf numFmtId="0" fontId="61" fillId="3" borderId="0" xfId="4" applyFont="1" applyFill="1" applyBorder="1" applyAlignment="1" applyProtection="1">
      <alignment vertical="center" wrapText="1"/>
      <protection hidden="1"/>
    </xf>
    <xf numFmtId="0" fontId="11" fillId="3" borderId="0" xfId="4" applyFont="1" applyFill="1" applyBorder="1" applyAlignment="1">
      <alignment vertical="center"/>
    </xf>
    <xf numFmtId="0" fontId="1" fillId="3" borderId="0" xfId="4" applyFont="1" applyFill="1" applyBorder="1" applyAlignment="1" applyProtection="1">
      <alignment horizontal="center" vertical="center" wrapText="1"/>
      <protection hidden="1"/>
    </xf>
    <xf numFmtId="167" fontId="1" fillId="3" borderId="0" xfId="7" applyNumberFormat="1" applyFont="1" applyFill="1" applyBorder="1" applyAlignment="1">
      <alignment horizontal="center"/>
    </xf>
    <xf numFmtId="0" fontId="10" fillId="3" borderId="0" xfId="4" applyFont="1" applyFill="1" applyBorder="1" applyAlignment="1">
      <alignment horizontal="left" vertical="justify"/>
    </xf>
    <xf numFmtId="0" fontId="10" fillId="3" borderId="0" xfId="4" applyFont="1" applyFill="1" applyBorder="1" applyAlignment="1"/>
    <xf numFmtId="0" fontId="10" fillId="3" borderId="16" xfId="4" applyFont="1" applyFill="1" applyBorder="1" applyAlignment="1">
      <alignment wrapText="1"/>
    </xf>
    <xf numFmtId="0" fontId="10" fillId="3" borderId="0" xfId="4" applyFont="1" applyFill="1" applyBorder="1" applyAlignment="1">
      <alignment wrapText="1"/>
    </xf>
    <xf numFmtId="2" fontId="1" fillId="3" borderId="0" xfId="4" applyNumberFormat="1" applyFont="1" applyFill="1" applyBorder="1" applyAlignment="1">
      <alignment horizontal="center" wrapText="1"/>
    </xf>
    <xf numFmtId="0" fontId="10" fillId="3" borderId="0" xfId="4" applyFont="1" applyFill="1" applyBorder="1" applyAlignment="1">
      <alignment horizontal="justify" vertical="justify"/>
    </xf>
    <xf numFmtId="0" fontId="57" fillId="3" borderId="0" xfId="0" applyFont="1" applyFill="1" applyBorder="1" applyAlignment="1">
      <alignment vertical="center" wrapText="1"/>
    </xf>
    <xf numFmtId="0" fontId="11" fillId="3" borderId="0" xfId="4" applyFont="1" applyFill="1" applyBorder="1" applyAlignment="1">
      <alignment horizontal="left" vertical="center"/>
    </xf>
    <xf numFmtId="0" fontId="8" fillId="3" borderId="0" xfId="4" applyFont="1" applyFill="1" applyBorder="1" applyAlignment="1">
      <alignment wrapText="1"/>
    </xf>
    <xf numFmtId="0" fontId="34" fillId="3" borderId="18" xfId="0" applyFont="1" applyFill="1" applyBorder="1"/>
    <xf numFmtId="0" fontId="61" fillId="3" borderId="0" xfId="0" applyFont="1" applyFill="1" applyBorder="1" applyAlignment="1" applyProtection="1">
      <alignment vertical="center" wrapText="1"/>
      <protection hidden="1"/>
    </xf>
    <xf numFmtId="0" fontId="34" fillId="3" borderId="0" xfId="4" applyFont="1" applyFill="1" applyBorder="1" applyAlignment="1">
      <alignment wrapText="1"/>
    </xf>
    <xf numFmtId="167" fontId="46" fillId="3" borderId="0" xfId="4" applyNumberFormat="1" applyFont="1" applyFill="1" applyBorder="1" applyAlignment="1">
      <alignment wrapText="1"/>
    </xf>
    <xf numFmtId="165" fontId="34" fillId="3" borderId="0" xfId="4" applyNumberFormat="1" applyFont="1" applyFill="1" applyBorder="1" applyAlignment="1">
      <alignment wrapText="1"/>
    </xf>
    <xf numFmtId="0" fontId="1" fillId="3" borderId="0" xfId="4" applyFont="1" applyFill="1" applyBorder="1" applyAlignment="1">
      <alignment wrapText="1"/>
    </xf>
    <xf numFmtId="0" fontId="25" fillId="3" borderId="0" xfId="0" applyFont="1" applyFill="1" applyBorder="1"/>
    <xf numFmtId="0" fontId="25" fillId="3" borderId="0" xfId="0" applyFont="1" applyFill="1" applyBorder="1" applyAlignment="1">
      <alignment wrapText="1"/>
    </xf>
    <xf numFmtId="0" fontId="24" fillId="3" borderId="0" xfId="0" applyFont="1" applyFill="1" applyBorder="1" applyAlignment="1">
      <alignment horizontal="left" vertical="top"/>
    </xf>
    <xf numFmtId="0" fontId="25" fillId="3" borderId="21" xfId="0" applyFont="1" applyFill="1" applyBorder="1" applyAlignment="1">
      <alignment wrapText="1"/>
    </xf>
    <xf numFmtId="0" fontId="7" fillId="3" borderId="1" xfId="4" applyFont="1" applyFill="1" applyBorder="1" applyAlignment="1">
      <alignment horizontal="center" vertical="center" wrapText="1"/>
    </xf>
    <xf numFmtId="0" fontId="10" fillId="3" borderId="16" xfId="4" applyFont="1" applyFill="1" applyBorder="1" applyAlignment="1">
      <alignment horizontal="justify" vertical="justify"/>
    </xf>
    <xf numFmtId="0" fontId="63" fillId="3" borderId="0" xfId="0" applyFont="1" applyFill="1" applyBorder="1"/>
    <xf numFmtId="0" fontId="61" fillId="3" borderId="0" xfId="0" applyFont="1" applyFill="1" applyBorder="1" applyAlignment="1">
      <alignment vertical="center" wrapText="1"/>
    </xf>
    <xf numFmtId="0" fontId="61" fillId="3" borderId="0" xfId="0" applyFont="1" applyFill="1" applyBorder="1"/>
    <xf numFmtId="0" fontId="71" fillId="3" borderId="0" xfId="0" applyFont="1" applyFill="1" applyBorder="1"/>
    <xf numFmtId="0" fontId="71" fillId="3" borderId="21" xfId="0" applyFont="1" applyFill="1" applyBorder="1"/>
    <xf numFmtId="0" fontId="71" fillId="3" borderId="0" xfId="0" applyFont="1" applyFill="1"/>
    <xf numFmtId="2" fontId="1" fillId="3" borderId="0" xfId="4" applyNumberFormat="1" applyFont="1" applyFill="1"/>
    <xf numFmtId="0" fontId="1" fillId="3" borderId="0" xfId="4" applyFont="1" applyFill="1" applyAlignment="1"/>
    <xf numFmtId="0" fontId="37" fillId="3" borderId="24" xfId="0" applyFont="1" applyFill="1" applyBorder="1"/>
    <xf numFmtId="0" fontId="10" fillId="3" borderId="20" xfId="4" applyFont="1" applyFill="1" applyBorder="1" applyAlignment="1"/>
    <xf numFmtId="0" fontId="10" fillId="3" borderId="16" xfId="4" applyFont="1" applyFill="1" applyBorder="1" applyAlignment="1"/>
    <xf numFmtId="0" fontId="1" fillId="3" borderId="16" xfId="4" applyFont="1" applyFill="1" applyBorder="1" applyAlignment="1"/>
    <xf numFmtId="0" fontId="61" fillId="3" borderId="0" xfId="4" applyFont="1" applyFill="1" applyBorder="1" applyAlignment="1">
      <alignment wrapText="1"/>
    </xf>
    <xf numFmtId="2" fontId="17" fillId="3" borderId="0" xfId="4" applyNumberFormat="1" applyFont="1" applyFill="1" applyBorder="1" applyAlignment="1">
      <alignment vertical="center" wrapText="1"/>
    </xf>
    <xf numFmtId="9" fontId="5" fillId="3" borderId="0" xfId="0" applyNumberFormat="1" applyFont="1" applyFill="1" applyBorder="1" applyAlignment="1">
      <alignment vertical="center" wrapText="1"/>
    </xf>
    <xf numFmtId="0" fontId="1" fillId="3" borderId="0" xfId="4" applyFont="1" applyFill="1" applyBorder="1" applyAlignment="1">
      <alignment horizontal="left"/>
    </xf>
    <xf numFmtId="9" fontId="2" fillId="3" borderId="0" xfId="0" applyNumberFormat="1" applyFont="1" applyFill="1" applyBorder="1" applyAlignment="1">
      <alignment vertical="center" wrapText="1"/>
    </xf>
    <xf numFmtId="9" fontId="5" fillId="3" borderId="0" xfId="0" applyNumberFormat="1" applyFont="1" applyFill="1" applyBorder="1" applyAlignment="1">
      <alignment horizontal="left" vertical="center" wrapText="1"/>
    </xf>
    <xf numFmtId="0" fontId="57" fillId="3" borderId="0" xfId="4" applyNumberFormat="1" applyFont="1" applyFill="1" applyBorder="1" applyAlignment="1">
      <alignment horizontal="center" vertical="center" wrapText="1"/>
    </xf>
    <xf numFmtId="0" fontId="1" fillId="3" borderId="0" xfId="4" applyFont="1" applyFill="1" applyBorder="1" applyAlignment="1" applyProtection="1">
      <alignment vertical="center" textRotation="90" wrapText="1"/>
      <protection hidden="1"/>
    </xf>
    <xf numFmtId="0" fontId="5" fillId="3" borderId="27" xfId="4" applyFont="1" applyFill="1" applyBorder="1"/>
    <xf numFmtId="0" fontId="6" fillId="3" borderId="0" xfId="4" applyFont="1" applyFill="1" applyBorder="1"/>
    <xf numFmtId="0" fontId="2" fillId="3" borderId="0" xfId="0" applyFont="1" applyFill="1" applyBorder="1" applyAlignment="1">
      <alignment horizontal="center"/>
    </xf>
    <xf numFmtId="2" fontId="24" fillId="3" borderId="0" xfId="0" applyNumberFormat="1" applyFont="1" applyFill="1"/>
    <xf numFmtId="0" fontId="3" fillId="3" borderId="0" xfId="0" applyFont="1" applyFill="1" applyBorder="1" applyAlignment="1">
      <alignment vertical="center"/>
    </xf>
    <xf numFmtId="0" fontId="23" fillId="3" borderId="0" xfId="0" applyFont="1" applyFill="1" applyBorder="1" applyAlignment="1">
      <alignment horizontal="center" vertical="center"/>
    </xf>
    <xf numFmtId="0" fontId="28" fillId="3" borderId="0" xfId="0" applyFont="1" applyFill="1" applyBorder="1" applyAlignment="1">
      <alignment vertical="center"/>
    </xf>
    <xf numFmtId="0" fontId="25" fillId="3" borderId="0" xfId="0" applyFont="1" applyFill="1" applyBorder="1" applyAlignment="1">
      <alignment vertical="center"/>
    </xf>
    <xf numFmtId="0" fontId="27" fillId="3" borderId="0" xfId="0" applyFont="1" applyFill="1" applyBorder="1" applyAlignment="1">
      <alignment horizontal="center" vertical="center"/>
    </xf>
    <xf numFmtId="0" fontId="0" fillId="3" borderId="0" xfId="0" applyFill="1" applyBorder="1" applyAlignment="1">
      <alignment horizontal="center" vertical="center"/>
    </xf>
    <xf numFmtId="2" fontId="0" fillId="3" borderId="0" xfId="0" applyNumberFormat="1" applyFill="1" applyBorder="1" applyAlignment="1">
      <alignment horizontal="center" vertical="center"/>
    </xf>
    <xf numFmtId="0" fontId="26" fillId="3" borderId="0" xfId="0" applyFont="1" applyFill="1" applyBorder="1" applyAlignment="1">
      <alignment horizontal="center" vertical="center"/>
    </xf>
    <xf numFmtId="0" fontId="28" fillId="3" borderId="0" xfId="0" applyFont="1" applyFill="1" applyBorder="1" applyAlignment="1">
      <alignment horizontal="center" vertical="center"/>
    </xf>
    <xf numFmtId="0" fontId="26" fillId="3" borderId="0" xfId="0" applyFont="1" applyFill="1" applyBorder="1" applyAlignment="1">
      <alignment horizontal="center" vertical="center" wrapText="1"/>
    </xf>
    <xf numFmtId="0" fontId="23" fillId="3" borderId="0" xfId="0" applyFont="1" applyFill="1" applyBorder="1" applyAlignment="1">
      <alignment horizontal="left" vertical="center"/>
    </xf>
    <xf numFmtId="167" fontId="66" fillId="3" borderId="0" xfId="0" applyNumberFormat="1" applyFont="1" applyFill="1" applyBorder="1"/>
    <xf numFmtId="0" fontId="0" fillId="3" borderId="8" xfId="0" applyFill="1" applyBorder="1"/>
    <xf numFmtId="164" fontId="85" fillId="3" borderId="0" xfId="0" applyNumberFormat="1" applyFont="1" applyFill="1" applyAlignment="1">
      <alignment horizontal="center"/>
    </xf>
    <xf numFmtId="0" fontId="87" fillId="3" borderId="0" xfId="0" applyFont="1" applyFill="1"/>
    <xf numFmtId="14" fontId="87" fillId="5" borderId="0" xfId="0" applyNumberFormat="1" applyFont="1" applyFill="1" applyBorder="1" applyAlignment="1" applyProtection="1">
      <protection locked="0"/>
    </xf>
    <xf numFmtId="0" fontId="88" fillId="3" borderId="0" xfId="0" applyFont="1" applyFill="1"/>
    <xf numFmtId="9" fontId="89" fillId="3" borderId="0" xfId="6" applyFont="1" applyFill="1" applyBorder="1" applyAlignment="1">
      <alignment horizontal="left"/>
    </xf>
    <xf numFmtId="0" fontId="0" fillId="3" borderId="0" xfId="0" applyFill="1"/>
    <xf numFmtId="0" fontId="25" fillId="3" borderId="0" xfId="0" applyFont="1" applyFill="1" applyBorder="1" applyAlignment="1">
      <alignment horizontal="center" vertical="center"/>
    </xf>
    <xf numFmtId="0" fontId="86" fillId="3" borderId="0" xfId="0" applyFont="1" applyFill="1"/>
    <xf numFmtId="0" fontId="6" fillId="3" borderId="0" xfId="0" applyFont="1" applyFill="1" applyBorder="1"/>
    <xf numFmtId="0" fontId="7" fillId="8" borderId="1" xfId="0" applyFont="1" applyFill="1" applyBorder="1" applyAlignment="1" applyProtection="1">
      <alignment horizontal="center" vertical="center"/>
      <protection locked="0"/>
    </xf>
    <xf numFmtId="2" fontId="32" fillId="3" borderId="0" xfId="0" applyNumberFormat="1" applyFont="1" applyFill="1" applyBorder="1" applyAlignment="1">
      <alignment horizontal="center"/>
    </xf>
    <xf numFmtId="4" fontId="32" fillId="3" borderId="0" xfId="0" applyNumberFormat="1" applyFont="1" applyFill="1" applyBorder="1" applyAlignment="1">
      <alignment horizontal="center"/>
    </xf>
    <xf numFmtId="0" fontId="0" fillId="3" borderId="0" xfId="0" applyFill="1" applyBorder="1" applyAlignment="1"/>
    <xf numFmtId="0" fontId="0" fillId="3" borderId="0" xfId="0" applyFill="1" applyBorder="1" applyAlignment="1">
      <alignment wrapText="1"/>
    </xf>
    <xf numFmtId="167" fontId="32" fillId="3" borderId="0" xfId="0" applyNumberFormat="1" applyFont="1" applyFill="1" applyBorder="1" applyAlignment="1"/>
    <xf numFmtId="0" fontId="94" fillId="3" borderId="0" xfId="0" applyFont="1" applyFill="1" applyBorder="1"/>
    <xf numFmtId="167" fontId="94" fillId="3" borderId="0" xfId="6" applyNumberFormat="1" applyFont="1" applyFill="1" applyBorder="1" applyAlignment="1">
      <alignment horizontal="center"/>
    </xf>
    <xf numFmtId="0" fontId="92" fillId="3" borderId="0" xfId="0" applyFont="1" applyFill="1" applyBorder="1"/>
    <xf numFmtId="167" fontId="92" fillId="3" borderId="0" xfId="0" applyNumberFormat="1" applyFont="1" applyFill="1" applyBorder="1" applyAlignment="1">
      <alignment horizontal="center" vertical="center"/>
    </xf>
    <xf numFmtId="0" fontId="95" fillId="3" borderId="0" xfId="0" applyFont="1" applyFill="1"/>
    <xf numFmtId="0" fontId="96" fillId="3" borderId="0" xfId="0" applyFont="1" applyFill="1" applyAlignment="1">
      <alignment horizontal="center"/>
    </xf>
    <xf numFmtId="0" fontId="98" fillId="3" borderId="0" xfId="0" applyFont="1" applyFill="1"/>
    <xf numFmtId="0" fontId="95" fillId="3" borderId="0" xfId="0" applyFont="1" applyFill="1" applyBorder="1"/>
    <xf numFmtId="0" fontId="92" fillId="3" borderId="0" xfId="4" applyFont="1" applyFill="1" applyBorder="1" applyAlignment="1">
      <alignment horizontal="center" vertical="center"/>
    </xf>
    <xf numFmtId="0" fontId="1" fillId="3" borderId="57" xfId="1" applyFont="1" applyFill="1" applyBorder="1" applyAlignment="1" applyProtection="1">
      <alignment horizontal="center"/>
    </xf>
    <xf numFmtId="0" fontId="92" fillId="3" borderId="18" xfId="4" applyFont="1" applyFill="1" applyBorder="1" applyAlignment="1">
      <alignment horizontal="center" vertical="center"/>
    </xf>
    <xf numFmtId="0" fontId="99" fillId="3" borderId="0" xfId="0" applyFont="1" applyFill="1" applyAlignment="1">
      <alignment horizontal="center"/>
    </xf>
    <xf numFmtId="0" fontId="2" fillId="3" borderId="56" xfId="0" applyFont="1" applyFill="1" applyBorder="1"/>
    <xf numFmtId="0" fontId="2" fillId="3" borderId="57" xfId="0" applyFont="1" applyFill="1" applyBorder="1"/>
    <xf numFmtId="0" fontId="101" fillId="3" borderId="0" xfId="1" applyFont="1" applyFill="1" applyBorder="1" applyAlignment="1" applyProtection="1"/>
    <xf numFmtId="2" fontId="1" fillId="3" borderId="0" xfId="1" applyNumberFormat="1" applyFont="1" applyFill="1" applyBorder="1" applyAlignment="1" applyProtection="1">
      <alignment horizontal="center" vertical="center"/>
      <protection hidden="1"/>
    </xf>
    <xf numFmtId="2" fontId="1" fillId="3" borderId="0" xfId="1" applyNumberFormat="1" applyFont="1" applyFill="1" applyBorder="1" applyAlignment="1" applyProtection="1">
      <protection hidden="1"/>
    </xf>
    <xf numFmtId="0" fontId="2" fillId="3" borderId="53" xfId="0" applyFont="1" applyFill="1" applyBorder="1"/>
    <xf numFmtId="0" fontId="2" fillId="3" borderId="54" xfId="0" applyFont="1" applyFill="1" applyBorder="1"/>
    <xf numFmtId="0" fontId="2" fillId="3" borderId="55" xfId="0" applyFont="1" applyFill="1" applyBorder="1"/>
    <xf numFmtId="0" fontId="1" fillId="3" borderId="0" xfId="1" applyNumberFormat="1" applyFont="1" applyFill="1" applyBorder="1" applyAlignment="1" applyProtection="1">
      <protection hidden="1"/>
    </xf>
    <xf numFmtId="166" fontId="2" fillId="3" borderId="0" xfId="4" applyNumberFormat="1" applyFont="1" applyFill="1" applyBorder="1" applyAlignment="1">
      <alignment horizontal="center"/>
    </xf>
    <xf numFmtId="2" fontId="1" fillId="3" borderId="0" xfId="0" applyNumberFormat="1" applyFont="1" applyFill="1" applyBorder="1"/>
    <xf numFmtId="0" fontId="10" fillId="3" borderId="0" xfId="1" applyFont="1" applyFill="1" applyBorder="1" applyAlignment="1" applyProtection="1">
      <alignment horizontal="left" vertical="center" wrapText="1"/>
    </xf>
    <xf numFmtId="0" fontId="2" fillId="3" borderId="20" xfId="0" applyFont="1" applyFill="1" applyBorder="1" applyAlignment="1">
      <alignment vertical="center"/>
    </xf>
    <xf numFmtId="0" fontId="87" fillId="3" borderId="0" xfId="4" applyFont="1" applyFill="1" applyBorder="1" applyAlignment="1">
      <alignment horizontal="left" vertical="center"/>
    </xf>
    <xf numFmtId="43" fontId="2" fillId="3" borderId="0" xfId="8" applyFont="1" applyFill="1" applyBorder="1"/>
    <xf numFmtId="0" fontId="2" fillId="3" borderId="0" xfId="4" applyFont="1" applyFill="1" applyBorder="1" applyAlignment="1">
      <alignment wrapText="1"/>
    </xf>
    <xf numFmtId="165" fontId="2" fillId="3" borderId="0" xfId="4" applyNumberFormat="1" applyFont="1" applyFill="1" applyBorder="1" applyAlignment="1">
      <alignment wrapText="1"/>
    </xf>
    <xf numFmtId="0" fontId="5" fillId="3" borderId="0" xfId="0" applyFont="1" applyFill="1" applyBorder="1" applyAlignment="1">
      <alignment vertical="center"/>
    </xf>
    <xf numFmtId="0" fontId="5" fillId="3" borderId="0" xfId="4" applyFont="1" applyFill="1" applyBorder="1" applyAlignment="1"/>
    <xf numFmtId="167" fontId="5" fillId="3" borderId="0" xfId="7" applyNumberFormat="1" applyFont="1" applyFill="1" applyBorder="1" applyAlignment="1">
      <alignment horizontal="center"/>
    </xf>
    <xf numFmtId="0" fontId="1" fillId="3" borderId="0" xfId="0" applyFont="1" applyFill="1" applyBorder="1" applyAlignment="1">
      <alignment horizontal="center" vertical="center" wrapText="1"/>
    </xf>
    <xf numFmtId="2" fontId="1" fillId="3" borderId="0" xfId="4" applyNumberFormat="1" applyFont="1" applyFill="1" applyBorder="1" applyAlignment="1">
      <alignment wrapText="1"/>
    </xf>
    <xf numFmtId="0" fontId="0" fillId="3" borderId="0" xfId="0" applyFill="1"/>
    <xf numFmtId="0" fontId="7" fillId="3" borderId="0" xfId="0" applyFont="1" applyFill="1" applyBorder="1" applyAlignment="1"/>
    <xf numFmtId="167" fontId="103" fillId="3" borderId="0" xfId="0" applyNumberFormat="1" applyFont="1" applyFill="1" applyBorder="1" applyAlignment="1">
      <alignment horizontal="left"/>
    </xf>
    <xf numFmtId="10" fontId="97" fillId="3" borderId="0" xfId="6" applyNumberFormat="1" applyFont="1" applyFill="1" applyAlignment="1">
      <alignment horizontal="left"/>
    </xf>
    <xf numFmtId="0" fontId="37" fillId="3" borderId="23" xfId="0" applyFont="1" applyFill="1" applyBorder="1"/>
    <xf numFmtId="0" fontId="87" fillId="3" borderId="8" xfId="4" applyFont="1" applyFill="1" applyBorder="1" applyAlignment="1">
      <alignment vertical="center"/>
    </xf>
    <xf numFmtId="0" fontId="104" fillId="3" borderId="28" xfId="0" applyFont="1" applyFill="1" applyBorder="1" applyAlignment="1"/>
    <xf numFmtId="0" fontId="104" fillId="3" borderId="16" xfId="4" applyFont="1" applyFill="1" applyBorder="1"/>
    <xf numFmtId="0" fontId="104" fillId="3" borderId="16" xfId="0" applyFont="1" applyFill="1" applyBorder="1"/>
    <xf numFmtId="0" fontId="104" fillId="3" borderId="8" xfId="4" applyFont="1" applyFill="1" applyBorder="1"/>
    <xf numFmtId="0" fontId="103" fillId="3" borderId="0" xfId="0" applyFont="1" applyFill="1" applyBorder="1"/>
    <xf numFmtId="164" fontId="92" fillId="3" borderId="63" xfId="0" applyNumberFormat="1" applyFont="1" applyFill="1" applyBorder="1" applyAlignment="1">
      <alignment horizontal="center" vertical="center" wrapText="1"/>
    </xf>
    <xf numFmtId="164" fontId="92" fillId="3" borderId="64" xfId="0" applyNumberFormat="1" applyFont="1" applyFill="1" applyBorder="1" applyAlignment="1">
      <alignment horizontal="center"/>
    </xf>
    <xf numFmtId="0" fontId="92" fillId="3" borderId="64" xfId="0" applyFont="1" applyFill="1" applyBorder="1" applyAlignment="1">
      <alignment horizontal="center" vertical="center" wrapText="1"/>
    </xf>
    <xf numFmtId="164" fontId="92" fillId="3" borderId="64" xfId="0" applyNumberFormat="1" applyFont="1" applyFill="1" applyBorder="1" applyAlignment="1">
      <alignment horizontal="center" vertical="center" wrapText="1"/>
    </xf>
    <xf numFmtId="164" fontId="89" fillId="3" borderId="0" xfId="0" applyNumberFormat="1" applyFont="1" applyFill="1" applyBorder="1"/>
    <xf numFmtId="0" fontId="92" fillId="3" borderId="16" xfId="0" applyFont="1" applyFill="1" applyBorder="1"/>
    <xf numFmtId="0" fontId="87" fillId="3" borderId="0" xfId="4" applyFont="1" applyFill="1" applyBorder="1" applyAlignment="1">
      <alignment horizontal="center" vertical="center"/>
    </xf>
    <xf numFmtId="0" fontId="89" fillId="3" borderId="21" xfId="0" applyFont="1" applyFill="1" applyBorder="1" applyAlignment="1" applyProtection="1">
      <alignment wrapText="1"/>
      <protection hidden="1"/>
    </xf>
    <xf numFmtId="0" fontId="92" fillId="3" borderId="21" xfId="0" applyFont="1" applyFill="1" applyBorder="1" applyAlignment="1" applyProtection="1">
      <alignment wrapText="1"/>
      <protection hidden="1"/>
    </xf>
    <xf numFmtId="167" fontId="103" fillId="3" borderId="0" xfId="0" applyNumberFormat="1" applyFont="1" applyFill="1" applyBorder="1" applyAlignment="1">
      <alignment horizontal="center" vertical="center"/>
    </xf>
    <xf numFmtId="164" fontId="92" fillId="3" borderId="68" xfId="0" applyNumberFormat="1" applyFont="1" applyFill="1" applyBorder="1" applyAlignment="1" applyProtection="1">
      <alignment horizontal="center" vertical="center" wrapText="1"/>
      <protection hidden="1"/>
    </xf>
    <xf numFmtId="0" fontId="103" fillId="3" borderId="0" xfId="0" applyFont="1" applyFill="1" applyBorder="1" applyAlignment="1"/>
    <xf numFmtId="2" fontId="103" fillId="3" borderId="0" xfId="7" applyNumberFormat="1" applyFont="1" applyFill="1" applyBorder="1" applyAlignment="1">
      <alignment horizontal="center"/>
    </xf>
    <xf numFmtId="0" fontId="18" fillId="3" borderId="70" xfId="4" applyFont="1" applyFill="1" applyBorder="1" applyAlignment="1">
      <alignment vertical="center"/>
    </xf>
    <xf numFmtId="0" fontId="58" fillId="3" borderId="72" xfId="4" applyNumberFormat="1" applyFont="1" applyFill="1" applyBorder="1" applyAlignment="1">
      <alignment vertical="center" wrapText="1"/>
    </xf>
    <xf numFmtId="0" fontId="0" fillId="0" borderId="0" xfId="0"/>
    <xf numFmtId="170" fontId="37" fillId="3" borderId="0" xfId="0" applyNumberFormat="1" applyFont="1" applyFill="1"/>
    <xf numFmtId="0" fontId="92" fillId="3" borderId="64" xfId="0" applyFont="1" applyFill="1" applyBorder="1" applyAlignment="1" applyProtection="1">
      <alignment horizontal="center"/>
      <protection locked="0"/>
    </xf>
    <xf numFmtId="0" fontId="7" fillId="8" borderId="1" xfId="0" applyFont="1" applyFill="1" applyBorder="1" applyAlignment="1" applyProtection="1">
      <alignment horizontal="center" vertical="center" wrapText="1"/>
      <protection locked="0"/>
    </xf>
    <xf numFmtId="0" fontId="7" fillId="8" borderId="12" xfId="0" applyFont="1" applyFill="1" applyBorder="1" applyAlignment="1" applyProtection="1">
      <alignment horizontal="center" vertical="center" wrapText="1"/>
      <protection locked="0"/>
    </xf>
    <xf numFmtId="0" fontId="7" fillId="8" borderId="10" xfId="0" applyFont="1" applyFill="1" applyBorder="1" applyAlignment="1" applyProtection="1">
      <alignment horizontal="center" vertical="center" wrapText="1"/>
      <protection locked="0"/>
    </xf>
    <xf numFmtId="0" fontId="7" fillId="8" borderId="7" xfId="0" applyFont="1" applyFill="1" applyBorder="1" applyAlignment="1" applyProtection="1">
      <alignment horizontal="center" vertical="center" wrapText="1"/>
      <protection locked="0"/>
    </xf>
    <xf numFmtId="0" fontId="7" fillId="8" borderId="35" xfId="0" applyFont="1" applyFill="1" applyBorder="1" applyAlignment="1" applyProtection="1">
      <alignment horizontal="center" vertical="center" wrapText="1"/>
      <protection locked="0"/>
    </xf>
    <xf numFmtId="0" fontId="7" fillId="8" borderId="34" xfId="0" applyFont="1" applyFill="1" applyBorder="1" applyAlignment="1" applyProtection="1">
      <alignment horizontal="center" vertical="center" wrapText="1"/>
      <protection locked="0"/>
    </xf>
    <xf numFmtId="0" fontId="24" fillId="8" borderId="12" xfId="0" applyFont="1" applyFill="1" applyBorder="1" applyAlignment="1" applyProtection="1">
      <alignment horizontal="center" vertical="center"/>
      <protection locked="0"/>
    </xf>
    <xf numFmtId="0" fontId="7" fillId="8" borderId="29" xfId="0" applyFont="1" applyFill="1" applyBorder="1" applyAlignment="1" applyProtection="1">
      <alignment horizontal="center" vertical="center" wrapText="1"/>
      <protection locked="0"/>
    </xf>
    <xf numFmtId="0" fontId="7" fillId="8" borderId="33" xfId="0" applyFont="1" applyFill="1" applyBorder="1" applyAlignment="1" applyProtection="1">
      <alignment horizontal="center" vertical="center" wrapText="1"/>
      <protection locked="0"/>
    </xf>
    <xf numFmtId="0" fontId="7" fillId="8" borderId="1" xfId="4" applyFont="1" applyFill="1" applyBorder="1" applyAlignment="1" applyProtection="1">
      <alignment horizontal="center" vertical="center"/>
      <protection locked="0"/>
    </xf>
    <xf numFmtId="0" fontId="25" fillId="8" borderId="7" xfId="0" applyFont="1" applyFill="1" applyBorder="1" applyAlignment="1" applyProtection="1">
      <alignment horizontal="center" vertical="center"/>
      <protection locked="0"/>
    </xf>
    <xf numFmtId="0" fontId="25" fillId="8" borderId="39" xfId="0" applyFont="1" applyFill="1" applyBorder="1" applyAlignment="1" applyProtection="1">
      <alignment horizontal="center" vertical="center"/>
      <protection locked="0"/>
    </xf>
    <xf numFmtId="9" fontId="7" fillId="8" borderId="3" xfId="6" applyFont="1" applyFill="1" applyBorder="1" applyAlignment="1" applyProtection="1">
      <alignment horizontal="center" vertical="center" wrapText="1"/>
      <protection locked="0"/>
    </xf>
    <xf numFmtId="0" fontId="25" fillId="8" borderId="39" xfId="0" applyFont="1" applyFill="1" applyBorder="1" applyAlignment="1" applyProtection="1">
      <alignment horizontal="center"/>
      <protection locked="0"/>
    </xf>
    <xf numFmtId="0" fontId="5" fillId="8" borderId="39" xfId="0" applyFont="1" applyFill="1" applyBorder="1" applyAlignment="1" applyProtection="1">
      <alignment horizontal="center" vertical="center" wrapText="1"/>
      <protection locked="0"/>
    </xf>
    <xf numFmtId="0" fontId="39" fillId="8" borderId="39" xfId="0" applyFont="1" applyFill="1" applyBorder="1" applyAlignment="1" applyProtection="1">
      <alignment horizontal="center" vertical="center"/>
      <protection locked="0"/>
    </xf>
    <xf numFmtId="0" fontId="25" fillId="8" borderId="3" xfId="0" applyFont="1" applyFill="1" applyBorder="1" applyAlignment="1" applyProtection="1">
      <alignment horizontal="center" vertical="center"/>
      <protection locked="0"/>
    </xf>
    <xf numFmtId="0" fontId="5" fillId="8" borderId="41" xfId="0" applyFont="1" applyFill="1" applyBorder="1" applyAlignment="1" applyProtection="1">
      <alignment horizontal="center" vertical="center" wrapText="1"/>
      <protection locked="0"/>
    </xf>
    <xf numFmtId="0" fontId="39" fillId="8" borderId="41" xfId="0" applyFont="1" applyFill="1" applyBorder="1" applyAlignment="1" applyProtection="1">
      <alignment horizontal="center" vertical="center"/>
      <protection locked="0"/>
    </xf>
    <xf numFmtId="0" fontId="25" fillId="8" borderId="41" xfId="0" applyFont="1" applyFill="1" applyBorder="1" applyAlignment="1" applyProtection="1">
      <alignment horizontal="center" vertical="center"/>
      <protection locked="0"/>
    </xf>
    <xf numFmtId="0" fontId="0" fillId="3" borderId="0" xfId="0" applyFill="1" applyProtection="1">
      <protection locked="0"/>
    </xf>
    <xf numFmtId="0" fontId="0" fillId="3" borderId="0" xfId="0" applyFill="1" applyBorder="1" applyProtection="1">
      <protection locked="0"/>
    </xf>
    <xf numFmtId="0" fontId="0" fillId="2" borderId="0" xfId="0" applyFill="1" applyProtection="1">
      <protection locked="0"/>
    </xf>
    <xf numFmtId="164" fontId="84" fillId="3" borderId="0" xfId="0" applyNumberFormat="1" applyFont="1" applyFill="1" applyProtection="1">
      <protection locked="0"/>
    </xf>
    <xf numFmtId="0" fontId="52" fillId="3" borderId="0" xfId="0" applyFont="1" applyFill="1" applyProtection="1">
      <protection locked="0"/>
    </xf>
    <xf numFmtId="0" fontId="21" fillId="3" borderId="0" xfId="0" applyFont="1" applyFill="1" applyProtection="1">
      <protection locked="0"/>
    </xf>
    <xf numFmtId="0" fontId="9" fillId="3" borderId="0" xfId="4" applyFont="1" applyFill="1" applyBorder="1" applyAlignment="1" applyProtection="1">
      <alignment vertical="center" wrapText="1"/>
      <protection locked="0"/>
    </xf>
    <xf numFmtId="0" fontId="25" fillId="3" borderId="0" xfId="0" applyFont="1" applyFill="1" applyBorder="1" applyAlignment="1" applyProtection="1">
      <alignment horizontal="center" vertical="center"/>
      <protection locked="0"/>
    </xf>
    <xf numFmtId="0" fontId="0" fillId="0" borderId="0" xfId="0"/>
    <xf numFmtId="0" fontId="25" fillId="3" borderId="0" xfId="0" applyFont="1" applyFill="1" applyBorder="1" applyAlignment="1" applyProtection="1">
      <alignment horizontal="left" vertical="top" wrapText="1"/>
      <protection locked="0"/>
    </xf>
    <xf numFmtId="0" fontId="0" fillId="0" borderId="0" xfId="0"/>
    <xf numFmtId="0" fontId="24" fillId="3" borderId="0" xfId="0" applyFont="1" applyFill="1" applyProtection="1"/>
    <xf numFmtId="0" fontId="32" fillId="3" borderId="0" xfId="0" applyFont="1" applyFill="1" applyBorder="1" applyAlignment="1" applyProtection="1">
      <alignment vertical="top"/>
    </xf>
    <xf numFmtId="0" fontId="24" fillId="3" borderId="0" xfId="0" applyFont="1" applyFill="1" applyBorder="1" applyAlignment="1" applyProtection="1"/>
    <xf numFmtId="0" fontId="2" fillId="3" borderId="0" xfId="0" applyFont="1" applyFill="1" applyBorder="1" applyProtection="1"/>
    <xf numFmtId="0" fontId="32" fillId="3" borderId="0" xfId="0" applyFont="1" applyFill="1" applyBorder="1" applyAlignment="1" applyProtection="1">
      <alignment horizontal="left"/>
    </xf>
    <xf numFmtId="10" fontId="97" fillId="3" borderId="0" xfId="6" applyNumberFormat="1" applyFont="1" applyFill="1" applyAlignment="1" applyProtection="1">
      <alignment horizontal="left"/>
    </xf>
    <xf numFmtId="0" fontId="32" fillId="3" borderId="0" xfId="0" applyFont="1" applyFill="1" applyProtection="1"/>
    <xf numFmtId="0" fontId="0" fillId="0" borderId="0" xfId="0" applyProtection="1"/>
    <xf numFmtId="1" fontId="2" fillId="8" borderId="12" xfId="0" applyNumberFormat="1" applyFont="1" applyFill="1" applyBorder="1" applyAlignment="1" applyProtection="1">
      <alignment horizontal="center" vertical="center"/>
      <protection locked="0"/>
    </xf>
    <xf numFmtId="1" fontId="2" fillId="8" borderId="40" xfId="0" applyNumberFormat="1" applyFont="1" applyFill="1" applyBorder="1" applyAlignment="1" applyProtection="1">
      <alignment horizontal="center" vertical="center"/>
      <protection locked="0"/>
    </xf>
    <xf numFmtId="1" fontId="2" fillId="8" borderId="43" xfId="0" applyNumberFormat="1" applyFont="1" applyFill="1" applyBorder="1" applyAlignment="1" applyProtection="1">
      <alignment horizontal="center" vertical="center"/>
      <protection locked="0"/>
    </xf>
    <xf numFmtId="0" fontId="0" fillId="0" borderId="0" xfId="0"/>
    <xf numFmtId="0" fontId="0" fillId="0" borderId="0" xfId="0"/>
    <xf numFmtId="167" fontId="66" fillId="3" borderId="0" xfId="0" applyNumberFormat="1" applyFont="1" applyFill="1" applyBorder="1" applyAlignment="1"/>
    <xf numFmtId="167" fontId="66" fillId="3" borderId="0" xfId="0" quotePrefix="1" applyNumberFormat="1" applyFont="1" applyFill="1" applyBorder="1" applyAlignment="1"/>
    <xf numFmtId="0" fontId="0" fillId="0" borderId="0" xfId="0"/>
    <xf numFmtId="0" fontId="7" fillId="8" borderId="39" xfId="0" applyFont="1" applyFill="1" applyBorder="1" applyAlignment="1" applyProtection="1">
      <alignment horizontal="center" vertical="center"/>
      <protection locked="0"/>
    </xf>
    <xf numFmtId="2" fontId="67" fillId="3" borderId="0" xfId="0" applyNumberFormat="1" applyFont="1" applyFill="1" applyBorder="1" applyAlignment="1">
      <alignment horizontal="left"/>
    </xf>
    <xf numFmtId="0" fontId="67" fillId="3" borderId="0" xfId="0" applyFont="1" applyFill="1" applyBorder="1" applyAlignment="1">
      <alignment horizontal="left"/>
    </xf>
    <xf numFmtId="2" fontId="67" fillId="3" borderId="53" xfId="1" applyNumberFormat="1" applyFont="1" applyFill="1" applyBorder="1" applyAlignment="1" applyProtection="1">
      <alignment horizontal="center"/>
    </xf>
    <xf numFmtId="166" fontId="67" fillId="3" borderId="0" xfId="1" applyNumberFormat="1" applyFont="1" applyFill="1" applyBorder="1" applyAlignment="1" applyProtection="1">
      <alignment horizontal="center"/>
    </xf>
    <xf numFmtId="2" fontId="67" fillId="3" borderId="55" xfId="1" applyNumberFormat="1" applyFont="1" applyFill="1" applyBorder="1" applyAlignment="1" applyProtection="1">
      <alignment horizontal="center"/>
    </xf>
    <xf numFmtId="166" fontId="67" fillId="3" borderId="56" xfId="1" applyNumberFormat="1" applyFont="1" applyFill="1" applyBorder="1" applyAlignment="1" applyProtection="1">
      <alignment horizontal="center"/>
    </xf>
    <xf numFmtId="2" fontId="67" fillId="3" borderId="0" xfId="1" applyNumberFormat="1" applyFont="1" applyFill="1" applyBorder="1" applyAlignment="1" applyProtection="1">
      <alignment horizontal="center"/>
    </xf>
    <xf numFmtId="2" fontId="67" fillId="3" borderId="54" xfId="1" applyNumberFormat="1" applyFont="1" applyFill="1" applyBorder="1" applyAlignment="1" applyProtection="1">
      <alignment horizontal="center"/>
    </xf>
    <xf numFmtId="0" fontId="67" fillId="3" borderId="54" xfId="1" applyFont="1" applyFill="1" applyBorder="1" applyAlignment="1" applyProtection="1">
      <alignment horizontal="center"/>
    </xf>
    <xf numFmtId="166" fontId="107" fillId="3" borderId="0" xfId="1" applyNumberFormat="1" applyFont="1" applyFill="1" applyBorder="1" applyAlignment="1" applyProtection="1">
      <alignment horizontal="center"/>
    </xf>
    <xf numFmtId="166" fontId="107" fillId="3" borderId="56" xfId="1" applyNumberFormat="1" applyFont="1" applyFill="1" applyBorder="1" applyAlignment="1" applyProtection="1">
      <alignment horizontal="center"/>
    </xf>
    <xf numFmtId="0" fontId="69" fillId="3" borderId="48" xfId="1" applyFont="1" applyFill="1" applyBorder="1" applyAlignment="1" applyProtection="1">
      <alignment vertical="center"/>
    </xf>
    <xf numFmtId="0" fontId="67" fillId="3" borderId="49" xfId="1" applyFont="1" applyFill="1" applyBorder="1" applyAlignment="1" applyProtection="1">
      <alignment vertical="center"/>
    </xf>
    <xf numFmtId="0" fontId="67" fillId="3" borderId="0" xfId="1" applyFont="1" applyFill="1" applyBorder="1" applyAlignment="1" applyProtection="1">
      <alignment horizontal="center"/>
    </xf>
    <xf numFmtId="2" fontId="67" fillId="3" borderId="56" xfId="1" applyNumberFormat="1" applyFont="1" applyFill="1" applyBorder="1" applyAlignment="1" applyProtection="1">
      <alignment horizontal="center"/>
    </xf>
    <xf numFmtId="0" fontId="67" fillId="3" borderId="56" xfId="1" applyFont="1" applyFill="1" applyBorder="1" applyAlignment="1" applyProtection="1">
      <alignment horizontal="center"/>
    </xf>
    <xf numFmtId="0" fontId="58" fillId="3" borderId="56" xfId="0" applyFont="1" applyFill="1" applyBorder="1"/>
    <xf numFmtId="0" fontId="58" fillId="3" borderId="57" xfId="0" applyFont="1" applyFill="1" applyBorder="1"/>
    <xf numFmtId="2" fontId="107" fillId="3" borderId="0" xfId="1" applyNumberFormat="1" applyFont="1" applyFill="1" applyBorder="1" applyAlignment="1" applyProtection="1">
      <alignment horizontal="center"/>
    </xf>
    <xf numFmtId="2" fontId="10" fillId="3" borderId="0" xfId="4" applyNumberFormat="1" applyFont="1" applyFill="1" applyBorder="1" applyAlignment="1">
      <alignment vertical="center" wrapText="1"/>
    </xf>
    <xf numFmtId="165" fontId="107" fillId="3" borderId="0" xfId="4" applyNumberFormat="1" applyFont="1" applyFill="1" applyBorder="1" applyAlignment="1">
      <alignment horizontal="center"/>
    </xf>
    <xf numFmtId="0" fontId="113" fillId="3" borderId="0" xfId="1" applyFont="1" applyFill="1" applyBorder="1" applyAlignment="1" applyProtection="1">
      <alignment horizontal="center"/>
    </xf>
    <xf numFmtId="0" fontId="0" fillId="0" borderId="0" xfId="0"/>
    <xf numFmtId="0" fontId="25" fillId="3" borderId="0" xfId="0" applyFont="1" applyFill="1"/>
    <xf numFmtId="0" fontId="0" fillId="3" borderId="5" xfId="0" applyFill="1" applyBorder="1" applyProtection="1">
      <protection locked="0"/>
    </xf>
    <xf numFmtId="0" fontId="0" fillId="3" borderId="13" xfId="0" applyFill="1" applyBorder="1" applyProtection="1">
      <protection locked="0"/>
    </xf>
    <xf numFmtId="0" fontId="7" fillId="3" borderId="8" xfId="0" applyFont="1" applyFill="1" applyBorder="1" applyProtection="1">
      <protection locked="0"/>
    </xf>
    <xf numFmtId="0" fontId="0" fillId="3" borderId="9" xfId="0" applyFill="1" applyBorder="1" applyProtection="1">
      <protection locked="0"/>
    </xf>
    <xf numFmtId="0" fontId="3" fillId="3" borderId="8" xfId="0" applyFont="1" applyFill="1" applyBorder="1" applyAlignment="1" applyProtection="1">
      <alignment horizontal="center"/>
      <protection locked="0"/>
    </xf>
    <xf numFmtId="0" fontId="3" fillId="3" borderId="0" xfId="0" applyFont="1" applyFill="1" applyBorder="1" applyAlignment="1" applyProtection="1">
      <alignment horizontal="center"/>
      <protection locked="0"/>
    </xf>
    <xf numFmtId="0" fontId="3" fillId="3" borderId="9" xfId="0" applyFont="1" applyFill="1" applyBorder="1" applyAlignment="1" applyProtection="1">
      <alignment horizontal="center"/>
      <protection locked="0"/>
    </xf>
    <xf numFmtId="0" fontId="44" fillId="3" borderId="8" xfId="0" applyFont="1" applyFill="1" applyBorder="1" applyAlignment="1" applyProtection="1">
      <alignment vertical="center"/>
      <protection locked="0"/>
    </xf>
    <xf numFmtId="0" fontId="44" fillId="3" borderId="0" xfId="0" applyFont="1" applyFill="1" applyBorder="1" applyAlignment="1" applyProtection="1">
      <alignment vertical="center"/>
      <protection locked="0"/>
    </xf>
    <xf numFmtId="0" fontId="3" fillId="3" borderId="0" xfId="0" applyFont="1" applyFill="1" applyBorder="1" applyAlignment="1" applyProtection="1">
      <alignment horizontal="center" vertical="center"/>
      <protection locked="0"/>
    </xf>
    <xf numFmtId="0" fontId="3" fillId="3" borderId="9" xfId="0" applyFont="1" applyFill="1" applyBorder="1" applyAlignment="1" applyProtection="1">
      <alignment horizontal="center" vertical="center"/>
      <protection locked="0"/>
    </xf>
    <xf numFmtId="0" fontId="0" fillId="3" borderId="8" xfId="0" applyFill="1" applyBorder="1" applyProtection="1">
      <protection locked="0"/>
    </xf>
    <xf numFmtId="0" fontId="26" fillId="3" borderId="8" xfId="0" applyFont="1" applyFill="1" applyBorder="1" applyAlignment="1" applyProtection="1">
      <alignment horizontal="center" vertical="center"/>
      <protection locked="0"/>
    </xf>
    <xf numFmtId="0" fontId="23" fillId="3" borderId="0" xfId="0" applyFont="1" applyFill="1" applyBorder="1" applyAlignment="1" applyProtection="1">
      <alignment horizontal="center" vertical="center"/>
      <protection locked="0"/>
    </xf>
    <xf numFmtId="0" fontId="1" fillId="3" borderId="8" xfId="0" applyFont="1" applyFill="1" applyBorder="1" applyAlignment="1" applyProtection="1">
      <alignment horizontal="center" vertical="center"/>
      <protection locked="0"/>
    </xf>
    <xf numFmtId="0" fontId="1" fillId="3" borderId="0" xfId="0" applyFont="1" applyFill="1" applyBorder="1" applyAlignment="1" applyProtection="1">
      <alignment horizontal="center" vertical="center"/>
      <protection locked="0"/>
    </xf>
    <xf numFmtId="0" fontId="0" fillId="3" borderId="8" xfId="0" applyFill="1" applyBorder="1" applyAlignment="1" applyProtection="1">
      <alignment horizontal="center"/>
      <protection locked="0"/>
    </xf>
    <xf numFmtId="0" fontId="0" fillId="3" borderId="0" xfId="0" applyFill="1" applyBorder="1" applyAlignment="1" applyProtection="1">
      <alignment horizontal="center"/>
      <protection locked="0"/>
    </xf>
    <xf numFmtId="0" fontId="23" fillId="3" borderId="8" xfId="0" applyFont="1" applyFill="1" applyBorder="1" applyAlignment="1" applyProtection="1">
      <alignment horizontal="center" vertical="center"/>
      <protection locked="0"/>
    </xf>
    <xf numFmtId="0" fontId="27" fillId="3" borderId="0" xfId="0" applyFont="1" applyFill="1" applyBorder="1" applyAlignment="1" applyProtection="1">
      <alignment horizontal="center" vertical="center"/>
      <protection locked="0"/>
    </xf>
    <xf numFmtId="0" fontId="1" fillId="3" borderId="8" xfId="0" applyFont="1" applyFill="1" applyBorder="1" applyAlignment="1" applyProtection="1">
      <alignment horizontal="center"/>
      <protection locked="0"/>
    </xf>
    <xf numFmtId="0" fontId="1" fillId="3" borderId="0" xfId="0" applyFont="1" applyFill="1" applyBorder="1" applyAlignment="1" applyProtection="1">
      <alignment horizontal="center"/>
      <protection locked="0"/>
    </xf>
    <xf numFmtId="0" fontId="0" fillId="3" borderId="12" xfId="0" applyFill="1" applyBorder="1" applyProtection="1">
      <protection locked="0"/>
    </xf>
    <xf numFmtId="0" fontId="0" fillId="3" borderId="10" xfId="0" applyFill="1" applyBorder="1" applyProtection="1">
      <protection locked="0"/>
    </xf>
    <xf numFmtId="0" fontId="0" fillId="3" borderId="11" xfId="0" applyFill="1" applyBorder="1" applyProtection="1">
      <protection locked="0"/>
    </xf>
    <xf numFmtId="0" fontId="37" fillId="3" borderId="9" xfId="0" applyFont="1" applyFill="1" applyBorder="1" applyAlignment="1" applyProtection="1">
      <alignment horizontal="center" wrapText="1"/>
    </xf>
    <xf numFmtId="0" fontId="25" fillId="3" borderId="1" xfId="0" applyFont="1" applyFill="1" applyBorder="1" applyAlignment="1" applyProtection="1">
      <alignment horizontal="center" vertical="center"/>
    </xf>
    <xf numFmtId="0" fontId="32" fillId="3" borderId="7" xfId="0" applyFont="1" applyFill="1" applyBorder="1" applyAlignment="1" applyProtection="1">
      <alignment horizontal="center" vertical="center" wrapText="1"/>
    </xf>
    <xf numFmtId="0" fontId="32" fillId="3" borderId="1" xfId="0" applyFont="1" applyFill="1" applyBorder="1" applyAlignment="1" applyProtection="1">
      <alignment vertical="top"/>
    </xf>
    <xf numFmtId="0" fontId="114" fillId="11" borderId="3" xfId="0" applyFont="1" applyFill="1" applyBorder="1" applyAlignment="1" applyProtection="1">
      <alignment horizontal="center" vertical="center" wrapText="1"/>
      <protection locked="0"/>
    </xf>
    <xf numFmtId="0" fontId="114" fillId="11" borderId="12" xfId="0" applyFont="1" applyFill="1" applyBorder="1" applyAlignment="1" applyProtection="1">
      <alignment horizontal="center" vertical="center" wrapText="1"/>
      <protection locked="0"/>
    </xf>
    <xf numFmtId="0" fontId="114" fillId="11" borderId="3" xfId="0" applyFont="1" applyFill="1" applyBorder="1" applyAlignment="1" applyProtection="1">
      <alignment horizontal="center" vertical="center"/>
      <protection locked="0"/>
    </xf>
    <xf numFmtId="0" fontId="114" fillId="11" borderId="12" xfId="0" applyFont="1" applyFill="1" applyBorder="1" applyAlignment="1" applyProtection="1">
      <alignment horizontal="center" vertical="center"/>
      <protection locked="0"/>
    </xf>
    <xf numFmtId="0" fontId="114" fillId="11" borderId="30" xfId="0" applyFont="1" applyFill="1" applyBorder="1" applyAlignment="1" applyProtection="1">
      <alignment horizontal="center" vertical="center" wrapText="1"/>
      <protection locked="0"/>
    </xf>
    <xf numFmtId="0" fontId="114" fillId="11" borderId="1" xfId="0" applyFont="1" applyFill="1" applyBorder="1" applyAlignment="1" applyProtection="1">
      <alignment horizontal="center" vertical="center" wrapText="1"/>
      <protection locked="0"/>
    </xf>
    <xf numFmtId="0" fontId="114" fillId="11" borderId="1" xfId="0" applyFont="1" applyFill="1" applyBorder="1" applyAlignment="1" applyProtection="1">
      <alignment horizontal="center" vertical="center"/>
      <protection locked="0"/>
    </xf>
    <xf numFmtId="43" fontId="32" fillId="3" borderId="3" xfId="0" applyNumberFormat="1" applyFont="1" applyFill="1" applyBorder="1" applyAlignment="1">
      <alignment vertical="center"/>
    </xf>
    <xf numFmtId="167" fontId="32" fillId="3" borderId="0" xfId="6" applyNumberFormat="1" applyFont="1" applyFill="1" applyBorder="1" applyAlignment="1">
      <alignment horizontal="center"/>
    </xf>
    <xf numFmtId="0" fontId="0" fillId="0" borderId="0" xfId="0"/>
    <xf numFmtId="0" fontId="120" fillId="3" borderId="0" xfId="0" applyFont="1" applyFill="1"/>
    <xf numFmtId="0" fontId="120" fillId="3" borderId="0" xfId="0" applyFont="1" applyFill="1" applyAlignment="1">
      <alignment vertical="center"/>
    </xf>
    <xf numFmtId="0" fontId="119" fillId="3" borderId="0" xfId="0" applyFont="1" applyFill="1" applyAlignment="1">
      <alignment vertical="center" wrapText="1"/>
    </xf>
    <xf numFmtId="0" fontId="24" fillId="3" borderId="1" xfId="0" applyFont="1" applyFill="1" applyBorder="1" applyAlignment="1">
      <alignment horizontal="center" vertical="center" wrapText="1"/>
    </xf>
    <xf numFmtId="0" fontId="118" fillId="3" borderId="0" xfId="0" applyFont="1" applyFill="1" applyBorder="1" applyAlignment="1">
      <alignment horizontal="center"/>
    </xf>
    <xf numFmtId="167" fontId="105" fillId="3" borderId="0" xfId="0" applyNumberFormat="1" applyFont="1" applyFill="1" applyBorder="1" applyAlignment="1">
      <alignment horizontal="center"/>
    </xf>
    <xf numFmtId="0" fontId="9" fillId="3" borderId="0" xfId="4" applyFont="1" applyFill="1" applyAlignment="1"/>
    <xf numFmtId="0" fontId="92" fillId="3" borderId="5" xfId="0" applyFont="1" applyFill="1" applyBorder="1" applyAlignment="1" applyProtection="1">
      <alignment horizontal="center" vertical="center" wrapText="1"/>
      <protection hidden="1"/>
    </xf>
    <xf numFmtId="0" fontId="37" fillId="3" borderId="5" xfId="0" applyFont="1" applyFill="1" applyBorder="1" applyAlignment="1">
      <alignment vertical="top" wrapText="1"/>
    </xf>
    <xf numFmtId="0" fontId="16" fillId="3" borderId="19" xfId="4" applyFont="1" applyFill="1" applyBorder="1" applyAlignment="1">
      <alignment vertical="center"/>
    </xf>
    <xf numFmtId="0" fontId="37" fillId="3" borderId="27" xfId="0" applyFont="1" applyFill="1" applyBorder="1" applyAlignment="1">
      <alignment vertical="top" wrapText="1"/>
    </xf>
    <xf numFmtId="168" fontId="5" fillId="3" borderId="0" xfId="8" applyNumberFormat="1" applyFont="1" applyFill="1" applyBorder="1" applyAlignment="1">
      <alignment horizontal="center" vertical="center" wrapText="1"/>
    </xf>
    <xf numFmtId="0" fontId="58" fillId="3" borderId="0" xfId="0" applyFont="1" applyFill="1" applyBorder="1" applyAlignment="1">
      <alignment wrapText="1"/>
    </xf>
    <xf numFmtId="2" fontId="67" fillId="3" borderId="0" xfId="4" applyNumberFormat="1" applyFont="1" applyFill="1" applyBorder="1" applyAlignment="1">
      <alignment horizontal="left" vertical="center" wrapText="1"/>
    </xf>
    <xf numFmtId="0" fontId="0" fillId="0" borderId="0" xfId="0"/>
    <xf numFmtId="0" fontId="10" fillId="3" borderId="22" xfId="4" applyFont="1" applyFill="1" applyBorder="1" applyAlignment="1">
      <alignment wrapText="1"/>
    </xf>
    <xf numFmtId="9" fontId="10" fillId="3" borderId="0" xfId="0" applyNumberFormat="1" applyFont="1" applyFill="1" applyBorder="1" applyAlignment="1">
      <alignment vertical="center" wrapText="1"/>
    </xf>
    <xf numFmtId="9" fontId="10" fillId="3" borderId="21" xfId="0" applyNumberFormat="1" applyFont="1" applyFill="1" applyBorder="1" applyAlignment="1">
      <alignment vertical="center" wrapText="1"/>
    </xf>
    <xf numFmtId="9" fontId="10" fillId="3" borderId="16" xfId="0" applyNumberFormat="1" applyFont="1" applyFill="1" applyBorder="1" applyAlignment="1">
      <alignment vertical="center" wrapText="1"/>
    </xf>
    <xf numFmtId="9" fontId="10" fillId="3" borderId="22" xfId="0" applyNumberFormat="1" applyFont="1" applyFill="1" applyBorder="1" applyAlignment="1">
      <alignment vertical="center" wrapText="1"/>
    </xf>
    <xf numFmtId="0" fontId="10" fillId="3" borderId="10" xfId="4" applyFont="1" applyFill="1" applyBorder="1" applyAlignment="1">
      <alignment horizontal="left"/>
    </xf>
    <xf numFmtId="0" fontId="5" fillId="3" borderId="0" xfId="1" applyFont="1" applyFill="1" applyBorder="1" applyAlignment="1" applyProtection="1">
      <alignment vertical="top" wrapText="1"/>
    </xf>
    <xf numFmtId="0" fontId="0" fillId="3" borderId="91" xfId="0" applyFill="1" applyBorder="1"/>
    <xf numFmtId="2" fontId="1" fillId="3" borderId="54" xfId="1" applyNumberFormat="1" applyFont="1" applyFill="1" applyBorder="1" applyAlignment="1" applyProtection="1">
      <alignment horizontal="center"/>
    </xf>
    <xf numFmtId="0" fontId="0" fillId="3" borderId="90" xfId="0" applyFill="1" applyBorder="1"/>
    <xf numFmtId="0" fontId="0" fillId="0" borderId="90" xfId="0" applyBorder="1"/>
    <xf numFmtId="0" fontId="0" fillId="0" borderId="0" xfId="0" applyBorder="1"/>
    <xf numFmtId="2" fontId="5" fillId="3" borderId="0" xfId="0" applyNumberFormat="1" applyFont="1" applyFill="1" applyBorder="1"/>
    <xf numFmtId="0" fontId="1" fillId="3" borderId="91" xfId="0" applyFont="1" applyFill="1" applyBorder="1"/>
    <xf numFmtId="0" fontId="0" fillId="0" borderId="91" xfId="0" applyBorder="1"/>
    <xf numFmtId="0" fontId="10" fillId="3" borderId="0" xfId="0" applyFont="1" applyFill="1" applyBorder="1" applyAlignment="1">
      <alignment vertical="center" wrapText="1"/>
    </xf>
    <xf numFmtId="0" fontId="107" fillId="3" borderId="0" xfId="0" applyFont="1" applyFill="1" applyBorder="1" applyAlignment="1">
      <alignment vertical="center" wrapText="1"/>
    </xf>
    <xf numFmtId="9" fontId="107" fillId="3" borderId="0" xfId="0" applyNumberFormat="1" applyFont="1" applyFill="1" applyBorder="1" applyAlignment="1">
      <alignment vertical="center" wrapText="1"/>
    </xf>
    <xf numFmtId="0" fontId="2" fillId="3" borderId="1" xfId="4" applyFont="1" applyFill="1" applyBorder="1" applyAlignment="1">
      <alignment horizontal="left"/>
    </xf>
    <xf numFmtId="43" fontId="127" fillId="0" borderId="0" xfId="8" applyFont="1" applyFill="1" applyAlignment="1">
      <alignment horizontal="center"/>
    </xf>
    <xf numFmtId="43" fontId="127" fillId="0" borderId="0" xfId="8" applyFont="1" applyFill="1" applyAlignment="1">
      <alignment horizontal="center" vertical="center"/>
    </xf>
    <xf numFmtId="0" fontId="127" fillId="0" borderId="0" xfId="0" applyFont="1"/>
    <xf numFmtId="0" fontId="128" fillId="3" borderId="0" xfId="0" applyFont="1" applyFill="1" applyBorder="1"/>
    <xf numFmtId="0" fontId="7" fillId="8" borderId="41" xfId="0" applyFont="1" applyFill="1" applyBorder="1" applyAlignment="1" applyProtection="1">
      <alignment horizontal="center" vertical="center" wrapText="1"/>
      <protection locked="0"/>
    </xf>
    <xf numFmtId="0" fontId="7" fillId="8" borderId="43" xfId="0" applyFont="1" applyFill="1" applyBorder="1" applyAlignment="1" applyProtection="1">
      <alignment horizontal="center" vertical="center" wrapText="1"/>
      <protection locked="0"/>
    </xf>
    <xf numFmtId="0" fontId="114" fillId="11" borderId="39" xfId="0" applyFont="1" applyFill="1" applyBorder="1" applyAlignment="1" applyProtection="1">
      <alignment horizontal="center" vertical="center" wrapText="1"/>
      <protection locked="0"/>
    </xf>
    <xf numFmtId="0" fontId="114" fillId="11" borderId="40" xfId="0" applyFont="1" applyFill="1" applyBorder="1" applyAlignment="1" applyProtection="1">
      <alignment horizontal="center" vertical="center" wrapText="1"/>
      <protection locked="0"/>
    </xf>
    <xf numFmtId="0" fontId="7" fillId="8" borderId="39" xfId="0" applyFont="1" applyFill="1" applyBorder="1" applyAlignment="1" applyProtection="1">
      <alignment horizontal="center" vertical="center" wrapText="1"/>
      <protection locked="0"/>
    </xf>
    <xf numFmtId="0" fontId="7" fillId="8" borderId="40" xfId="0" applyFont="1" applyFill="1" applyBorder="1" applyAlignment="1" applyProtection="1">
      <alignment horizontal="center" vertical="center" wrapText="1"/>
      <protection locked="0"/>
    </xf>
    <xf numFmtId="0" fontId="7" fillId="8" borderId="61" xfId="0" applyFont="1" applyFill="1" applyBorder="1" applyAlignment="1" applyProtection="1">
      <alignment horizontal="center" vertical="center"/>
      <protection locked="0"/>
    </xf>
    <xf numFmtId="0" fontId="7" fillId="8" borderId="62" xfId="0" applyFont="1" applyFill="1" applyBorder="1" applyAlignment="1" applyProtection="1">
      <alignment horizontal="center" vertical="center"/>
      <protection locked="0"/>
    </xf>
    <xf numFmtId="0" fontId="7" fillId="8" borderId="41" xfId="0" applyFont="1" applyFill="1" applyBorder="1" applyAlignment="1" applyProtection="1">
      <alignment horizontal="center" vertical="center"/>
      <protection locked="0"/>
    </xf>
    <xf numFmtId="0" fontId="7" fillId="8" borderId="43" xfId="0" applyFont="1" applyFill="1" applyBorder="1" applyAlignment="1" applyProtection="1">
      <alignment horizontal="center" vertical="center"/>
      <protection locked="0"/>
    </xf>
    <xf numFmtId="9" fontId="7" fillId="8" borderId="41" xfId="6" applyFont="1" applyFill="1" applyBorder="1" applyAlignment="1" applyProtection="1">
      <alignment horizontal="center" vertical="center" wrapText="1"/>
      <protection locked="0"/>
    </xf>
    <xf numFmtId="14" fontId="87" fillId="5" borderId="8" xfId="0" applyNumberFormat="1" applyFont="1" applyFill="1" applyBorder="1" applyAlignment="1" applyProtection="1">
      <protection locked="0"/>
    </xf>
    <xf numFmtId="0" fontId="7" fillId="3" borderId="0" xfId="0" applyFont="1" applyFill="1" applyBorder="1" applyAlignment="1">
      <alignment wrapText="1"/>
    </xf>
    <xf numFmtId="167" fontId="97" fillId="3" borderId="0" xfId="6" applyNumberFormat="1" applyFont="1" applyFill="1" applyBorder="1" applyAlignment="1">
      <alignment horizontal="left"/>
    </xf>
    <xf numFmtId="44" fontId="10" fillId="3" borderId="0" xfId="2" applyFont="1" applyFill="1" applyBorder="1" applyAlignment="1" applyProtection="1">
      <alignment vertical="center" wrapText="1"/>
    </xf>
    <xf numFmtId="0" fontId="37" fillId="3" borderId="0" xfId="0" applyFont="1" applyFill="1" applyBorder="1" applyAlignment="1"/>
    <xf numFmtId="0" fontId="16" fillId="3" borderId="20" xfId="4" applyFont="1" applyFill="1" applyBorder="1" applyAlignment="1">
      <alignment horizontal="left" vertical="center"/>
    </xf>
    <xf numFmtId="0" fontId="24" fillId="0" borderId="0" xfId="0" applyFont="1" applyBorder="1"/>
    <xf numFmtId="167" fontId="103" fillId="3" borderId="0" xfId="0" applyNumberFormat="1" applyFont="1" applyFill="1" applyBorder="1" applyAlignment="1">
      <alignment horizontal="right"/>
    </xf>
    <xf numFmtId="0" fontId="2" fillId="3" borderId="9" xfId="0" applyFont="1" applyFill="1" applyBorder="1" applyAlignment="1" applyProtection="1">
      <alignment horizontal="left"/>
    </xf>
    <xf numFmtId="2" fontId="16" fillId="3" borderId="20" xfId="4" applyNumberFormat="1" applyFont="1" applyFill="1" applyBorder="1" applyAlignment="1">
      <alignment horizontal="left" vertical="center" wrapText="1"/>
    </xf>
    <xf numFmtId="0" fontId="24" fillId="3" borderId="0" xfId="0" applyFont="1" applyFill="1" applyBorder="1" applyAlignment="1">
      <alignment horizontal="left"/>
    </xf>
    <xf numFmtId="9" fontId="130" fillId="3" borderId="0" xfId="4" applyNumberFormat="1" applyFont="1" applyFill="1" applyBorder="1" applyAlignment="1">
      <alignment horizontal="left" vertical="center"/>
    </xf>
    <xf numFmtId="9" fontId="130" fillId="3" borderId="20" xfId="6" applyFont="1" applyFill="1" applyBorder="1" applyAlignment="1">
      <alignment horizontal="left" vertical="center"/>
    </xf>
    <xf numFmtId="0" fontId="24" fillId="3" borderId="0" xfId="0" applyFont="1" applyFill="1" applyBorder="1" applyAlignment="1">
      <alignment horizontal="left" vertical="center"/>
    </xf>
    <xf numFmtId="0" fontId="131" fillId="3" borderId="0" xfId="0" applyFont="1" applyFill="1"/>
    <xf numFmtId="0" fontId="132" fillId="3" borderId="0" xfId="0" applyFont="1" applyFill="1" applyBorder="1" applyAlignment="1">
      <alignment horizontal="center"/>
    </xf>
    <xf numFmtId="0" fontId="125" fillId="3" borderId="0" xfId="0" applyFont="1" applyFill="1" applyAlignment="1">
      <alignment horizontal="center" vertical="center"/>
    </xf>
    <xf numFmtId="167" fontId="43" fillId="3" borderId="0" xfId="0" applyNumberFormat="1" applyFont="1" applyFill="1"/>
    <xf numFmtId="0" fontId="37" fillId="3" borderId="0" xfId="0" applyFont="1" applyFill="1" applyBorder="1" applyAlignment="1" applyProtection="1">
      <alignment vertical="top" wrapText="1"/>
      <protection locked="0"/>
    </xf>
    <xf numFmtId="0" fontId="32" fillId="8" borderId="1" xfId="0" applyFont="1" applyFill="1" applyBorder="1" applyAlignment="1" applyProtection="1">
      <alignment horizontal="center" vertical="center"/>
      <protection locked="0"/>
    </xf>
    <xf numFmtId="0" fontId="24" fillId="3" borderId="111" xfId="0" applyFont="1" applyFill="1" applyBorder="1"/>
    <xf numFmtId="0" fontId="32" fillId="3" borderId="0" xfId="0" applyFont="1" applyFill="1" applyBorder="1" applyAlignment="1" applyProtection="1">
      <alignment horizontal="center" vertical="center"/>
      <protection locked="0"/>
    </xf>
    <xf numFmtId="0" fontId="28" fillId="3" borderId="0" xfId="0" applyFont="1" applyFill="1" applyBorder="1" applyAlignment="1">
      <alignment horizontal="center"/>
    </xf>
    <xf numFmtId="0" fontId="7" fillId="3" borderId="0" xfId="0" applyFont="1" applyFill="1" applyAlignment="1">
      <alignment wrapText="1"/>
    </xf>
    <xf numFmtId="4" fontId="77" fillId="3" borderId="0" xfId="0" applyNumberFormat="1" applyFont="1" applyFill="1" applyBorder="1"/>
    <xf numFmtId="0" fontId="78" fillId="3" borderId="5" xfId="0" applyFont="1" applyFill="1" applyBorder="1" applyAlignment="1">
      <alignment horizontal="center"/>
    </xf>
    <xf numFmtId="2" fontId="32" fillId="3" borderId="1" xfId="0" applyNumberFormat="1" applyFont="1" applyFill="1" applyBorder="1" applyAlignment="1">
      <alignment horizontal="center"/>
    </xf>
    <xf numFmtId="0" fontId="132" fillId="3" borderId="0" xfId="0" applyFont="1" applyFill="1" applyBorder="1" applyAlignment="1">
      <alignment horizontal="center" vertical="center"/>
    </xf>
    <xf numFmtId="43" fontId="135" fillId="3" borderId="0" xfId="8" applyFont="1" applyFill="1" applyAlignment="1">
      <alignment horizontal="center"/>
    </xf>
    <xf numFmtId="10" fontId="25" fillId="3" borderId="1" xfId="6" applyNumberFormat="1" applyFont="1" applyFill="1" applyBorder="1" applyAlignment="1">
      <alignment horizontal="center"/>
    </xf>
    <xf numFmtId="167" fontId="25" fillId="3" borderId="1" xfId="6" applyNumberFormat="1" applyFont="1" applyFill="1" applyBorder="1" applyAlignment="1">
      <alignment horizontal="center"/>
    </xf>
    <xf numFmtId="167" fontId="37" fillId="3" borderId="1" xfId="0" applyNumberFormat="1" applyFont="1" applyFill="1" applyBorder="1" applyAlignment="1"/>
    <xf numFmtId="4" fontId="25" fillId="3" borderId="1" xfId="0" applyNumberFormat="1" applyFont="1" applyFill="1" applyBorder="1" applyAlignment="1">
      <alignment horizontal="center"/>
    </xf>
    <xf numFmtId="167" fontId="25" fillId="3" borderId="1" xfId="0" applyNumberFormat="1" applyFont="1" applyFill="1" applyBorder="1" applyAlignment="1">
      <alignment horizontal="center"/>
    </xf>
    <xf numFmtId="0" fontId="53" fillId="3" borderId="0" xfId="0" applyFont="1" applyFill="1" applyBorder="1" applyAlignment="1">
      <alignment vertical="center"/>
    </xf>
    <xf numFmtId="0" fontId="16" fillId="3" borderId="0" xfId="4" applyFont="1" applyFill="1" applyBorder="1" applyAlignment="1">
      <alignment horizontal="left" vertical="center"/>
    </xf>
    <xf numFmtId="2" fontId="16" fillId="3" borderId="0" xfId="4" applyNumberFormat="1" applyFont="1" applyFill="1" applyBorder="1" applyAlignment="1">
      <alignment horizontal="left" vertical="center" wrapText="1"/>
    </xf>
    <xf numFmtId="0" fontId="136" fillId="3" borderId="0" xfId="0" applyFont="1" applyFill="1" applyBorder="1" applyAlignment="1">
      <alignment horizontal="center"/>
    </xf>
    <xf numFmtId="1" fontId="7" fillId="3" borderId="1" xfId="6" applyNumberFormat="1" applyFont="1" applyFill="1" applyBorder="1" applyAlignment="1" applyProtection="1">
      <alignment horizontal="center" vertical="center"/>
    </xf>
    <xf numFmtId="0" fontId="134" fillId="3" borderId="0" xfId="0" applyFont="1" applyFill="1" applyBorder="1" applyAlignment="1">
      <alignment vertical="center"/>
    </xf>
    <xf numFmtId="0" fontId="16" fillId="3" borderId="18" xfId="4" applyFont="1" applyFill="1" applyBorder="1" applyAlignment="1">
      <alignment vertical="center"/>
    </xf>
    <xf numFmtId="0" fontId="16" fillId="3" borderId="21" xfId="4" applyFont="1" applyFill="1" applyBorder="1" applyAlignment="1">
      <alignment vertical="center"/>
    </xf>
    <xf numFmtId="0" fontId="9" fillId="3" borderId="18" xfId="4" applyFont="1" applyFill="1" applyBorder="1" applyAlignment="1">
      <alignment vertical="center"/>
    </xf>
    <xf numFmtId="0" fontId="9" fillId="3" borderId="20" xfId="4" applyFont="1" applyFill="1" applyBorder="1" applyAlignment="1">
      <alignment vertical="center"/>
    </xf>
    <xf numFmtId="0" fontId="9" fillId="3" borderId="0" xfId="4" applyFont="1" applyFill="1" applyBorder="1" applyAlignment="1">
      <alignment vertical="center"/>
    </xf>
    <xf numFmtId="0" fontId="7" fillId="3" borderId="18" xfId="4" applyFont="1" applyFill="1" applyBorder="1" applyAlignment="1">
      <alignment vertical="center"/>
    </xf>
    <xf numFmtId="0" fontId="7" fillId="3" borderId="19" xfId="4" applyFont="1" applyFill="1" applyBorder="1" applyAlignment="1">
      <alignment vertical="center"/>
    </xf>
    <xf numFmtId="0" fontId="7" fillId="3" borderId="20" xfId="4" applyFont="1" applyFill="1" applyBorder="1" applyAlignment="1">
      <alignment vertical="center"/>
    </xf>
    <xf numFmtId="0" fontId="137" fillId="3" borderId="21" xfId="4" applyFont="1" applyFill="1" applyBorder="1" applyAlignment="1">
      <alignment horizontal="center" vertical="center"/>
    </xf>
    <xf numFmtId="9" fontId="10" fillId="3" borderId="3" xfId="6" applyFont="1" applyFill="1" applyBorder="1" applyAlignment="1">
      <alignment horizontal="center" vertical="center"/>
    </xf>
    <xf numFmtId="9" fontId="10" fillId="3" borderId="44" xfId="6" applyFont="1" applyFill="1" applyBorder="1" applyAlignment="1">
      <alignment horizontal="center" vertical="center"/>
    </xf>
    <xf numFmtId="9" fontId="10" fillId="3" borderId="41" xfId="6" applyFont="1" applyFill="1" applyBorder="1" applyAlignment="1">
      <alignment horizontal="center" vertical="center"/>
    </xf>
    <xf numFmtId="2" fontId="5" fillId="3" borderId="3" xfId="0" applyNumberFormat="1" applyFont="1" applyFill="1" applyBorder="1" applyAlignment="1">
      <alignment horizontal="center" vertical="center"/>
    </xf>
    <xf numFmtId="2" fontId="5" fillId="3" borderId="44" xfId="0" applyNumberFormat="1" applyFont="1" applyFill="1" applyBorder="1" applyAlignment="1">
      <alignment horizontal="center" vertical="center"/>
    </xf>
    <xf numFmtId="2" fontId="5" fillId="3" borderId="6" xfId="0" applyNumberFormat="1" applyFont="1" applyFill="1" applyBorder="1" applyAlignment="1">
      <alignment horizontal="center" vertical="center"/>
    </xf>
    <xf numFmtId="2" fontId="5" fillId="3" borderId="12" xfId="0" applyNumberFormat="1" applyFont="1" applyFill="1" applyBorder="1" applyAlignment="1">
      <alignment horizontal="center" vertical="center"/>
    </xf>
    <xf numFmtId="2" fontId="5" fillId="3" borderId="60" xfId="0" applyNumberFormat="1" applyFont="1" applyFill="1" applyBorder="1" applyAlignment="1">
      <alignment horizontal="center" vertical="center"/>
    </xf>
    <xf numFmtId="2" fontId="5" fillId="3" borderId="11" xfId="0" applyNumberFormat="1" applyFont="1" applyFill="1" applyBorder="1" applyAlignment="1">
      <alignment horizontal="center" vertical="center"/>
    </xf>
    <xf numFmtId="0" fontId="1" fillId="3" borderId="20" xfId="0" applyFont="1" applyFill="1" applyBorder="1" applyAlignment="1" applyProtection="1">
      <alignment vertical="center"/>
      <protection hidden="1"/>
    </xf>
    <xf numFmtId="2" fontId="57" fillId="3" borderId="1" xfId="0" applyNumberFormat="1" applyFont="1" applyFill="1" applyBorder="1" applyAlignment="1">
      <alignment horizontal="center" vertical="center"/>
    </xf>
    <xf numFmtId="2" fontId="138" fillId="3" borderId="1" xfId="0" applyNumberFormat="1" applyFont="1" applyFill="1" applyBorder="1" applyAlignment="1">
      <alignment horizontal="center" vertical="center"/>
    </xf>
    <xf numFmtId="177" fontId="0" fillId="3" borderId="0" xfId="0" applyNumberFormat="1" applyFill="1"/>
    <xf numFmtId="0" fontId="2" fillId="3" borderId="1" xfId="0" applyFont="1" applyFill="1" applyBorder="1" applyAlignment="1">
      <alignment horizontal="left" vertical="center"/>
    </xf>
    <xf numFmtId="0" fontId="16" fillId="3" borderId="18" xfId="0" applyFont="1" applyFill="1" applyBorder="1" applyAlignment="1">
      <alignment vertical="center"/>
    </xf>
    <xf numFmtId="0" fontId="16" fillId="3" borderId="19" xfId="0" applyFont="1" applyFill="1" applyBorder="1" applyAlignment="1">
      <alignment vertical="center"/>
    </xf>
    <xf numFmtId="0" fontId="16" fillId="3" borderId="20" xfId="0" applyFont="1" applyFill="1" applyBorder="1" applyAlignment="1">
      <alignment vertical="center"/>
    </xf>
    <xf numFmtId="0" fontId="16" fillId="3" borderId="21" xfId="0" applyFont="1" applyFill="1" applyBorder="1" applyAlignment="1">
      <alignment vertical="center"/>
    </xf>
    <xf numFmtId="0" fontId="2" fillId="3" borderId="1" xfId="0" applyFont="1" applyFill="1" applyBorder="1" applyAlignment="1">
      <alignment horizontal="center" vertical="top" wrapText="1"/>
    </xf>
    <xf numFmtId="9" fontId="2" fillId="3" borderId="1" xfId="0" applyNumberFormat="1" applyFont="1" applyFill="1" applyBorder="1" applyAlignment="1">
      <alignment horizontal="center" vertical="top" wrapText="1"/>
    </xf>
    <xf numFmtId="0" fontId="7" fillId="3" borderId="0" xfId="4" applyFont="1" applyFill="1" applyBorder="1" applyAlignment="1">
      <alignment horizontal="center" vertical="center" wrapText="1"/>
    </xf>
    <xf numFmtId="0" fontId="104" fillId="3" borderId="0" xfId="4" applyFont="1" applyFill="1" applyBorder="1"/>
    <xf numFmtId="2" fontId="138" fillId="3" borderId="1" xfId="4" applyNumberFormat="1" applyFont="1" applyFill="1" applyBorder="1" applyAlignment="1">
      <alignment horizontal="center" vertical="center" wrapText="1"/>
    </xf>
    <xf numFmtId="0" fontId="104" fillId="3" borderId="0" xfId="0" applyFont="1" applyFill="1" applyBorder="1"/>
    <xf numFmtId="0" fontId="124" fillId="3" borderId="9" xfId="0" applyFont="1" applyFill="1" applyBorder="1" applyAlignment="1">
      <alignment wrapText="1"/>
    </xf>
    <xf numFmtId="0" fontId="139" fillId="3" borderId="20" xfId="0" applyFont="1" applyFill="1" applyBorder="1" applyAlignment="1" applyProtection="1">
      <alignment vertical="center"/>
      <protection hidden="1"/>
    </xf>
    <xf numFmtId="0" fontId="116" fillId="16" borderId="34" xfId="0" applyFont="1" applyFill="1" applyBorder="1" applyAlignment="1" applyProtection="1">
      <alignment horizontal="center" vertical="center"/>
      <protection locked="0"/>
    </xf>
    <xf numFmtId="0" fontId="79" fillId="15" borderId="112" xfId="0" applyFont="1" applyFill="1" applyBorder="1" applyAlignment="1" applyProtection="1">
      <alignment horizontal="center" vertical="center"/>
      <protection locked="0"/>
    </xf>
    <xf numFmtId="0" fontId="79" fillId="15" borderId="107" xfId="0" applyFont="1" applyFill="1" applyBorder="1" applyAlignment="1" applyProtection="1">
      <alignment horizontal="center" vertical="center"/>
      <protection locked="0"/>
    </xf>
    <xf numFmtId="0" fontId="79" fillId="15" borderId="62" xfId="0" applyFont="1" applyFill="1" applyBorder="1" applyAlignment="1" applyProtection="1">
      <alignment horizontal="center" vertical="center"/>
      <protection locked="0"/>
    </xf>
    <xf numFmtId="0" fontId="139" fillId="3" borderId="10" xfId="0" applyFont="1" applyFill="1" applyBorder="1" applyAlignment="1" applyProtection="1">
      <alignment vertical="center"/>
      <protection hidden="1"/>
    </xf>
    <xf numFmtId="0" fontId="79" fillId="15" borderId="30" xfId="0" applyFont="1" applyFill="1" applyBorder="1" applyAlignment="1" applyProtection="1">
      <alignment horizontal="center" vertical="center"/>
      <protection locked="0"/>
    </xf>
    <xf numFmtId="0" fontId="7" fillId="3" borderId="3" xfId="0" applyFont="1" applyFill="1" applyBorder="1" applyAlignment="1">
      <alignment horizontal="center" vertical="center" wrapText="1"/>
    </xf>
    <xf numFmtId="0" fontId="5" fillId="3" borderId="0" xfId="4" applyFont="1" applyFill="1" applyBorder="1" applyAlignment="1">
      <alignment vertical="center" wrapText="1"/>
    </xf>
    <xf numFmtId="0" fontId="5" fillId="3" borderId="21" xfId="4" applyFont="1" applyFill="1" applyBorder="1" applyAlignment="1">
      <alignment vertical="center" wrapText="1"/>
    </xf>
    <xf numFmtId="0" fontId="16" fillId="3" borderId="18" xfId="0" applyFont="1" applyFill="1" applyBorder="1" applyAlignment="1">
      <alignment vertical="center" wrapText="1"/>
    </xf>
    <xf numFmtId="0" fontId="16" fillId="3" borderId="19" xfId="0" applyFont="1" applyFill="1" applyBorder="1" applyAlignment="1">
      <alignment vertical="center" wrapText="1"/>
    </xf>
    <xf numFmtId="0" fontId="37" fillId="3" borderId="23" xfId="0" applyFont="1" applyFill="1" applyBorder="1" applyAlignment="1">
      <alignment vertical="center"/>
    </xf>
    <xf numFmtId="0" fontId="2" fillId="3" borderId="1" xfId="0" applyFont="1" applyFill="1" applyBorder="1" applyAlignment="1">
      <alignment vertical="center" wrapText="1"/>
    </xf>
    <xf numFmtId="0" fontId="2" fillId="3" borderId="4" xfId="0" applyFont="1" applyFill="1" applyBorder="1" applyAlignment="1">
      <alignment vertical="center" wrapText="1"/>
    </xf>
    <xf numFmtId="9" fontId="7" fillId="8" borderId="1" xfId="6" applyFont="1" applyFill="1" applyBorder="1" applyAlignment="1" applyProtection="1">
      <alignment horizontal="center" vertical="center" wrapText="1"/>
      <protection locked="0"/>
    </xf>
    <xf numFmtId="9" fontId="7" fillId="8" borderId="1" xfId="6" applyFont="1" applyFill="1" applyBorder="1" applyAlignment="1" applyProtection="1">
      <alignment horizontal="center" vertical="center"/>
      <protection locked="0"/>
    </xf>
    <xf numFmtId="2" fontId="138" fillId="3" borderId="1" xfId="0" applyNumberFormat="1" applyFont="1" applyFill="1" applyBorder="1" applyAlignment="1" applyProtection="1">
      <alignment horizontal="center" vertical="center" wrapText="1"/>
      <protection hidden="1"/>
    </xf>
    <xf numFmtId="0" fontId="2" fillId="3" borderId="1" xfId="0" applyFont="1" applyFill="1" applyBorder="1" applyAlignment="1" applyProtection="1">
      <alignment horizontal="left" vertical="center" wrapText="1"/>
      <protection hidden="1"/>
    </xf>
    <xf numFmtId="0" fontId="137" fillId="3" borderId="0" xfId="4" applyFont="1" applyFill="1" applyBorder="1" applyAlignment="1">
      <alignment horizontal="center" vertical="center"/>
    </xf>
    <xf numFmtId="0" fontId="132" fillId="3" borderId="114" xfId="4" applyFont="1" applyFill="1" applyBorder="1" applyAlignment="1">
      <alignment vertical="center"/>
    </xf>
    <xf numFmtId="0" fontId="7" fillId="3" borderId="113" xfId="4" applyFont="1" applyFill="1" applyBorder="1" applyAlignment="1">
      <alignment vertical="center"/>
    </xf>
    <xf numFmtId="0" fontId="9" fillId="3" borderId="23" xfId="4" applyFont="1" applyFill="1" applyBorder="1" applyAlignment="1">
      <alignment vertical="center"/>
    </xf>
    <xf numFmtId="0" fontId="18" fillId="3" borderId="10" xfId="4" applyFont="1" applyFill="1" applyBorder="1" applyAlignment="1">
      <alignment vertical="center"/>
    </xf>
    <xf numFmtId="0" fontId="1" fillId="3" borderId="14" xfId="4" applyFont="1" applyFill="1" applyBorder="1" applyAlignment="1">
      <alignment horizontal="center" vertical="center" wrapText="1"/>
    </xf>
    <xf numFmtId="0" fontId="7" fillId="3" borderId="1" xfId="4" applyFont="1" applyFill="1" applyBorder="1" applyAlignment="1">
      <alignment vertical="center" wrapText="1"/>
    </xf>
    <xf numFmtId="2" fontId="78" fillId="3" borderId="1" xfId="4" applyNumberFormat="1" applyFont="1" applyFill="1" applyBorder="1" applyAlignment="1">
      <alignment horizontal="center" vertical="center"/>
    </xf>
    <xf numFmtId="0" fontId="1" fillId="3" borderId="4" xfId="4" applyFont="1" applyFill="1" applyBorder="1" applyAlignment="1">
      <alignment horizontal="center" vertical="center" wrapText="1"/>
    </xf>
    <xf numFmtId="0" fontId="9" fillId="3" borderId="71" xfId="4" applyFont="1" applyFill="1" applyBorder="1" applyAlignment="1">
      <alignment vertical="center"/>
    </xf>
    <xf numFmtId="0" fontId="2" fillId="3" borderId="1" xfId="4" applyNumberFormat="1" applyFont="1" applyFill="1" applyBorder="1" applyAlignment="1">
      <alignment horizontal="left" vertical="center" wrapText="1"/>
    </xf>
    <xf numFmtId="0" fontId="2" fillId="3" borderId="1" xfId="0" applyFont="1" applyFill="1" applyBorder="1" applyAlignment="1">
      <alignment horizontal="center" vertical="center"/>
    </xf>
    <xf numFmtId="0" fontId="1" fillId="3" borderId="73" xfId="4" applyNumberFormat="1" applyFont="1" applyFill="1" applyBorder="1" applyAlignment="1">
      <alignment horizontal="center" wrapText="1"/>
    </xf>
    <xf numFmtId="0" fontId="25" fillId="3" borderId="0" xfId="0" applyFont="1" applyFill="1" applyBorder="1" applyAlignment="1">
      <alignment horizontal="center"/>
    </xf>
    <xf numFmtId="0" fontId="7" fillId="3" borderId="0" xfId="4" applyFont="1" applyFill="1" applyBorder="1" applyAlignment="1">
      <alignment horizontal="left" vertical="center" wrapText="1"/>
    </xf>
    <xf numFmtId="0" fontId="2" fillId="3" borderId="0" xfId="0" applyFont="1" applyFill="1" applyBorder="1" applyAlignment="1">
      <alignment horizontal="center" vertical="center"/>
    </xf>
    <xf numFmtId="2" fontId="77" fillId="3" borderId="1" xfId="0" applyNumberFormat="1" applyFont="1" applyFill="1" applyBorder="1" applyAlignment="1">
      <alignment horizontal="center" vertical="center"/>
    </xf>
    <xf numFmtId="2" fontId="77" fillId="3" borderId="1" xfId="4" applyNumberFormat="1" applyFont="1" applyFill="1" applyBorder="1" applyAlignment="1">
      <alignment horizontal="center" vertical="center"/>
    </xf>
    <xf numFmtId="2" fontId="7" fillId="3" borderId="1" xfId="0" applyNumberFormat="1" applyFont="1" applyFill="1" applyBorder="1" applyAlignment="1">
      <alignment horizontal="center" vertical="center"/>
    </xf>
    <xf numFmtId="0" fontId="25" fillId="3" borderId="21" xfId="0" applyFont="1" applyFill="1" applyBorder="1" applyAlignment="1">
      <alignment horizontal="center"/>
    </xf>
    <xf numFmtId="0" fontId="2" fillId="3" borderId="3" xfId="4" applyFont="1" applyFill="1" applyBorder="1" applyAlignment="1"/>
    <xf numFmtId="0" fontId="9" fillId="3" borderId="0" xfId="4" applyFont="1" applyFill="1" applyBorder="1" applyAlignment="1">
      <alignment horizontal="center" vertical="center" wrapText="1"/>
    </xf>
    <xf numFmtId="43" fontId="2" fillId="3" borderId="1" xfId="4" applyNumberFormat="1" applyFont="1" applyFill="1" applyBorder="1" applyAlignment="1" applyProtection="1">
      <alignment horizontal="center" vertical="center" wrapText="1"/>
      <protection hidden="1"/>
    </xf>
    <xf numFmtId="2" fontId="7" fillId="3" borderId="1" xfId="4" applyNumberFormat="1" applyFont="1" applyFill="1" applyBorder="1" applyAlignment="1">
      <alignment horizontal="center" vertical="center"/>
    </xf>
    <xf numFmtId="0" fontId="16" fillId="3" borderId="7" xfId="4" applyFont="1" applyFill="1" applyBorder="1" applyAlignment="1">
      <alignment horizontal="left" vertical="center"/>
    </xf>
    <xf numFmtId="167" fontId="103" fillId="3" borderId="0" xfId="0" applyNumberFormat="1" applyFont="1" applyFill="1" applyBorder="1" applyAlignment="1">
      <alignment horizontal="center" vertical="top"/>
    </xf>
    <xf numFmtId="0" fontId="2" fillId="3" borderId="1" xfId="4" applyFont="1" applyFill="1" applyBorder="1" applyAlignment="1">
      <alignment horizontal="center" vertical="center" wrapText="1"/>
    </xf>
    <xf numFmtId="2" fontId="2" fillId="3" borderId="1" xfId="4" applyNumberFormat="1" applyFont="1" applyFill="1" applyBorder="1" applyAlignment="1">
      <alignment horizontal="center" vertical="center"/>
    </xf>
    <xf numFmtId="2" fontId="16" fillId="3" borderId="18" xfId="4" applyNumberFormat="1" applyFont="1" applyFill="1" applyBorder="1" applyAlignment="1">
      <alignment vertical="center" wrapText="1"/>
    </xf>
    <xf numFmtId="2" fontId="16" fillId="3" borderId="19" xfId="4" applyNumberFormat="1" applyFont="1" applyFill="1" applyBorder="1" applyAlignment="1">
      <alignment vertical="center" wrapText="1"/>
    </xf>
    <xf numFmtId="0" fontId="110" fillId="3" borderId="0" xfId="0" applyFont="1" applyFill="1" applyBorder="1"/>
    <xf numFmtId="2" fontId="6" fillId="3" borderId="0" xfId="0" applyNumberFormat="1" applyFont="1" applyFill="1" applyBorder="1" applyAlignment="1">
      <alignment horizontal="center" vertical="center"/>
    </xf>
    <xf numFmtId="0" fontId="103" fillId="3" borderId="0" xfId="4" applyFont="1" applyFill="1" applyBorder="1" applyAlignment="1">
      <alignment wrapText="1"/>
    </xf>
    <xf numFmtId="2" fontId="2" fillId="3" borderId="3" xfId="4" applyNumberFormat="1" applyFont="1" applyFill="1" applyBorder="1" applyAlignment="1">
      <alignment horizontal="center" vertical="center"/>
    </xf>
    <xf numFmtId="0" fontId="17" fillId="3" borderId="0" xfId="0" applyFont="1" applyFill="1" applyBorder="1" applyAlignment="1">
      <alignment horizontal="left" vertical="center"/>
    </xf>
    <xf numFmtId="43" fontId="143" fillId="3" borderId="0" xfId="8" applyFont="1" applyFill="1" applyBorder="1" applyAlignment="1" applyProtection="1">
      <alignment vertical="center" wrapText="1"/>
    </xf>
    <xf numFmtId="167" fontId="10" fillId="3" borderId="0" xfId="0" applyNumberFormat="1" applyFont="1" applyFill="1" applyBorder="1" applyAlignment="1">
      <alignment vertical="top" wrapText="1"/>
    </xf>
    <xf numFmtId="0" fontId="144" fillId="3" borderId="21" xfId="0" applyFont="1" applyFill="1" applyBorder="1" applyAlignment="1">
      <alignment horizontal="left" vertical="center"/>
    </xf>
    <xf numFmtId="0" fontId="92" fillId="3" borderId="64" xfId="0" applyFont="1" applyFill="1" applyBorder="1" applyAlignment="1">
      <alignment horizontal="right"/>
    </xf>
    <xf numFmtId="167" fontId="143" fillId="3" borderId="0" xfId="7" applyNumberFormat="1" applyFont="1" applyFill="1" applyBorder="1" applyAlignment="1">
      <alignment horizontal="center" vertical="center"/>
    </xf>
    <xf numFmtId="9" fontId="143" fillId="3" borderId="0" xfId="7" applyFont="1" applyFill="1" applyBorder="1" applyAlignment="1">
      <alignment horizontal="center" vertical="center"/>
    </xf>
    <xf numFmtId="0" fontId="145" fillId="3" borderId="20" xfId="0" applyFont="1" applyFill="1" applyBorder="1" applyAlignment="1">
      <alignment horizontal="left" vertical="center"/>
    </xf>
    <xf numFmtId="2" fontId="1" fillId="3" borderId="0" xfId="4" applyNumberFormat="1" applyFont="1" applyFill="1" applyBorder="1" applyAlignment="1">
      <alignment horizontal="left" vertical="center" wrapText="1"/>
    </xf>
    <xf numFmtId="0" fontId="9" fillId="3" borderId="17" xfId="4" applyFont="1" applyFill="1" applyBorder="1" applyAlignment="1">
      <alignment vertical="center"/>
    </xf>
    <xf numFmtId="164" fontId="92" fillId="3" borderId="120" xfId="0" applyNumberFormat="1" applyFont="1" applyFill="1" applyBorder="1" applyAlignment="1">
      <alignment horizontal="center" vertical="center" wrapText="1"/>
    </xf>
    <xf numFmtId="0" fontId="57" fillId="3" borderId="121" xfId="4" applyFont="1" applyFill="1" applyBorder="1" applyAlignment="1" applyProtection="1">
      <alignment vertical="center" wrapText="1"/>
      <protection hidden="1"/>
    </xf>
    <xf numFmtId="0" fontId="10" fillId="3" borderId="121" xfId="4" applyFont="1" applyFill="1" applyBorder="1" applyAlignment="1">
      <alignment horizontal="left"/>
    </xf>
    <xf numFmtId="167" fontId="103" fillId="3" borderId="122" xfId="0" applyNumberFormat="1" applyFont="1" applyFill="1" applyBorder="1" applyAlignment="1">
      <alignment horizontal="center" vertical="center"/>
    </xf>
    <xf numFmtId="164" fontId="92" fillId="3" borderId="123" xfId="0" applyNumberFormat="1" applyFont="1" applyFill="1" applyBorder="1" applyAlignment="1">
      <alignment horizontal="center" vertical="center" wrapText="1"/>
    </xf>
    <xf numFmtId="0" fontId="85" fillId="3" borderId="0" xfId="0" applyFont="1" applyFill="1"/>
    <xf numFmtId="0" fontId="143" fillId="3" borderId="0" xfId="0" applyFont="1" applyFill="1"/>
    <xf numFmtId="0" fontId="132" fillId="3" borderId="124" xfId="4" applyFont="1" applyFill="1" applyBorder="1" applyAlignment="1">
      <alignment vertical="center"/>
    </xf>
    <xf numFmtId="0" fontId="7" fillId="3" borderId="125" xfId="4" applyFont="1" applyFill="1" applyBorder="1" applyAlignment="1">
      <alignment vertical="center"/>
    </xf>
    <xf numFmtId="0" fontId="18" fillId="3" borderId="125" xfId="4" applyFont="1" applyFill="1" applyBorder="1" applyAlignment="1">
      <alignment vertical="center"/>
    </xf>
    <xf numFmtId="0" fontId="6" fillId="3" borderId="129" xfId="4" applyFont="1" applyFill="1" applyBorder="1" applyAlignment="1">
      <alignment horizontal="left"/>
    </xf>
    <xf numFmtId="0" fontId="9" fillId="3" borderId="111" xfId="4" applyFont="1" applyFill="1" applyBorder="1"/>
    <xf numFmtId="0" fontId="9" fillId="3" borderId="130" xfId="4" applyFont="1" applyFill="1" applyBorder="1" applyAlignment="1">
      <alignment vertical="center"/>
    </xf>
    <xf numFmtId="0" fontId="16" fillId="3" borderId="125" xfId="0" applyFont="1" applyFill="1" applyBorder="1" applyAlignment="1">
      <alignment vertical="center"/>
    </xf>
    <xf numFmtId="0" fontId="16" fillId="3" borderId="131" xfId="0" applyFont="1" applyFill="1" applyBorder="1" applyAlignment="1">
      <alignment vertical="center"/>
    </xf>
    <xf numFmtId="0" fontId="6" fillId="3" borderId="132" xfId="4" applyFont="1" applyFill="1" applyBorder="1" applyAlignment="1">
      <alignment horizontal="left"/>
    </xf>
    <xf numFmtId="0" fontId="2" fillId="3" borderId="133" xfId="0" applyFont="1" applyFill="1" applyBorder="1" applyAlignment="1">
      <alignment horizontal="left" vertical="center"/>
    </xf>
    <xf numFmtId="0" fontId="2" fillId="3" borderId="125" xfId="4" applyNumberFormat="1" applyFont="1" applyFill="1" applyBorder="1" applyAlignment="1">
      <alignment vertical="center" wrapText="1"/>
    </xf>
    <xf numFmtId="0" fontId="17" fillId="3" borderId="125" xfId="4" applyFont="1" applyFill="1" applyBorder="1" applyAlignment="1">
      <alignment vertical="center"/>
    </xf>
    <xf numFmtId="0" fontId="24" fillId="3" borderId="125" xfId="0" applyFont="1" applyFill="1" applyBorder="1"/>
    <xf numFmtId="164" fontId="92" fillId="3" borderId="134" xfId="0" applyNumberFormat="1" applyFont="1" applyFill="1" applyBorder="1" applyAlignment="1">
      <alignment horizontal="center" vertical="center" wrapText="1"/>
    </xf>
    <xf numFmtId="0" fontId="77" fillId="3" borderId="129" xfId="0" applyFont="1" applyFill="1" applyBorder="1"/>
    <xf numFmtId="0" fontId="24" fillId="0" borderId="135" xfId="0" applyFont="1" applyBorder="1"/>
    <xf numFmtId="0" fontId="1" fillId="3" borderId="135" xfId="0" applyFont="1" applyFill="1" applyBorder="1"/>
    <xf numFmtId="0" fontId="92" fillId="3" borderId="135" xfId="0" applyFont="1" applyFill="1" applyBorder="1"/>
    <xf numFmtId="164" fontId="92" fillId="3" borderId="136" xfId="0" applyNumberFormat="1" applyFont="1" applyFill="1" applyBorder="1" applyAlignment="1">
      <alignment horizontal="center" vertical="center" wrapText="1"/>
    </xf>
    <xf numFmtId="0" fontId="24" fillId="3" borderId="137" xfId="0" applyFont="1" applyFill="1" applyBorder="1"/>
    <xf numFmtId="0" fontId="7" fillId="3" borderId="138" xfId="4" applyFont="1" applyFill="1" applyBorder="1" applyAlignment="1">
      <alignment vertical="center" wrapText="1"/>
    </xf>
    <xf numFmtId="0" fontId="24" fillId="3" borderId="139" xfId="0" applyFont="1" applyFill="1" applyBorder="1"/>
    <xf numFmtId="0" fontId="18" fillId="3" borderId="125" xfId="0" applyFont="1" applyFill="1" applyBorder="1" applyAlignment="1">
      <alignment vertical="center"/>
    </xf>
    <xf numFmtId="0" fontId="18" fillId="3" borderId="129" xfId="0" applyFont="1" applyFill="1" applyBorder="1" applyAlignment="1">
      <alignment vertical="center"/>
    </xf>
    <xf numFmtId="0" fontId="9" fillId="3" borderId="141" xfId="4" applyFont="1" applyFill="1" applyBorder="1" applyAlignment="1">
      <alignment vertical="center"/>
    </xf>
    <xf numFmtId="0" fontId="16" fillId="3" borderId="142" xfId="0" applyFont="1" applyFill="1" applyBorder="1" applyAlignment="1">
      <alignment vertical="center"/>
    </xf>
    <xf numFmtId="0" fontId="16" fillId="3" borderId="143" xfId="0" applyFont="1" applyFill="1" applyBorder="1" applyAlignment="1">
      <alignment vertical="center"/>
    </xf>
    <xf numFmtId="0" fontId="2" fillId="3" borderId="140" xfId="0" applyFont="1" applyFill="1" applyBorder="1" applyAlignment="1">
      <alignment horizontal="left" vertical="center"/>
    </xf>
    <xf numFmtId="0" fontId="24" fillId="3" borderId="144" xfId="0" applyFont="1" applyFill="1" applyBorder="1"/>
    <xf numFmtId="0" fontId="24" fillId="3" borderId="145" xfId="0" applyFont="1" applyFill="1" applyBorder="1"/>
    <xf numFmtId="0" fontId="67" fillId="3" borderId="20" xfId="4" applyFont="1" applyFill="1" applyBorder="1" applyAlignment="1">
      <alignment horizontal="left"/>
    </xf>
    <xf numFmtId="0" fontId="67" fillId="3" borderId="20" xfId="0" applyFont="1" applyFill="1" applyBorder="1" applyAlignment="1" applyProtection="1">
      <alignment vertical="center"/>
      <protection hidden="1"/>
    </xf>
    <xf numFmtId="0" fontId="67" fillId="3" borderId="10" xfId="4" applyFont="1" applyFill="1" applyBorder="1" applyAlignment="1" applyProtection="1">
      <alignment horizontal="center" wrapText="1"/>
      <protection hidden="1"/>
    </xf>
    <xf numFmtId="0" fontId="67" fillId="3" borderId="0" xfId="4" applyFont="1" applyFill="1" applyBorder="1" applyAlignment="1" applyProtection="1">
      <alignment wrapText="1"/>
      <protection hidden="1"/>
    </xf>
    <xf numFmtId="0" fontId="67" fillId="3" borderId="10" xfId="4" applyNumberFormat="1" applyFont="1" applyFill="1" applyBorder="1" applyAlignment="1">
      <alignment vertical="center" wrapText="1"/>
    </xf>
    <xf numFmtId="0" fontId="67" fillId="3" borderId="0" xfId="4" applyNumberFormat="1" applyFont="1" applyFill="1" applyBorder="1" applyAlignment="1">
      <alignment horizontal="left" vertical="center" wrapText="1"/>
    </xf>
    <xf numFmtId="0" fontId="67" fillId="3" borderId="10" xfId="4" applyFont="1" applyFill="1" applyBorder="1" applyAlignment="1">
      <alignment horizontal="left" vertical="center" wrapText="1"/>
    </xf>
    <xf numFmtId="0" fontId="67" fillId="3" borderId="10" xfId="4" applyFont="1" applyFill="1" applyBorder="1" applyAlignment="1">
      <alignment horizontal="center" vertical="center" wrapText="1"/>
    </xf>
    <xf numFmtId="0" fontId="148" fillId="3" borderId="0" xfId="0" applyFont="1" applyFill="1" applyAlignment="1">
      <alignment horizontal="center"/>
    </xf>
    <xf numFmtId="0" fontId="149" fillId="3" borderId="0" xfId="0" applyFont="1" applyFill="1"/>
    <xf numFmtId="0" fontId="150" fillId="3" borderId="0" xfId="0" applyFont="1" applyFill="1" applyAlignment="1">
      <alignment horizontal="center"/>
    </xf>
    <xf numFmtId="0" fontId="151" fillId="3" borderId="0" xfId="0" applyFont="1" applyFill="1" applyAlignment="1">
      <alignment horizontal="center"/>
    </xf>
    <xf numFmtId="0" fontId="1" fillId="3" borderId="1" xfId="0" applyFont="1" applyFill="1" applyBorder="1"/>
    <xf numFmtId="0" fontId="69" fillId="3" borderId="0" xfId="0" applyFont="1" applyFill="1"/>
    <xf numFmtId="167" fontId="152" fillId="3" borderId="0" xfId="0" applyNumberFormat="1" applyFont="1" applyFill="1" applyBorder="1" applyAlignment="1">
      <alignment horizontal="center"/>
    </xf>
    <xf numFmtId="167" fontId="153" fillId="3" borderId="0" xfId="0" applyNumberFormat="1" applyFont="1" applyFill="1" applyBorder="1" applyAlignment="1">
      <alignment horizontal="center" wrapText="1"/>
    </xf>
    <xf numFmtId="0" fontId="37" fillId="3" borderId="0" xfId="0" applyFont="1" applyFill="1" applyAlignment="1">
      <alignment vertical="top" wrapText="1"/>
    </xf>
    <xf numFmtId="0" fontId="10" fillId="3" borderId="0" xfId="0" applyFont="1" applyFill="1" applyBorder="1" applyAlignment="1" applyProtection="1"/>
    <xf numFmtId="0" fontId="37" fillId="3" borderId="0" xfId="0" applyFont="1" applyFill="1" applyAlignment="1">
      <alignment vertical="top"/>
    </xf>
    <xf numFmtId="44" fontId="10" fillId="5" borderId="0" xfId="2" applyFont="1" applyFill="1" applyBorder="1" applyAlignment="1" applyProtection="1">
      <alignment horizontal="left" vertical="top"/>
      <protection locked="0"/>
    </xf>
    <xf numFmtId="0" fontId="10" fillId="3" borderId="0" xfId="0" applyFont="1" applyFill="1" applyAlignment="1">
      <alignment vertical="top"/>
    </xf>
    <xf numFmtId="0" fontId="107" fillId="3" borderId="0" xfId="0" applyFont="1" applyFill="1" applyProtection="1"/>
    <xf numFmtId="0" fontId="37" fillId="3" borderId="0" xfId="0" applyFont="1" applyFill="1" applyAlignment="1">
      <alignment wrapText="1"/>
    </xf>
    <xf numFmtId="0" fontId="10" fillId="3" borderId="0" xfId="0" applyFont="1" applyFill="1" applyBorder="1" applyAlignment="1" applyProtection="1">
      <alignment vertical="center" wrapText="1"/>
    </xf>
    <xf numFmtId="0" fontId="39" fillId="3" borderId="0" xfId="0" applyFont="1" applyFill="1" applyBorder="1" applyAlignment="1" applyProtection="1">
      <alignment horizontal="left" vertical="center" wrapText="1"/>
    </xf>
    <xf numFmtId="0" fontId="25" fillId="3" borderId="0" xfId="0" applyFont="1" applyFill="1" applyBorder="1" applyAlignment="1" applyProtection="1">
      <alignment horizontal="center" vertical="center"/>
    </xf>
    <xf numFmtId="0" fontId="146" fillId="3" borderId="0" xfId="0" applyFont="1" applyFill="1" applyBorder="1" applyAlignment="1" applyProtection="1">
      <alignment vertical="top"/>
    </xf>
    <xf numFmtId="0" fontId="39" fillId="3" borderId="6" xfId="0" applyFont="1" applyFill="1" applyBorder="1" applyAlignment="1" applyProtection="1">
      <alignment horizontal="center" vertical="center" wrapText="1"/>
    </xf>
    <xf numFmtId="0" fontId="39" fillId="3" borderId="1" xfId="0" applyFont="1" applyFill="1" applyBorder="1" applyAlignment="1" applyProtection="1">
      <alignment horizontal="center" vertical="center" wrapText="1"/>
    </xf>
    <xf numFmtId="164" fontId="0" fillId="3" borderId="0" xfId="0" applyNumberFormat="1" applyFill="1"/>
    <xf numFmtId="0" fontId="2" fillId="7" borderId="3" xfId="4" applyFont="1" applyFill="1" applyBorder="1" applyAlignment="1" applyProtection="1">
      <alignment vertical="center"/>
      <protection locked="0"/>
    </xf>
    <xf numFmtId="0" fontId="2" fillId="7" borderId="7" xfId="4" applyFont="1" applyFill="1" applyBorder="1" applyAlignment="1" applyProtection="1">
      <alignment vertical="center"/>
      <protection locked="0"/>
    </xf>
    <xf numFmtId="0" fontId="2" fillId="7" borderId="6" xfId="4" applyFont="1" applyFill="1" applyBorder="1" applyAlignment="1" applyProtection="1">
      <alignment vertical="center"/>
      <protection locked="0"/>
    </xf>
    <xf numFmtId="0" fontId="2" fillId="3" borderId="3" xfId="4" applyFont="1" applyFill="1" applyBorder="1" applyAlignment="1" applyProtection="1">
      <alignment vertical="center"/>
      <protection locked="0"/>
    </xf>
    <xf numFmtId="0" fontId="2" fillId="3" borderId="7" xfId="4" applyFont="1" applyFill="1" applyBorder="1" applyAlignment="1" applyProtection="1">
      <alignment vertical="center"/>
      <protection locked="0"/>
    </xf>
    <xf numFmtId="0" fontId="2" fillId="3" borderId="6" xfId="4" applyFont="1" applyFill="1" applyBorder="1" applyAlignment="1" applyProtection="1">
      <alignment vertical="center"/>
      <protection locked="0"/>
    </xf>
    <xf numFmtId="0" fontId="1" fillId="3" borderId="0" xfId="4" applyFont="1" applyFill="1" applyBorder="1" applyAlignment="1" applyProtection="1">
      <alignment vertical="center"/>
      <protection locked="0"/>
    </xf>
    <xf numFmtId="2" fontId="1" fillId="3" borderId="0" xfId="4" applyNumberFormat="1" applyFont="1" applyFill="1" applyBorder="1" applyAlignment="1" applyProtection="1">
      <alignment vertical="center" wrapText="1"/>
      <protection locked="0"/>
    </xf>
    <xf numFmtId="0" fontId="156" fillId="3" borderId="0" xfId="0" applyFont="1" applyFill="1" applyAlignment="1">
      <alignment vertical="center"/>
    </xf>
    <xf numFmtId="0" fontId="157" fillId="3" borderId="0" xfId="0" applyFont="1" applyFill="1" applyAlignment="1"/>
    <xf numFmtId="0" fontId="37" fillId="2" borderId="0" xfId="0" applyFont="1" applyFill="1" applyAlignment="1" applyProtection="1">
      <protection locked="0"/>
    </xf>
    <xf numFmtId="0" fontId="25" fillId="3" borderId="0" xfId="0" applyFont="1" applyFill="1" applyBorder="1" applyAlignment="1" applyProtection="1">
      <alignment vertical="center"/>
      <protection locked="0"/>
    </xf>
    <xf numFmtId="0" fontId="158" fillId="3" borderId="0" xfId="0" applyFont="1" applyFill="1"/>
    <xf numFmtId="0" fontId="2" fillId="7" borderId="35" xfId="4" applyFont="1" applyFill="1" applyBorder="1" applyAlignment="1" applyProtection="1">
      <alignment vertical="center"/>
      <protection locked="0"/>
    </xf>
    <xf numFmtId="0" fontId="2" fillId="7" borderId="150" xfId="4" applyFont="1" applyFill="1" applyBorder="1" applyAlignment="1" applyProtection="1">
      <alignment vertical="center"/>
      <protection locked="0"/>
    </xf>
    <xf numFmtId="0" fontId="2" fillId="7" borderId="151" xfId="4" applyFont="1" applyFill="1" applyBorder="1" applyAlignment="1" applyProtection="1">
      <alignment vertical="center"/>
      <protection locked="0"/>
    </xf>
    <xf numFmtId="0" fontId="2" fillId="7" borderId="30" xfId="4" applyFont="1" applyFill="1" applyBorder="1" applyAlignment="1" applyProtection="1">
      <alignment vertical="center"/>
      <protection locked="0"/>
    </xf>
    <xf numFmtId="0" fontId="2" fillId="7" borderId="31" xfId="4" applyFont="1" applyFill="1" applyBorder="1" applyAlignment="1" applyProtection="1">
      <alignment vertical="center"/>
      <protection locked="0"/>
    </xf>
    <xf numFmtId="0" fontId="2" fillId="7" borderId="149" xfId="4" applyFont="1" applyFill="1" applyBorder="1" applyAlignment="1" applyProtection="1">
      <alignment vertical="center"/>
      <protection locked="0"/>
    </xf>
    <xf numFmtId="0" fontId="2" fillId="3" borderId="35" xfId="4" applyFont="1" applyFill="1" applyBorder="1" applyAlignment="1" applyProtection="1">
      <alignment vertical="center"/>
      <protection locked="0"/>
    </xf>
    <xf numFmtId="0" fontId="2" fillId="3" borderId="150" xfId="4" applyFont="1" applyFill="1" applyBorder="1" applyAlignment="1" applyProtection="1">
      <alignment vertical="center"/>
      <protection locked="0"/>
    </xf>
    <xf numFmtId="0" fontId="2" fillId="3" borderId="151" xfId="4" applyFont="1" applyFill="1" applyBorder="1" applyAlignment="1" applyProtection="1">
      <alignment vertical="center"/>
      <protection locked="0"/>
    </xf>
    <xf numFmtId="0" fontId="2" fillId="6" borderId="3" xfId="4" applyFont="1" applyFill="1" applyBorder="1" applyAlignment="1" applyProtection="1">
      <alignment vertical="center"/>
      <protection locked="0"/>
    </xf>
    <xf numFmtId="0" fontId="2" fillId="6" borderId="7" xfId="4" applyFont="1" applyFill="1" applyBorder="1" applyAlignment="1" applyProtection="1">
      <alignment vertical="center"/>
      <protection locked="0"/>
    </xf>
    <xf numFmtId="0" fontId="2" fillId="6" borderId="6" xfId="4" applyFont="1" applyFill="1" applyBorder="1" applyAlignment="1" applyProtection="1">
      <alignment vertical="center"/>
      <protection locked="0"/>
    </xf>
    <xf numFmtId="0" fontId="2" fillId="3" borderId="30" xfId="4" applyFont="1" applyFill="1" applyBorder="1" applyAlignment="1" applyProtection="1">
      <alignment vertical="center"/>
      <protection locked="0"/>
    </xf>
    <xf numFmtId="0" fontId="2" fillId="3" borderId="31" xfId="4" applyFont="1" applyFill="1" applyBorder="1" applyAlignment="1" applyProtection="1">
      <alignment vertical="center"/>
      <protection locked="0"/>
    </xf>
    <xf numFmtId="0" fontId="2" fillId="3" borderId="149" xfId="4" applyFont="1" applyFill="1" applyBorder="1" applyAlignment="1" applyProtection="1">
      <alignment vertical="center"/>
      <protection locked="0"/>
    </xf>
    <xf numFmtId="0" fontId="2" fillId="6" borderId="30" xfId="4" applyFont="1" applyFill="1" applyBorder="1" applyAlignment="1" applyProtection="1">
      <alignment vertical="center"/>
      <protection locked="0"/>
    </xf>
    <xf numFmtId="0" fontId="2" fillId="6" borderId="31" xfId="4" applyFont="1" applyFill="1" applyBorder="1" applyAlignment="1" applyProtection="1">
      <alignment vertical="center"/>
      <protection locked="0"/>
    </xf>
    <xf numFmtId="0" fontId="2" fillId="6" borderId="149" xfId="4" applyFont="1" applyFill="1" applyBorder="1" applyAlignment="1" applyProtection="1">
      <alignment vertical="center"/>
      <protection locked="0"/>
    </xf>
    <xf numFmtId="0" fontId="159" fillId="3" borderId="0" xfId="0" applyFont="1" applyFill="1" applyAlignment="1">
      <alignment horizontal="left" vertical="top"/>
    </xf>
    <xf numFmtId="2" fontId="97" fillId="3" borderId="0" xfId="7" applyNumberFormat="1" applyFont="1" applyFill="1" applyBorder="1" applyAlignment="1">
      <alignment horizontal="center" vertical="center"/>
    </xf>
    <xf numFmtId="0" fontId="103" fillId="3" borderId="10" xfId="4" applyFont="1" applyFill="1" applyBorder="1" applyAlignment="1">
      <alignment wrapText="1"/>
    </xf>
    <xf numFmtId="0" fontId="13" fillId="17" borderId="7" xfId="0" applyFont="1" applyFill="1" applyBorder="1" applyAlignment="1" applyProtection="1">
      <alignment vertical="center"/>
      <protection locked="0"/>
    </xf>
    <xf numFmtId="0" fontId="122" fillId="3" borderId="7" xfId="0" applyFont="1" applyFill="1" applyBorder="1" applyAlignment="1">
      <alignment wrapText="1"/>
    </xf>
    <xf numFmtId="0" fontId="105" fillId="3" borderId="0" xfId="0" applyFont="1" applyFill="1" applyBorder="1" applyAlignment="1" applyProtection="1">
      <alignment vertical="top"/>
    </xf>
    <xf numFmtId="0" fontId="21" fillId="3" borderId="0" xfId="0" applyFont="1" applyFill="1"/>
    <xf numFmtId="164" fontId="118" fillId="3" borderId="0" xfId="0" applyNumberFormat="1" applyFont="1" applyFill="1" applyBorder="1" applyAlignment="1">
      <alignment horizontal="center" vertical="center" wrapText="1"/>
    </xf>
    <xf numFmtId="164" fontId="118" fillId="3" borderId="8" xfId="0" applyNumberFormat="1" applyFont="1" applyFill="1" applyBorder="1" applyAlignment="1">
      <alignment horizontal="center" vertical="center" wrapText="1"/>
    </xf>
    <xf numFmtId="0" fontId="67" fillId="3" borderId="0" xfId="0" applyFont="1" applyFill="1" applyBorder="1" applyAlignment="1"/>
    <xf numFmtId="0" fontId="37" fillId="3" borderId="0" xfId="0" applyFont="1" applyFill="1" applyBorder="1" applyAlignment="1">
      <alignment horizontal="left" wrapText="1"/>
    </xf>
    <xf numFmtId="0" fontId="37" fillId="3" borderId="0" xfId="0" applyFont="1" applyFill="1" applyBorder="1" applyAlignment="1">
      <alignment wrapText="1"/>
    </xf>
    <xf numFmtId="0" fontId="37" fillId="3" borderId="0" xfId="0" applyFont="1" applyFill="1" applyBorder="1" applyAlignment="1">
      <alignment vertical="center" wrapText="1"/>
    </xf>
    <xf numFmtId="0" fontId="58" fillId="3" borderId="1" xfId="0" applyFont="1" applyFill="1" applyBorder="1" applyAlignment="1">
      <alignment horizontal="center" vertical="center" wrapText="1"/>
    </xf>
    <xf numFmtId="2" fontId="7" fillId="3" borderId="0" xfId="0" applyNumberFormat="1" applyFont="1" applyFill="1" applyBorder="1" applyAlignment="1" applyProtection="1">
      <alignment horizontal="right"/>
      <protection locked="0"/>
    </xf>
    <xf numFmtId="0" fontId="1" fillId="3" borderId="15" xfId="4" applyFont="1" applyFill="1" applyBorder="1" applyAlignment="1" applyProtection="1">
      <alignment horizontal="center" vertical="center" wrapText="1"/>
      <protection hidden="1"/>
    </xf>
    <xf numFmtId="0" fontId="1" fillId="3" borderId="5" xfId="4" applyFont="1" applyFill="1" applyBorder="1" applyAlignment="1" applyProtection="1">
      <alignment horizontal="center" vertical="center" wrapText="1"/>
      <protection hidden="1"/>
    </xf>
    <xf numFmtId="0" fontId="1" fillId="3" borderId="4" xfId="4" applyFont="1" applyFill="1" applyBorder="1" applyAlignment="1" applyProtection="1">
      <alignment horizontal="center" vertical="center" wrapText="1"/>
      <protection hidden="1"/>
    </xf>
    <xf numFmtId="0" fontId="7" fillId="3" borderId="0" xfId="4" applyFont="1" applyFill="1" applyBorder="1" applyAlignment="1" applyProtection="1">
      <alignment horizontal="left" vertical="center" wrapText="1"/>
      <protection hidden="1"/>
    </xf>
    <xf numFmtId="164" fontId="92" fillId="3" borderId="0" xfId="0" applyNumberFormat="1" applyFont="1" applyFill="1" applyBorder="1" applyAlignment="1">
      <alignment horizontal="center" vertical="center" wrapText="1"/>
    </xf>
    <xf numFmtId="2" fontId="152" fillId="3" borderId="89" xfId="0" applyNumberFormat="1" applyFont="1" applyFill="1" applyBorder="1" applyAlignment="1" applyProtection="1">
      <alignment vertical="center"/>
      <protection locked="0"/>
    </xf>
    <xf numFmtId="2" fontId="142" fillId="3" borderId="152" xfId="4" applyNumberFormat="1" applyFont="1" applyFill="1" applyBorder="1" applyAlignment="1">
      <alignment horizontal="right" vertical="center" wrapText="1"/>
    </xf>
    <xf numFmtId="0" fontId="10" fillId="3" borderId="20" xfId="4" applyFont="1" applyFill="1" applyBorder="1" applyAlignment="1">
      <alignment vertical="center" wrapText="1"/>
    </xf>
    <xf numFmtId="0" fontId="10" fillId="3" borderId="0" xfId="4" applyFont="1" applyFill="1" applyBorder="1" applyAlignment="1">
      <alignment vertical="center" wrapText="1"/>
    </xf>
    <xf numFmtId="0" fontId="10" fillId="3" borderId="21" xfId="4" applyFont="1" applyFill="1" applyBorder="1" applyAlignment="1">
      <alignment vertical="center" wrapText="1"/>
    </xf>
    <xf numFmtId="0" fontId="1" fillId="3" borderId="2" xfId="4" applyFont="1" applyFill="1" applyBorder="1" applyAlignment="1">
      <alignment horizontal="left" vertical="center"/>
    </xf>
    <xf numFmtId="0" fontId="1" fillId="3" borderId="1" xfId="4" applyFont="1" applyFill="1" applyBorder="1" applyAlignment="1">
      <alignment horizontal="left" vertical="center"/>
    </xf>
    <xf numFmtId="0" fontId="1" fillId="3" borderId="1" xfId="4" applyFont="1" applyFill="1" applyBorder="1" applyAlignment="1">
      <alignment horizontal="left"/>
    </xf>
    <xf numFmtId="0" fontId="37" fillId="3" borderId="20" xfId="0" applyFont="1" applyFill="1" applyBorder="1" applyAlignment="1">
      <alignment vertical="top"/>
    </xf>
    <xf numFmtId="0" fontId="5" fillId="3" borderId="0" xfId="4" applyFont="1" applyFill="1" applyBorder="1" applyAlignment="1" applyProtection="1">
      <alignment vertical="center"/>
      <protection locked="0"/>
    </xf>
    <xf numFmtId="14" fontId="154" fillId="3" borderId="0" xfId="0" applyNumberFormat="1" applyFont="1" applyFill="1" applyBorder="1" applyAlignment="1">
      <alignment vertical="center"/>
    </xf>
    <xf numFmtId="0" fontId="5" fillId="3" borderId="5" xfId="4" applyFont="1" applyFill="1" applyBorder="1" applyAlignment="1" applyProtection="1">
      <alignment vertical="center"/>
      <protection locked="0"/>
    </xf>
    <xf numFmtId="14" fontId="154" fillId="3" borderId="5" xfId="0" applyNumberFormat="1" applyFont="1" applyFill="1" applyBorder="1" applyAlignment="1">
      <alignment vertical="center"/>
    </xf>
    <xf numFmtId="14" fontId="154" fillId="3" borderId="13" xfId="0" applyNumberFormat="1" applyFont="1" applyFill="1" applyBorder="1" applyAlignment="1">
      <alignment vertical="center"/>
    </xf>
    <xf numFmtId="14" fontId="154" fillId="3" borderId="9" xfId="0" applyNumberFormat="1" applyFont="1" applyFill="1" applyBorder="1" applyAlignment="1">
      <alignment vertical="center"/>
    </xf>
    <xf numFmtId="0" fontId="37" fillId="3" borderId="0" xfId="0" applyFont="1" applyFill="1" applyBorder="1" applyAlignment="1" applyProtection="1">
      <protection locked="0"/>
    </xf>
    <xf numFmtId="0" fontId="37" fillId="3" borderId="9" xfId="0" applyFont="1" applyFill="1" applyBorder="1" applyAlignment="1" applyProtection="1">
      <protection locked="0"/>
    </xf>
    <xf numFmtId="0" fontId="154" fillId="3" borderId="0" xfId="0" applyFont="1" applyFill="1" applyBorder="1" applyAlignment="1" applyProtection="1">
      <protection locked="0"/>
    </xf>
    <xf numFmtId="0" fontId="5" fillId="3" borderId="10" xfId="4" applyFont="1" applyFill="1" applyBorder="1" applyAlignment="1" applyProtection="1">
      <alignment vertical="center"/>
      <protection locked="0"/>
    </xf>
    <xf numFmtId="0" fontId="2" fillId="6" borderId="34" xfId="0" applyFont="1" applyFill="1" applyBorder="1" applyAlignment="1" applyProtection="1">
      <alignment vertical="center"/>
      <protection locked="0"/>
    </xf>
    <xf numFmtId="0" fontId="13" fillId="6" borderId="154" xfId="0" applyFont="1" applyFill="1" applyBorder="1" applyAlignment="1" applyProtection="1">
      <alignment vertical="center"/>
      <protection locked="0"/>
    </xf>
    <xf numFmtId="0" fontId="3" fillId="6" borderId="155" xfId="0" applyFont="1" applyFill="1" applyBorder="1" applyAlignment="1" applyProtection="1">
      <alignment vertical="center"/>
      <protection locked="0"/>
    </xf>
    <xf numFmtId="2" fontId="7" fillId="6" borderId="14" xfId="0" applyNumberFormat="1" applyFont="1" applyFill="1" applyBorder="1" applyAlignment="1" applyProtection="1">
      <alignment horizontal="center" vertical="center"/>
    </xf>
    <xf numFmtId="0" fontId="10" fillId="3" borderId="0" xfId="4" applyFont="1" applyFill="1" applyBorder="1" applyAlignment="1" applyProtection="1">
      <alignment vertical="center"/>
      <protection locked="0"/>
    </xf>
    <xf numFmtId="0" fontId="5" fillId="3" borderId="15" xfId="4" applyFont="1" applyFill="1" applyBorder="1" applyAlignment="1" applyProtection="1">
      <alignment vertical="center"/>
      <protection locked="0"/>
    </xf>
    <xf numFmtId="0" fontId="5" fillId="3" borderId="8" xfId="4" applyFont="1" applyFill="1" applyBorder="1" applyAlignment="1" applyProtection="1">
      <alignment vertical="center"/>
      <protection locked="0"/>
    </xf>
    <xf numFmtId="0" fontId="5" fillId="3" borderId="12" xfId="4" applyFont="1" applyFill="1" applyBorder="1" applyAlignment="1" applyProtection="1">
      <alignment vertical="center"/>
      <protection locked="0"/>
    </xf>
    <xf numFmtId="2" fontId="25" fillId="3" borderId="11" xfId="0" applyNumberFormat="1" applyFont="1" applyFill="1" applyBorder="1" applyAlignment="1" applyProtection="1">
      <alignment horizontal="right" vertical="center"/>
    </xf>
    <xf numFmtId="0" fontId="5" fillId="3" borderId="157" xfId="4" applyFont="1" applyFill="1" applyBorder="1" applyAlignment="1" applyProtection="1">
      <alignment vertical="center"/>
      <protection locked="0"/>
    </xf>
    <xf numFmtId="0" fontId="5" fillId="3" borderId="160" xfId="4" applyFont="1" applyFill="1" applyBorder="1" applyAlignment="1" applyProtection="1">
      <alignment vertical="center"/>
      <protection locked="0"/>
    </xf>
    <xf numFmtId="0" fontId="10" fillId="3" borderId="162" xfId="4" applyFont="1" applyFill="1" applyBorder="1" applyAlignment="1" applyProtection="1">
      <alignment vertical="center"/>
      <protection locked="0"/>
    </xf>
    <xf numFmtId="0" fontId="10" fillId="3" borderId="163" xfId="4" applyFont="1" applyFill="1" applyBorder="1" applyAlignment="1" applyProtection="1">
      <alignment vertical="center"/>
      <protection locked="0"/>
    </xf>
    <xf numFmtId="0" fontId="5" fillId="3" borderId="163" xfId="4" applyFont="1" applyFill="1" applyBorder="1" applyAlignment="1" applyProtection="1">
      <alignment vertical="center"/>
      <protection locked="0"/>
    </xf>
    <xf numFmtId="0" fontId="10" fillId="3" borderId="156" xfId="4" applyFont="1" applyFill="1" applyBorder="1" applyAlignment="1" applyProtection="1">
      <alignment vertical="center"/>
      <protection locked="0"/>
    </xf>
    <xf numFmtId="0" fontId="10" fillId="3" borderId="157" xfId="4" applyFont="1" applyFill="1" applyBorder="1" applyAlignment="1" applyProtection="1">
      <alignment vertical="center"/>
      <protection locked="0"/>
    </xf>
    <xf numFmtId="0" fontId="10" fillId="3" borderId="165" xfId="4" applyFont="1" applyFill="1" applyBorder="1" applyAlignment="1" applyProtection="1">
      <alignment vertical="center"/>
      <protection locked="0"/>
    </xf>
    <xf numFmtId="0" fontId="10" fillId="3" borderId="159" xfId="4" applyFont="1" applyFill="1" applyBorder="1" applyAlignment="1" applyProtection="1">
      <alignment vertical="center"/>
      <protection locked="0"/>
    </xf>
    <xf numFmtId="0" fontId="10" fillId="3" borderId="160" xfId="4" applyFont="1" applyFill="1" applyBorder="1" applyAlignment="1" applyProtection="1">
      <alignment vertical="center"/>
      <protection locked="0"/>
    </xf>
    <xf numFmtId="0" fontId="77" fillId="3" borderId="0" xfId="0" applyFont="1" applyFill="1" applyBorder="1" applyAlignment="1">
      <alignment horizontal="right"/>
    </xf>
    <xf numFmtId="172" fontId="2" fillId="8" borderId="1" xfId="0" applyNumberFormat="1" applyFont="1" applyFill="1" applyBorder="1" applyAlignment="1" applyProtection="1">
      <alignment horizontal="center" vertical="center"/>
      <protection locked="0"/>
    </xf>
    <xf numFmtId="0" fontId="24" fillId="8" borderId="1" xfId="0" applyFont="1" applyFill="1" applyBorder="1" applyAlignment="1" applyProtection="1">
      <alignment horizontal="center" vertical="center"/>
      <protection locked="0"/>
    </xf>
    <xf numFmtId="171" fontId="2" fillId="8" borderId="41" xfId="0" applyNumberFormat="1" applyFont="1" applyFill="1" applyBorder="1" applyAlignment="1" applyProtection="1">
      <alignment horizontal="right" vertical="center"/>
      <protection locked="0"/>
    </xf>
    <xf numFmtId="0" fontId="24" fillId="8" borderId="1" xfId="0" applyFont="1" applyFill="1" applyBorder="1" applyAlignment="1" applyProtection="1">
      <alignment horizontal="right" vertical="center"/>
      <protection locked="0"/>
    </xf>
    <xf numFmtId="0" fontId="24" fillId="8" borderId="4" xfId="0" applyFont="1" applyFill="1" applyBorder="1" applyAlignment="1" applyProtection="1">
      <alignment horizontal="right" vertical="center"/>
      <protection locked="0"/>
    </xf>
    <xf numFmtId="0" fontId="2" fillId="8" borderId="1" xfId="0" applyFont="1" applyFill="1" applyBorder="1" applyAlignment="1" applyProtection="1">
      <alignment horizontal="center" vertical="center"/>
      <protection locked="0"/>
    </xf>
    <xf numFmtId="43" fontId="24" fillId="8" borderId="41" xfId="0" applyNumberFormat="1" applyFont="1" applyFill="1" applyBorder="1" applyAlignment="1" applyProtection="1">
      <alignment horizontal="right" vertical="center"/>
      <protection locked="0"/>
    </xf>
    <xf numFmtId="0" fontId="164" fillId="3" borderId="0" xfId="0" applyFont="1" applyFill="1"/>
    <xf numFmtId="43" fontId="24" fillId="8" borderId="41" xfId="0" applyNumberFormat="1" applyFont="1" applyFill="1" applyBorder="1" applyProtection="1">
      <protection locked="0"/>
    </xf>
    <xf numFmtId="175" fontId="117" fillId="14" borderId="1" xfId="10" applyNumberFormat="1" applyFont="1" applyFill="1" applyBorder="1" applyProtection="1">
      <protection locked="0"/>
    </xf>
    <xf numFmtId="43" fontId="24" fillId="8" borderId="1" xfId="0" applyNumberFormat="1" applyFont="1" applyFill="1" applyBorder="1" applyProtection="1">
      <protection locked="0"/>
    </xf>
    <xf numFmtId="2" fontId="24" fillId="8" borderId="1" xfId="0" applyNumberFormat="1" applyFont="1" applyFill="1" applyBorder="1" applyAlignment="1" applyProtection="1">
      <alignment horizontal="right" vertical="center"/>
      <protection locked="0"/>
    </xf>
    <xf numFmtId="43" fontId="24" fillId="3" borderId="1" xfId="0" applyNumberFormat="1" applyFont="1" applyFill="1" applyBorder="1" applyAlignment="1">
      <alignment horizontal="center" vertical="center"/>
    </xf>
    <xf numFmtId="0" fontId="2" fillId="3" borderId="0" xfId="0" applyFont="1" applyFill="1" applyAlignment="1">
      <alignment wrapText="1"/>
    </xf>
    <xf numFmtId="0" fontId="24" fillId="8" borderId="3" xfId="0" applyFont="1" applyFill="1" applyBorder="1" applyProtection="1">
      <protection locked="0"/>
    </xf>
    <xf numFmtId="0" fontId="0" fillId="3" borderId="0" xfId="0" applyFont="1" applyFill="1"/>
    <xf numFmtId="0" fontId="24" fillId="3" borderId="0" xfId="0" applyFont="1" applyFill="1" applyBorder="1" applyAlignment="1">
      <alignment horizontal="right" vertical="top" wrapText="1"/>
    </xf>
    <xf numFmtId="0" fontId="167" fillId="11" borderId="1" xfId="0" applyFont="1" applyFill="1" applyBorder="1" applyAlignment="1" applyProtection="1">
      <alignment horizontal="center"/>
      <protection locked="0"/>
    </xf>
    <xf numFmtId="0" fontId="37" fillId="3" borderId="0" xfId="0" applyFont="1" applyFill="1" applyAlignment="1">
      <alignment vertical="center"/>
    </xf>
    <xf numFmtId="167" fontId="2" fillId="8" borderId="1" xfId="6" applyNumberFormat="1" applyFont="1" applyFill="1" applyBorder="1" applyAlignment="1" applyProtection="1">
      <alignment horizontal="right" vertical="center" wrapText="1"/>
      <protection locked="0" hidden="1"/>
    </xf>
    <xf numFmtId="167" fontId="2" fillId="3" borderId="11" xfId="6" applyNumberFormat="1" applyFont="1" applyFill="1" applyBorder="1" applyAlignment="1">
      <alignment horizontal="right" vertical="center"/>
    </xf>
    <xf numFmtId="167" fontId="2" fillId="3" borderId="1" xfId="6" applyNumberFormat="1" applyFont="1" applyFill="1" applyBorder="1" applyAlignment="1">
      <alignment horizontal="right"/>
    </xf>
    <xf numFmtId="167" fontId="2" fillId="3" borderId="29" xfId="6" applyNumberFormat="1" applyFont="1" applyFill="1" applyBorder="1" applyAlignment="1">
      <alignment horizontal="right"/>
    </xf>
    <xf numFmtId="167" fontId="7" fillId="3" borderId="33" xfId="6" applyNumberFormat="1" applyFont="1" applyFill="1" applyBorder="1" applyAlignment="1">
      <alignment horizontal="right"/>
    </xf>
    <xf numFmtId="167" fontId="7" fillId="3" borderId="2" xfId="6" applyNumberFormat="1" applyFont="1" applyFill="1" applyBorder="1" applyAlignment="1">
      <alignment horizontal="right"/>
    </xf>
    <xf numFmtId="0" fontId="2" fillId="12" borderId="75" xfId="10" applyFont="1" applyFill="1" applyBorder="1" applyAlignment="1" applyProtection="1">
      <alignment horizontal="center" vertical="center" wrapText="1"/>
      <protection locked="0"/>
    </xf>
    <xf numFmtId="0" fontId="2" fillId="12" borderId="92" xfId="10" applyFont="1" applyFill="1" applyBorder="1" applyAlignment="1" applyProtection="1">
      <alignment horizontal="center" vertical="center" wrapText="1"/>
      <protection locked="0"/>
    </xf>
    <xf numFmtId="0" fontId="2" fillId="12" borderId="94" xfId="10" applyFont="1" applyFill="1" applyBorder="1" applyAlignment="1" applyProtection="1">
      <alignment horizontal="center" vertical="center" wrapText="1"/>
      <protection locked="0"/>
    </xf>
    <xf numFmtId="0" fontId="2" fillId="8" borderId="41" xfId="0" applyFont="1" applyFill="1" applyBorder="1" applyAlignment="1" applyProtection="1">
      <alignment horizontal="center" vertical="center" wrapText="1"/>
      <protection locked="0"/>
    </xf>
    <xf numFmtId="0" fontId="2" fillId="12" borderId="93" xfId="10" applyFont="1" applyFill="1" applyBorder="1" applyAlignment="1" applyProtection="1">
      <alignment horizontal="center" vertical="center" wrapText="1"/>
      <protection locked="0"/>
    </xf>
    <xf numFmtId="0" fontId="2" fillId="12" borderId="95" xfId="10" applyFont="1" applyFill="1" applyBorder="1" applyAlignment="1" applyProtection="1">
      <alignment horizontal="center" vertical="center" wrapText="1"/>
      <protection locked="0"/>
    </xf>
    <xf numFmtId="0" fontId="2" fillId="8" borderId="43" xfId="0" applyFont="1" applyFill="1" applyBorder="1" applyAlignment="1" applyProtection="1">
      <alignment horizontal="center" vertical="center" wrapText="1"/>
      <protection locked="0"/>
    </xf>
    <xf numFmtId="0" fontId="114" fillId="11" borderId="29" xfId="0" applyFont="1" applyFill="1" applyBorder="1" applyAlignment="1" applyProtection="1">
      <alignment horizontal="center" vertical="center" wrapText="1"/>
      <protection locked="0"/>
    </xf>
    <xf numFmtId="44" fontId="0" fillId="3" borderId="0" xfId="0" applyNumberFormat="1" applyFill="1" applyAlignment="1">
      <alignment horizontal="center"/>
    </xf>
    <xf numFmtId="0" fontId="0" fillId="3" borderId="0" xfId="0" applyFill="1" applyAlignment="1">
      <alignment horizontal="center"/>
    </xf>
    <xf numFmtId="0" fontId="0" fillId="0" borderId="0" xfId="0" applyBorder="1"/>
    <xf numFmtId="0" fontId="171" fillId="0" borderId="0" xfId="0" applyFont="1" applyProtection="1"/>
    <xf numFmtId="0" fontId="172" fillId="0" borderId="0" xfId="0" applyFont="1" applyProtection="1"/>
    <xf numFmtId="1" fontId="7" fillId="3" borderId="0" xfId="6" applyNumberFormat="1" applyFont="1" applyFill="1" applyBorder="1" applyAlignment="1" applyProtection="1">
      <alignment horizontal="center" vertical="center"/>
    </xf>
    <xf numFmtId="0" fontId="167" fillId="19" borderId="0" xfId="0" applyFont="1" applyFill="1" applyBorder="1" applyAlignment="1" applyProtection="1">
      <alignment horizontal="center"/>
      <protection locked="0"/>
    </xf>
    <xf numFmtId="0" fontId="0" fillId="3" borderId="0" xfId="0" applyFill="1" applyProtection="1"/>
    <xf numFmtId="0" fontId="0" fillId="3" borderId="0" xfId="0" applyFill="1" applyBorder="1" applyProtection="1"/>
    <xf numFmtId="0" fontId="10" fillId="3" borderId="0" xfId="0" applyFont="1" applyFill="1" applyProtection="1"/>
    <xf numFmtId="0" fontId="168" fillId="3" borderId="0" xfId="0" applyFont="1" applyFill="1" applyBorder="1" applyAlignment="1" applyProtection="1">
      <alignment horizontal="center" wrapText="1"/>
    </xf>
    <xf numFmtId="0" fontId="3" fillId="3" borderId="0" xfId="0" applyFont="1" applyFill="1" applyBorder="1" applyAlignment="1" applyProtection="1">
      <alignment horizontal="center" vertical="center" wrapText="1"/>
    </xf>
    <xf numFmtId="0" fontId="6" fillId="3" borderId="0" xfId="0" applyFont="1" applyFill="1" applyProtection="1"/>
    <xf numFmtId="0" fontId="171" fillId="3" borderId="0" xfId="0" applyFont="1" applyFill="1" applyProtection="1"/>
    <xf numFmtId="0" fontId="172" fillId="3" borderId="0" xfId="0" applyFont="1" applyFill="1" applyProtection="1"/>
    <xf numFmtId="0" fontId="6" fillId="3" borderId="167" xfId="0" applyFont="1" applyFill="1" applyBorder="1" applyAlignment="1" applyProtection="1">
      <alignment vertical="center"/>
    </xf>
    <xf numFmtId="0" fontId="0" fillId="3" borderId="168" xfId="0" applyFill="1" applyBorder="1" applyProtection="1"/>
    <xf numFmtId="0" fontId="10" fillId="3" borderId="168" xfId="0" applyFont="1" applyFill="1" applyBorder="1" applyProtection="1"/>
    <xf numFmtId="0" fontId="0" fillId="3" borderId="169" xfId="0" applyFill="1" applyBorder="1" applyProtection="1"/>
    <xf numFmtId="0" fontId="173" fillId="3" borderId="0" xfId="0" applyFont="1" applyFill="1" applyBorder="1" applyAlignment="1" applyProtection="1">
      <alignment horizontal="right" vertical="center"/>
    </xf>
    <xf numFmtId="0" fontId="173" fillId="3" borderId="0" xfId="0" applyNumberFormat="1" applyFont="1" applyFill="1" applyBorder="1" applyAlignment="1" applyProtection="1">
      <alignment horizontal="right" vertical="center"/>
    </xf>
    <xf numFmtId="0" fontId="170" fillId="3" borderId="0" xfId="0" applyFont="1" applyFill="1" applyBorder="1" applyAlignment="1" applyProtection="1">
      <alignment horizontal="left" vertical="center"/>
      <protection locked="0"/>
    </xf>
    <xf numFmtId="0" fontId="6" fillId="3" borderId="0" xfId="0" applyFont="1" applyFill="1" applyBorder="1" applyAlignment="1" applyProtection="1">
      <alignment horizontal="left" vertical="center"/>
    </xf>
    <xf numFmtId="0" fontId="170" fillId="3" borderId="0" xfId="0" applyFont="1" applyFill="1" applyBorder="1" applyAlignment="1" applyProtection="1">
      <alignment horizontal="left" vertical="center"/>
    </xf>
    <xf numFmtId="0" fontId="172" fillId="3" borderId="0" xfId="0" applyFont="1" applyFill="1" applyBorder="1" applyAlignment="1" applyProtection="1">
      <alignment horizontal="left" vertical="center"/>
    </xf>
    <xf numFmtId="0" fontId="8" fillId="3" borderId="0" xfId="0" applyFont="1" applyFill="1" applyBorder="1" applyAlignment="1" applyProtection="1">
      <alignment vertical="center"/>
    </xf>
    <xf numFmtId="14" fontId="172" fillId="3" borderId="0" xfId="0" applyNumberFormat="1" applyFont="1" applyFill="1" applyBorder="1" applyAlignment="1" applyProtection="1">
      <alignment horizontal="center"/>
    </xf>
    <xf numFmtId="0" fontId="172" fillId="3" borderId="0" xfId="0" applyFont="1" applyFill="1" applyBorder="1" applyAlignment="1" applyProtection="1">
      <alignment vertical="center"/>
    </xf>
    <xf numFmtId="0" fontId="175" fillId="3" borderId="0" xfId="0" applyFont="1" applyFill="1" applyBorder="1" applyProtection="1"/>
    <xf numFmtId="0" fontId="8" fillId="3" borderId="0" xfId="0" applyFont="1" applyFill="1" applyBorder="1" applyAlignment="1" applyProtection="1">
      <alignment horizontal="left"/>
    </xf>
    <xf numFmtId="0" fontId="6" fillId="3" borderId="0" xfId="0" applyFont="1" applyFill="1" applyBorder="1" applyProtection="1"/>
    <xf numFmtId="0" fontId="171" fillId="3" borderId="0" xfId="0" applyFont="1" applyFill="1" applyBorder="1" applyProtection="1"/>
    <xf numFmtId="0" fontId="172" fillId="3" borderId="9" xfId="0" applyFont="1" applyFill="1" applyBorder="1" applyAlignment="1" applyProtection="1">
      <alignment horizontal="left" vertical="center"/>
    </xf>
    <xf numFmtId="0" fontId="8" fillId="3" borderId="8" xfId="0" applyFont="1" applyFill="1" applyBorder="1" applyAlignment="1" applyProtection="1">
      <alignment vertical="center"/>
    </xf>
    <xf numFmtId="0" fontId="6" fillId="3" borderId="15" xfId="0" applyFont="1" applyFill="1" applyBorder="1" applyAlignment="1" applyProtection="1">
      <alignment horizontal="left" vertical="center"/>
    </xf>
    <xf numFmtId="0" fontId="6" fillId="3" borderId="5" xfId="0" applyFont="1" applyFill="1" applyBorder="1" applyAlignment="1" applyProtection="1">
      <alignment horizontal="left"/>
    </xf>
    <xf numFmtId="0" fontId="173" fillId="3" borderId="5" xfId="0" applyFont="1" applyFill="1" applyBorder="1" applyAlignment="1" applyProtection="1">
      <alignment horizontal="left" vertical="center"/>
    </xf>
    <xf numFmtId="0" fontId="6" fillId="3" borderId="3" xfId="0" applyFont="1" applyFill="1" applyBorder="1" applyAlignment="1" applyProtection="1">
      <alignment horizontal="left" vertical="center"/>
    </xf>
    <xf numFmtId="0" fontId="6" fillId="3" borderId="7" xfId="0" applyFont="1" applyFill="1" applyBorder="1" applyAlignment="1" applyProtection="1">
      <alignment horizontal="left"/>
    </xf>
    <xf numFmtId="0" fontId="6" fillId="3" borderId="7" xfId="0" applyFont="1" applyFill="1" applyBorder="1" applyAlignment="1" applyProtection="1">
      <alignment horizontal="left" vertical="center"/>
    </xf>
    <xf numFmtId="0" fontId="172" fillId="3" borderId="7" xfId="0" applyFont="1" applyFill="1" applyBorder="1" applyAlignment="1" applyProtection="1">
      <alignment horizontal="left" vertical="center"/>
    </xf>
    <xf numFmtId="0" fontId="6" fillId="3" borderId="8" xfId="0" applyFont="1" applyFill="1" applyBorder="1" applyAlignment="1" applyProtection="1">
      <alignment vertical="center"/>
    </xf>
    <xf numFmtId="0" fontId="6" fillId="3" borderId="3" xfId="0" applyFont="1" applyFill="1" applyBorder="1" applyAlignment="1" applyProtection="1">
      <alignment vertical="center"/>
    </xf>
    <xf numFmtId="0" fontId="6" fillId="3" borderId="7" xfId="0" applyFont="1" applyFill="1" applyBorder="1" applyProtection="1"/>
    <xf numFmtId="0" fontId="174" fillId="3" borderId="0" xfId="0" applyFont="1" applyFill="1" applyBorder="1" applyAlignment="1" applyProtection="1">
      <alignment vertical="center"/>
    </xf>
    <xf numFmtId="0" fontId="175" fillId="3" borderId="7" xfId="0" applyFont="1" applyFill="1" applyBorder="1" applyProtection="1"/>
    <xf numFmtId="0" fontId="173" fillId="3" borderId="7" xfId="0" applyFont="1" applyFill="1" applyBorder="1" applyAlignment="1" applyProtection="1">
      <alignment horizontal="left" vertical="center"/>
    </xf>
    <xf numFmtId="0" fontId="0" fillId="3" borderId="7" xfId="0" applyFill="1" applyBorder="1" applyProtection="1"/>
    <xf numFmtId="0" fontId="172" fillId="3" borderId="6" xfId="0" applyFont="1" applyFill="1" applyBorder="1" applyAlignment="1" applyProtection="1">
      <alignment horizontal="left" vertical="center"/>
    </xf>
    <xf numFmtId="0" fontId="169" fillId="3" borderId="0" xfId="0" applyFont="1" applyFill="1" applyAlignment="1" applyProtection="1">
      <alignment vertical="center"/>
    </xf>
    <xf numFmtId="0" fontId="170" fillId="3" borderId="0" xfId="0" applyFont="1" applyFill="1" applyAlignment="1" applyProtection="1">
      <alignment horizontal="center" vertical="center"/>
    </xf>
    <xf numFmtId="0" fontId="0" fillId="3" borderId="15" xfId="0" applyFill="1" applyBorder="1" applyProtection="1"/>
    <xf numFmtId="0" fontId="0" fillId="3" borderId="13" xfId="0" applyFill="1" applyBorder="1" applyProtection="1"/>
    <xf numFmtId="0" fontId="0" fillId="3" borderId="8" xfId="0" applyFill="1" applyBorder="1" applyProtection="1"/>
    <xf numFmtId="0" fontId="0" fillId="3" borderId="9" xfId="0" applyFill="1" applyBorder="1" applyProtection="1"/>
    <xf numFmtId="0" fontId="0" fillId="3" borderId="12" xfId="0" applyFill="1" applyBorder="1" applyProtection="1"/>
    <xf numFmtId="0" fontId="0" fillId="3" borderId="11" xfId="0" applyFill="1" applyBorder="1" applyProtection="1"/>
    <xf numFmtId="14" fontId="172" fillId="3" borderId="5" xfId="0" applyNumberFormat="1" applyFont="1" applyFill="1" applyBorder="1" applyAlignment="1" applyProtection="1">
      <alignment horizontal="center"/>
    </xf>
    <xf numFmtId="0" fontId="0" fillId="3" borderId="5" xfId="0" applyFill="1" applyBorder="1" applyProtection="1"/>
    <xf numFmtId="0" fontId="172" fillId="3" borderId="5" xfId="0" applyFont="1" applyFill="1" applyBorder="1" applyAlignment="1" applyProtection="1">
      <alignment vertical="center"/>
    </xf>
    <xf numFmtId="0" fontId="6" fillId="3" borderId="10" xfId="0" applyFont="1" applyFill="1" applyBorder="1" applyAlignment="1" applyProtection="1">
      <alignment horizontal="center"/>
    </xf>
    <xf numFmtId="0" fontId="0" fillId="3" borderId="10" xfId="0" applyFill="1" applyBorder="1" applyProtection="1"/>
    <xf numFmtId="14" fontId="172" fillId="3" borderId="7" xfId="0" applyNumberFormat="1" applyFont="1" applyFill="1" applyBorder="1" applyAlignment="1" applyProtection="1">
      <alignment horizontal="center" vertical="center"/>
    </xf>
    <xf numFmtId="14" fontId="172" fillId="3" borderId="7" xfId="0" applyNumberFormat="1" applyFont="1" applyFill="1" applyBorder="1" applyAlignment="1" applyProtection="1">
      <alignment horizontal="center"/>
    </xf>
    <xf numFmtId="0" fontId="0" fillId="3" borderId="7" xfId="0" applyFill="1" applyBorder="1" applyAlignment="1" applyProtection="1">
      <alignment horizontal="center" vertical="center"/>
    </xf>
    <xf numFmtId="0" fontId="172" fillId="3" borderId="7" xfId="0" applyFont="1" applyFill="1" applyBorder="1" applyAlignment="1" applyProtection="1">
      <alignment vertical="center"/>
    </xf>
    <xf numFmtId="0" fontId="172" fillId="3" borderId="7" xfId="0" applyFont="1" applyFill="1" applyBorder="1" applyAlignment="1" applyProtection="1">
      <alignment horizontal="center" vertical="center"/>
    </xf>
    <xf numFmtId="0" fontId="0" fillId="3" borderId="175" xfId="0" applyFill="1" applyBorder="1" applyProtection="1"/>
    <xf numFmtId="0" fontId="0" fillId="3" borderId="177" xfId="0" applyFill="1" applyBorder="1" applyProtection="1"/>
    <xf numFmtId="0" fontId="167" fillId="11" borderId="1" xfId="0" applyFont="1" applyFill="1" applyBorder="1" applyAlignment="1" applyProtection="1">
      <alignment horizontal="right"/>
      <protection locked="0"/>
    </xf>
    <xf numFmtId="2" fontId="24" fillId="3" borderId="1" xfId="0" applyNumberFormat="1" applyFont="1" applyFill="1" applyBorder="1" applyAlignment="1" applyProtection="1">
      <alignment horizontal="right" vertical="top"/>
    </xf>
    <xf numFmtId="2" fontId="77" fillId="3" borderId="88" xfId="0" applyNumberFormat="1" applyFont="1" applyFill="1" applyBorder="1" applyAlignment="1" applyProtection="1">
      <alignment vertical="center"/>
      <protection locked="0"/>
    </xf>
    <xf numFmtId="2" fontId="78" fillId="3" borderId="88" xfId="0" applyNumberFormat="1" applyFont="1" applyFill="1" applyBorder="1" applyAlignment="1" applyProtection="1">
      <alignment vertical="center"/>
      <protection locked="0"/>
    </xf>
    <xf numFmtId="14" fontId="10" fillId="3" borderId="0" xfId="0" applyNumberFormat="1" applyFont="1" applyFill="1" applyBorder="1" applyAlignment="1">
      <alignment vertical="top" wrapText="1"/>
    </xf>
    <xf numFmtId="0" fontId="37" fillId="3" borderId="0" xfId="0" applyFont="1" applyFill="1" applyBorder="1" applyAlignment="1" applyProtection="1">
      <alignment horizontal="left" vertical="center" wrapText="1"/>
    </xf>
    <xf numFmtId="2" fontId="24" fillId="3" borderId="0" xfId="0" applyNumberFormat="1" applyFont="1" applyFill="1" applyBorder="1" applyAlignment="1" applyProtection="1">
      <alignment horizontal="right" vertical="top"/>
    </xf>
    <xf numFmtId="0" fontId="2" fillId="17" borderId="3" xfId="0" applyFont="1" applyFill="1" applyBorder="1" applyAlignment="1" applyProtection="1">
      <alignment vertical="center"/>
      <protection locked="0"/>
    </xf>
    <xf numFmtId="0" fontId="158" fillId="3" borderId="0" xfId="0" applyFont="1" applyFill="1" applyBorder="1" applyAlignment="1"/>
    <xf numFmtId="0" fontId="0" fillId="3" borderId="0" xfId="0" applyFill="1" applyAlignment="1"/>
    <xf numFmtId="0" fontId="0" fillId="3" borderId="5" xfId="0" applyFill="1" applyBorder="1"/>
    <xf numFmtId="0" fontId="120" fillId="3" borderId="0" xfId="0" applyFont="1" applyFill="1" applyBorder="1" applyAlignment="1">
      <alignment vertical="center"/>
    </xf>
    <xf numFmtId="43" fontId="135" fillId="3" borderId="0" xfId="8" applyFont="1" applyFill="1" applyBorder="1" applyAlignment="1">
      <alignment horizontal="center"/>
    </xf>
    <xf numFmtId="44" fontId="0" fillId="3" borderId="0" xfId="0" applyNumberFormat="1" applyFill="1" applyBorder="1" applyAlignment="1">
      <alignment horizontal="center"/>
    </xf>
    <xf numFmtId="0" fontId="0" fillId="3" borderId="0" xfId="0" applyFill="1" applyBorder="1" applyAlignment="1">
      <alignment horizontal="center"/>
    </xf>
    <xf numFmtId="2" fontId="152" fillId="3" borderId="0" xfId="4" applyNumberFormat="1" applyFont="1" applyFill="1" applyBorder="1" applyAlignment="1">
      <alignment vertical="center" wrapText="1"/>
    </xf>
    <xf numFmtId="9" fontId="103" fillId="3" borderId="0" xfId="0" applyNumberFormat="1" applyFont="1" applyFill="1" applyBorder="1" applyAlignment="1">
      <alignment horizontal="center" vertical="center"/>
    </xf>
    <xf numFmtId="0" fontId="10" fillId="3" borderId="0" xfId="4" applyFont="1" applyFill="1" applyBorder="1" applyAlignment="1" applyProtection="1">
      <alignment horizontal="left" vertical="center"/>
      <protection locked="0"/>
    </xf>
    <xf numFmtId="0" fontId="32" fillId="8" borderId="1" xfId="0" applyFont="1" applyFill="1" applyBorder="1" applyAlignment="1" applyProtection="1">
      <alignment horizontal="center"/>
      <protection locked="0"/>
    </xf>
    <xf numFmtId="0" fontId="24" fillId="8" borderId="1" xfId="0" applyFont="1" applyFill="1" applyBorder="1" applyAlignment="1" applyProtection="1">
      <alignment horizontal="center"/>
      <protection locked="0"/>
    </xf>
    <xf numFmtId="0" fontId="104" fillId="3" borderId="183" xfId="0" applyFont="1" applyFill="1" applyBorder="1"/>
    <xf numFmtId="0" fontId="10" fillId="3" borderId="184" xfId="0" applyFont="1" applyFill="1" applyBorder="1"/>
    <xf numFmtId="0" fontId="10" fillId="3" borderId="185" xfId="0" applyFont="1" applyFill="1" applyBorder="1"/>
    <xf numFmtId="0" fontId="16" fillId="3" borderId="189" xfId="0" applyFont="1" applyFill="1" applyBorder="1" applyAlignment="1">
      <alignment horizontal="left" vertical="center"/>
    </xf>
    <xf numFmtId="0" fontId="16" fillId="3" borderId="190" xfId="0" applyFont="1" applyFill="1" applyBorder="1" applyAlignment="1">
      <alignment horizontal="left" vertical="center"/>
    </xf>
    <xf numFmtId="0" fontId="16" fillId="3" borderId="191" xfId="0" applyFont="1" applyFill="1" applyBorder="1" applyAlignment="1">
      <alignment horizontal="left" vertical="center"/>
    </xf>
    <xf numFmtId="0" fontId="62" fillId="3" borderId="192" xfId="0" applyFont="1" applyFill="1" applyBorder="1"/>
    <xf numFmtId="0" fontId="7" fillId="3" borderId="0" xfId="4" applyFont="1" applyFill="1" applyBorder="1" applyAlignment="1">
      <alignment vertical="center"/>
    </xf>
    <xf numFmtId="0" fontId="0" fillId="0" borderId="0" xfId="0" applyBorder="1" applyAlignment="1"/>
    <xf numFmtId="0" fontId="132" fillId="3" borderId="0" xfId="4" applyFont="1" applyFill="1" applyBorder="1" applyAlignment="1">
      <alignment horizontal="right" vertical="center"/>
    </xf>
    <xf numFmtId="0" fontId="24" fillId="3" borderId="193" xfId="0" applyFont="1" applyFill="1" applyBorder="1"/>
    <xf numFmtId="0" fontId="0" fillId="0" borderId="191" xfId="0" applyBorder="1" applyAlignment="1"/>
    <xf numFmtId="0" fontId="1" fillId="3" borderId="14" xfId="0" applyFont="1" applyFill="1" applyBorder="1" applyAlignment="1">
      <alignment horizontal="center"/>
    </xf>
    <xf numFmtId="0" fontId="7" fillId="3" borderId="182" xfId="4" applyFont="1" applyFill="1" applyBorder="1" applyAlignment="1">
      <alignment vertical="center"/>
    </xf>
    <xf numFmtId="0" fontId="65" fillId="3" borderId="0" xfId="0" applyFont="1" applyFill="1" applyBorder="1" applyAlignment="1">
      <alignment vertical="center"/>
    </xf>
    <xf numFmtId="0" fontId="92" fillId="3" borderId="196" xfId="0" applyFont="1" applyFill="1" applyBorder="1" applyAlignment="1" applyProtection="1">
      <alignment vertical="center" wrapText="1"/>
      <protection hidden="1"/>
    </xf>
    <xf numFmtId="0" fontId="24" fillId="3" borderId="195" xfId="0" applyFont="1" applyFill="1" applyBorder="1"/>
    <xf numFmtId="0" fontId="92" fillId="3" borderId="198" xfId="0" applyFont="1" applyFill="1" applyBorder="1" applyAlignment="1" applyProtection="1">
      <alignment vertical="center" wrapText="1"/>
      <protection hidden="1"/>
    </xf>
    <xf numFmtId="0" fontId="24" fillId="3" borderId="181" xfId="0" applyFont="1" applyFill="1" applyBorder="1"/>
    <xf numFmtId="0" fontId="24" fillId="3" borderId="191" xfId="0" applyFont="1" applyFill="1" applyBorder="1"/>
    <xf numFmtId="0" fontId="17" fillId="3" borderId="191" xfId="4" applyFont="1" applyFill="1" applyBorder="1" applyAlignment="1">
      <alignment vertical="center"/>
    </xf>
    <xf numFmtId="0" fontId="7" fillId="3" borderId="195" xfId="4" applyFont="1" applyFill="1" applyBorder="1" applyAlignment="1">
      <alignment horizontal="left" vertical="center" wrapText="1"/>
    </xf>
    <xf numFmtId="0" fontId="16" fillId="3" borderId="191" xfId="0" applyFont="1" applyFill="1" applyBorder="1" applyAlignment="1">
      <alignment vertical="center"/>
    </xf>
    <xf numFmtId="0" fontId="34" fillId="3" borderId="192" xfId="0" applyFont="1" applyFill="1" applyBorder="1"/>
    <xf numFmtId="0" fontId="34" fillId="3" borderId="195" xfId="0" applyFont="1" applyFill="1" applyBorder="1"/>
    <xf numFmtId="0" fontId="65" fillId="3" borderId="191" xfId="0" applyFont="1" applyFill="1" applyBorder="1" applyAlignment="1">
      <alignment vertical="center"/>
    </xf>
    <xf numFmtId="0" fontId="9" fillId="3" borderId="199" xfId="0" applyFont="1" applyFill="1" applyBorder="1" applyAlignment="1">
      <alignment vertical="center"/>
    </xf>
    <xf numFmtId="0" fontId="9" fillId="3" borderId="200" xfId="0" applyFont="1" applyFill="1" applyBorder="1" applyAlignment="1">
      <alignment vertical="center"/>
    </xf>
    <xf numFmtId="0" fontId="9" fillId="3" borderId="0" xfId="0" applyFont="1" applyFill="1" applyBorder="1" applyAlignment="1">
      <alignment vertical="center"/>
    </xf>
    <xf numFmtId="0" fontId="9" fillId="3" borderId="201" xfId="0" applyFont="1" applyFill="1" applyBorder="1" applyAlignment="1">
      <alignment vertical="center"/>
    </xf>
    <xf numFmtId="0" fontId="67" fillId="3" borderId="10" xfId="0" applyFont="1" applyFill="1" applyBorder="1" applyAlignment="1">
      <alignment wrapText="1"/>
    </xf>
    <xf numFmtId="0" fontId="24" fillId="3" borderId="0" xfId="0" applyFont="1" applyFill="1" applyBorder="1" applyAlignment="1" applyProtection="1">
      <alignment vertical="center" wrapText="1"/>
    </xf>
    <xf numFmtId="164" fontId="167" fillId="11" borderId="1" xfId="0" applyNumberFormat="1" applyFont="1" applyFill="1" applyBorder="1" applyAlignment="1" applyProtection="1">
      <alignment horizontal="right"/>
      <protection locked="0"/>
    </xf>
    <xf numFmtId="171" fontId="167" fillId="11" borderId="1" xfId="0" applyNumberFormat="1" applyFont="1" applyFill="1" applyBorder="1" applyAlignment="1" applyProtection="1">
      <alignment horizontal="right"/>
      <protection locked="0"/>
    </xf>
    <xf numFmtId="0" fontId="120" fillId="3" borderId="0" xfId="0" applyFont="1" applyFill="1" applyBorder="1"/>
    <xf numFmtId="0" fontId="182" fillId="3" borderId="0" xfId="0" applyFont="1" applyFill="1"/>
    <xf numFmtId="0" fontId="181" fillId="3" borderId="0" xfId="0" applyFont="1" applyFill="1"/>
    <xf numFmtId="0" fontId="183" fillId="3" borderId="0" xfId="0" applyFont="1" applyFill="1" applyBorder="1" applyAlignment="1">
      <alignment vertical="center"/>
    </xf>
    <xf numFmtId="0" fontId="41" fillId="3" borderId="0" xfId="0" applyFont="1" applyFill="1" applyAlignment="1">
      <alignment horizontal="justify"/>
    </xf>
    <xf numFmtId="164" fontId="92" fillId="3" borderId="186" xfId="0" applyNumberFormat="1" applyFont="1" applyFill="1" applyBorder="1" applyAlignment="1">
      <alignment horizontal="center" vertical="center" wrapText="1"/>
    </xf>
    <xf numFmtId="0" fontId="39" fillId="20" borderId="1" xfId="0" applyFont="1" applyFill="1" applyBorder="1" applyAlignment="1">
      <alignment horizontal="justify" vertical="top" wrapText="1"/>
    </xf>
    <xf numFmtId="0" fontId="5" fillId="3" borderId="156" xfId="4" applyFont="1" applyFill="1" applyBorder="1" applyAlignment="1" applyProtection="1">
      <alignment vertical="center"/>
      <protection locked="0"/>
    </xf>
    <xf numFmtId="0" fontId="5" fillId="3" borderId="159" xfId="4" applyFont="1" applyFill="1" applyBorder="1" applyAlignment="1" applyProtection="1">
      <alignment vertical="center"/>
      <protection locked="0"/>
    </xf>
    <xf numFmtId="0" fontId="58" fillId="2" borderId="0" xfId="0" applyFont="1" applyFill="1" applyProtection="1">
      <protection locked="0"/>
    </xf>
    <xf numFmtId="0" fontId="0" fillId="2" borderId="0" xfId="0" applyFill="1" applyBorder="1" applyProtection="1">
      <protection locked="0"/>
    </xf>
    <xf numFmtId="0" fontId="0" fillId="2" borderId="9" xfId="0" applyFill="1" applyBorder="1" applyProtection="1">
      <protection locked="0"/>
    </xf>
    <xf numFmtId="0" fontId="10" fillId="3" borderId="12" xfId="4" applyFont="1" applyFill="1" applyBorder="1" applyAlignment="1" applyProtection="1">
      <alignment vertical="center"/>
      <protection locked="0"/>
    </xf>
    <xf numFmtId="0" fontId="10" fillId="3" borderId="10" xfId="4" applyFont="1" applyFill="1" applyBorder="1" applyAlignment="1" applyProtection="1">
      <alignment vertical="center"/>
      <protection locked="0"/>
    </xf>
    <xf numFmtId="0" fontId="0" fillId="2" borderId="10" xfId="0" applyFill="1" applyBorder="1" applyProtection="1">
      <protection locked="0"/>
    </xf>
    <xf numFmtId="0" fontId="132" fillId="3" borderId="0" xfId="0" applyFont="1" applyFill="1" applyBorder="1" applyAlignment="1" applyProtection="1">
      <alignment horizontal="center"/>
    </xf>
    <xf numFmtId="0" fontId="37" fillId="3" borderId="0" xfId="0" applyFont="1" applyFill="1" applyBorder="1" applyAlignment="1">
      <alignment vertical="top" wrapText="1"/>
    </xf>
    <xf numFmtId="4" fontId="77" fillId="3" borderId="202" xfId="0" applyNumberFormat="1" applyFont="1" applyFill="1" applyBorder="1"/>
    <xf numFmtId="167" fontId="153" fillId="3" borderId="0" xfId="6" applyNumberFormat="1" applyFont="1" applyFill="1" applyAlignment="1">
      <alignment horizontal="center"/>
    </xf>
    <xf numFmtId="0" fontId="67" fillId="3" borderId="0" xfId="0" applyFont="1" applyFill="1" applyBorder="1" applyAlignment="1">
      <alignment vertical="center"/>
    </xf>
    <xf numFmtId="0" fontId="1" fillId="3" borderId="0" xfId="0" applyFont="1" applyFill="1" applyBorder="1" applyAlignment="1">
      <alignment horizontal="center"/>
    </xf>
    <xf numFmtId="0" fontId="0" fillId="0" borderId="0" xfId="0" applyBorder="1"/>
    <xf numFmtId="0" fontId="67" fillId="3" borderId="0" xfId="1" applyFont="1" applyFill="1" applyBorder="1" applyAlignment="1" applyProtection="1">
      <alignment horizontal="center" vertical="center"/>
    </xf>
    <xf numFmtId="0" fontId="5" fillId="3" borderId="3" xfId="0" applyFont="1" applyFill="1" applyBorder="1"/>
    <xf numFmtId="0" fontId="0" fillId="3" borderId="7" xfId="0" applyFill="1" applyBorder="1"/>
    <xf numFmtId="0" fontId="120" fillId="3" borderId="7" xfId="0" applyFont="1" applyFill="1" applyBorder="1" applyAlignment="1">
      <alignment vertical="center"/>
    </xf>
    <xf numFmtId="0" fontId="0" fillId="3" borderId="6" xfId="0" applyFill="1" applyBorder="1"/>
    <xf numFmtId="170" fontId="1" fillId="8" borderId="1" xfId="0" applyNumberFormat="1" applyFont="1" applyFill="1" applyBorder="1" applyProtection="1">
      <protection locked="0"/>
    </xf>
    <xf numFmtId="0" fontId="1" fillId="3" borderId="0" xfId="0" applyFont="1" applyFill="1" applyBorder="1" applyAlignment="1">
      <alignment horizontal="left" vertical="center" wrapText="1"/>
    </xf>
    <xf numFmtId="0" fontId="10" fillId="3" borderId="1" xfId="0" applyFont="1" applyFill="1" applyBorder="1"/>
    <xf numFmtId="4" fontId="36" fillId="3" borderId="1" xfId="0" applyNumberFormat="1" applyFont="1" applyFill="1" applyBorder="1"/>
    <xf numFmtId="0" fontId="36" fillId="3" borderId="1" xfId="0" applyFont="1" applyFill="1" applyBorder="1"/>
    <xf numFmtId="2" fontId="36" fillId="3" borderId="1" xfId="0" applyNumberFormat="1" applyFont="1" applyFill="1" applyBorder="1"/>
    <xf numFmtId="0" fontId="10" fillId="3" borderId="1" xfId="4" applyFont="1" applyFill="1" applyBorder="1" applyAlignment="1">
      <alignment vertical="center"/>
    </xf>
    <xf numFmtId="0" fontId="67" fillId="3" borderId="8" xfId="0" applyFont="1" applyFill="1" applyBorder="1" applyAlignment="1">
      <alignment horizontal="center"/>
    </xf>
    <xf numFmtId="0" fontId="24" fillId="3" borderId="9" xfId="0" applyFont="1" applyFill="1" applyBorder="1"/>
    <xf numFmtId="0" fontId="186" fillId="3" borderId="5" xfId="0" applyFont="1" applyFill="1" applyBorder="1"/>
    <xf numFmtId="0" fontId="158" fillId="3" borderId="5" xfId="0" applyFont="1" applyFill="1" applyBorder="1" applyAlignment="1"/>
    <xf numFmtId="0" fontId="0" fillId="3" borderId="5" xfId="0" applyFill="1" applyBorder="1" applyAlignment="1"/>
    <xf numFmtId="0" fontId="0" fillId="0" borderId="5" xfId="0" applyBorder="1"/>
    <xf numFmtId="0" fontId="2" fillId="3" borderId="1" xfId="0" applyFont="1" applyFill="1" applyBorder="1" applyAlignment="1">
      <alignment horizontal="center" wrapText="1"/>
    </xf>
    <xf numFmtId="0" fontId="1" fillId="3" borderId="1" xfId="0" applyFont="1" applyFill="1" applyBorder="1" applyAlignment="1">
      <alignment horizontal="left" vertical="center" wrapText="1"/>
    </xf>
    <xf numFmtId="0" fontId="1" fillId="3" borderId="1" xfId="0" applyFont="1" applyFill="1" applyBorder="1" applyAlignment="1">
      <alignment wrapText="1"/>
    </xf>
    <xf numFmtId="2" fontId="2" fillId="3" borderId="1" xfId="0" applyNumberFormat="1" applyFont="1" applyFill="1" applyBorder="1" applyAlignment="1">
      <alignment horizontal="center"/>
    </xf>
    <xf numFmtId="2" fontId="2" fillId="3" borderId="1" xfId="0" applyNumberFormat="1" applyFont="1" applyFill="1" applyBorder="1" applyAlignment="1">
      <alignment horizontal="center" vertical="center"/>
    </xf>
    <xf numFmtId="0" fontId="5" fillId="3" borderId="1" xfId="0" applyFont="1" applyFill="1" applyBorder="1" applyAlignment="1" applyProtection="1">
      <alignment horizontal="center" vertical="center" wrapText="1"/>
      <protection hidden="1"/>
    </xf>
    <xf numFmtId="164" fontId="5" fillId="3" borderId="1" xfId="0" applyNumberFormat="1" applyFont="1" applyFill="1" applyBorder="1" applyAlignment="1" applyProtection="1">
      <alignment horizontal="center" vertical="center" wrapText="1"/>
      <protection hidden="1"/>
    </xf>
    <xf numFmtId="164" fontId="5" fillId="3" borderId="65" xfId="0" applyNumberFormat="1" applyFont="1" applyFill="1" applyBorder="1" applyAlignment="1" applyProtection="1">
      <alignment horizontal="center" vertical="center" wrapText="1"/>
      <protection hidden="1"/>
    </xf>
    <xf numFmtId="164" fontId="5" fillId="3" borderId="64" xfId="0" applyNumberFormat="1" applyFont="1" applyFill="1" applyBorder="1" applyAlignment="1" applyProtection="1">
      <alignment horizontal="center" vertical="center" wrapText="1"/>
      <protection hidden="1"/>
    </xf>
    <xf numFmtId="164" fontId="1" fillId="3" borderId="1" xfId="0" applyNumberFormat="1" applyFont="1" applyFill="1" applyBorder="1" applyAlignment="1">
      <alignment horizontal="center" wrapText="1"/>
    </xf>
    <xf numFmtId="2" fontId="1" fillId="3" borderId="1" xfId="6" applyNumberFormat="1" applyFont="1" applyFill="1" applyBorder="1" applyAlignment="1">
      <alignment horizontal="center"/>
    </xf>
    <xf numFmtId="2" fontId="1" fillId="3" borderId="1" xfId="0" applyNumberFormat="1" applyFont="1" applyFill="1" applyBorder="1" applyAlignment="1">
      <alignment horizontal="center"/>
    </xf>
    <xf numFmtId="2" fontId="1" fillId="3" borderId="1" xfId="0" applyNumberFormat="1" applyFont="1" applyFill="1" applyBorder="1"/>
    <xf numFmtId="43" fontId="1" fillId="3" borderId="1" xfId="8" applyFont="1" applyFill="1" applyBorder="1" applyAlignment="1">
      <alignment horizontal="center" vertical="center" wrapText="1"/>
    </xf>
    <xf numFmtId="43" fontId="1" fillId="3" borderId="1" xfId="8" applyFont="1" applyFill="1" applyBorder="1"/>
    <xf numFmtId="0" fontId="1" fillId="3" borderId="1" xfId="4" applyFont="1" applyFill="1" applyBorder="1"/>
    <xf numFmtId="0" fontId="1" fillId="3" borderId="3" xfId="4" applyFont="1" applyFill="1" applyBorder="1"/>
    <xf numFmtId="0" fontId="1" fillId="3" borderId="8" xfId="4" applyFont="1" applyFill="1" applyBorder="1"/>
    <xf numFmtId="0" fontId="1" fillId="3" borderId="2" xfId="4" applyFont="1" applyFill="1" applyBorder="1"/>
    <xf numFmtId="0" fontId="1" fillId="3" borderId="12" xfId="4" applyFont="1" applyFill="1" applyBorder="1"/>
    <xf numFmtId="0" fontId="10" fillId="3" borderId="1" xfId="0" applyFont="1" applyFill="1" applyBorder="1" applyAlignment="1">
      <alignment horizontal="center" wrapText="1"/>
    </xf>
    <xf numFmtId="164" fontId="1" fillId="3" borderId="1" xfId="0" applyNumberFormat="1" applyFont="1" applyFill="1" applyBorder="1" applyAlignment="1">
      <alignment horizontal="center" vertical="center" wrapText="1"/>
    </xf>
    <xf numFmtId="2" fontId="5" fillId="3" borderId="1" xfId="0" applyNumberFormat="1" applyFont="1" applyFill="1" applyBorder="1" applyAlignment="1">
      <alignment horizontal="center" vertical="center"/>
    </xf>
    <xf numFmtId="43" fontId="5" fillId="3" borderId="1" xfId="8" applyFont="1" applyFill="1" applyBorder="1" applyAlignment="1">
      <alignment horizontal="left"/>
    </xf>
    <xf numFmtId="0" fontId="0" fillId="3" borderId="1" xfId="0" applyFill="1" applyBorder="1"/>
    <xf numFmtId="43" fontId="5" fillId="3" borderId="3" xfId="8" applyFont="1" applyFill="1" applyBorder="1" applyAlignment="1">
      <alignment horizontal="left"/>
    </xf>
    <xf numFmtId="0" fontId="5" fillId="3" borderId="1" xfId="8" applyNumberFormat="1" applyFont="1" applyFill="1" applyBorder="1" applyAlignment="1">
      <alignment horizontal="center"/>
    </xf>
    <xf numFmtId="0" fontId="1" fillId="3" borderId="15" xfId="4" applyFont="1" applyFill="1" applyBorder="1"/>
    <xf numFmtId="0" fontId="1" fillId="3" borderId="5" xfId="4" applyFont="1" applyFill="1" applyBorder="1"/>
    <xf numFmtId="0" fontId="107" fillId="3" borderId="0" xfId="0" applyFont="1" applyFill="1" applyBorder="1" applyAlignment="1">
      <alignment wrapText="1"/>
    </xf>
    <xf numFmtId="0" fontId="107" fillId="3" borderId="5" xfId="0" applyFont="1" applyFill="1" applyBorder="1" applyAlignment="1">
      <alignment wrapText="1"/>
    </xf>
    <xf numFmtId="43" fontId="5" fillId="3" borderId="1" xfId="8" applyFont="1" applyFill="1" applyBorder="1"/>
    <xf numFmtId="2" fontId="2" fillId="3" borderId="4" xfId="0" applyNumberFormat="1" applyFont="1" applyFill="1" applyBorder="1" applyAlignment="1">
      <alignment horizontal="center" vertical="center"/>
    </xf>
    <xf numFmtId="2" fontId="1" fillId="3" borderId="1" xfId="4" applyNumberFormat="1" applyFont="1" applyFill="1" applyBorder="1" applyAlignment="1">
      <alignment horizontal="left" vertical="center" wrapText="1"/>
    </xf>
    <xf numFmtId="0" fontId="107" fillId="3" borderId="5" xfId="0" applyFont="1" applyFill="1" applyBorder="1" applyAlignment="1">
      <alignment vertical="center" wrapText="1"/>
    </xf>
    <xf numFmtId="43" fontId="5" fillId="3" borderId="4" xfId="8" applyFont="1" applyFill="1" applyBorder="1"/>
    <xf numFmtId="2" fontId="5" fillId="3" borderId="4" xfId="4" applyNumberFormat="1" applyFont="1" applyFill="1" applyBorder="1"/>
    <xf numFmtId="0" fontId="1" fillId="3" borderId="1" xfId="0" applyFont="1" applyFill="1" applyBorder="1" applyAlignment="1">
      <alignment horizontal="center" wrapText="1"/>
    </xf>
    <xf numFmtId="2" fontId="1" fillId="3" borderId="1" xfId="0" applyNumberFormat="1" applyFont="1" applyFill="1" applyBorder="1" applyAlignment="1">
      <alignment horizontal="center" vertical="center"/>
    </xf>
    <xf numFmtId="2" fontId="1" fillId="3" borderId="1" xfId="0" applyNumberFormat="1" applyFont="1" applyFill="1" applyBorder="1" applyAlignment="1" applyProtection="1">
      <alignment horizontal="center" wrapText="1"/>
      <protection hidden="1"/>
    </xf>
    <xf numFmtId="0" fontId="10" fillId="3" borderId="1" xfId="1" applyFont="1" applyFill="1" applyBorder="1" applyAlignment="1" applyProtection="1">
      <alignment horizontal="center" vertical="center"/>
    </xf>
    <xf numFmtId="2" fontId="1" fillId="3" borderId="1" xfId="1" applyNumberFormat="1" applyFont="1" applyFill="1" applyBorder="1" applyAlignment="1" applyProtection="1">
      <alignment horizontal="center"/>
    </xf>
    <xf numFmtId="2" fontId="67" fillId="3" borderId="9" xfId="1" applyNumberFormat="1" applyFont="1" applyFill="1" applyBorder="1" applyAlignment="1" applyProtection="1">
      <alignment horizontal="center"/>
    </xf>
    <xf numFmtId="2" fontId="1" fillId="3" borderId="209" xfId="1" applyNumberFormat="1" applyFont="1" applyFill="1" applyBorder="1" applyAlignment="1" applyProtection="1">
      <alignment horizontal="center"/>
    </xf>
    <xf numFmtId="2" fontId="67" fillId="3" borderId="213" xfId="1" applyNumberFormat="1" applyFont="1" applyFill="1" applyBorder="1" applyAlignment="1" applyProtection="1">
      <alignment horizontal="center"/>
    </xf>
    <xf numFmtId="2" fontId="1" fillId="3" borderId="10" xfId="1" applyNumberFormat="1" applyFont="1" applyFill="1" applyBorder="1" applyAlignment="1" applyProtection="1">
      <alignment horizontal="center"/>
    </xf>
    <xf numFmtId="2" fontId="1" fillId="3" borderId="4" xfId="1" applyNumberFormat="1" applyFont="1" applyFill="1" applyBorder="1" applyAlignment="1" applyProtection="1">
      <alignment horizontal="center"/>
    </xf>
    <xf numFmtId="2" fontId="1" fillId="3" borderId="9" xfId="1" applyNumberFormat="1" applyFont="1" applyFill="1" applyBorder="1" applyAlignment="1" applyProtection="1">
      <alignment horizontal="center"/>
    </xf>
    <xf numFmtId="0" fontId="5" fillId="3" borderId="1" xfId="4" applyFont="1" applyFill="1" applyBorder="1" applyAlignment="1">
      <alignment horizontal="center" vertical="center"/>
    </xf>
    <xf numFmtId="2" fontId="1" fillId="3" borderId="1" xfId="4" applyNumberFormat="1" applyFont="1" applyFill="1" applyBorder="1" applyAlignment="1">
      <alignment horizontal="center"/>
    </xf>
    <xf numFmtId="2" fontId="1" fillId="3" borderId="4" xfId="4" applyNumberFormat="1" applyFont="1" applyFill="1" applyBorder="1" applyAlignment="1">
      <alignment horizontal="center"/>
    </xf>
    <xf numFmtId="2" fontId="5" fillId="3" borderId="1" xfId="0" applyNumberFormat="1" applyFont="1" applyFill="1" applyBorder="1"/>
    <xf numFmtId="0" fontId="5" fillId="3" borderId="1" xfId="0" applyFont="1" applyFill="1" applyBorder="1"/>
    <xf numFmtId="2" fontId="1" fillId="3" borderId="4" xfId="0" applyNumberFormat="1" applyFont="1" applyFill="1" applyBorder="1"/>
    <xf numFmtId="2" fontId="1" fillId="3" borderId="1" xfId="1" applyNumberFormat="1" applyFont="1" applyFill="1" applyBorder="1" applyAlignment="1" applyProtection="1">
      <alignment horizontal="center" vertical="center"/>
      <protection hidden="1"/>
    </xf>
    <xf numFmtId="0" fontId="1" fillId="3" borderId="2" xfId="0" applyFont="1" applyFill="1" applyBorder="1"/>
    <xf numFmtId="2" fontId="5" fillId="3" borderId="2" xfId="0" applyNumberFormat="1" applyFont="1" applyFill="1" applyBorder="1"/>
    <xf numFmtId="0" fontId="58" fillId="3" borderId="209" xfId="0" applyFont="1" applyFill="1" applyBorder="1"/>
    <xf numFmtId="2" fontId="67" fillId="3" borderId="10" xfId="1" applyNumberFormat="1" applyFont="1" applyFill="1" applyBorder="1" applyAlignment="1" applyProtection="1">
      <alignment horizontal="center"/>
    </xf>
    <xf numFmtId="0" fontId="67" fillId="3" borderId="10" xfId="1" applyFont="1" applyFill="1" applyBorder="1" applyAlignment="1" applyProtection="1">
      <alignment horizontal="center"/>
    </xf>
    <xf numFmtId="0" fontId="58" fillId="3" borderId="10" xfId="0" applyFont="1" applyFill="1" applyBorder="1"/>
    <xf numFmtId="0" fontId="58" fillId="3" borderId="214" xfId="0" applyFont="1" applyFill="1" applyBorder="1"/>
    <xf numFmtId="0" fontId="58" fillId="3" borderId="11" xfId="0" applyFont="1" applyFill="1" applyBorder="1"/>
    <xf numFmtId="0" fontId="107" fillId="3" borderId="15" xfId="1" applyFont="1" applyFill="1" applyBorder="1" applyAlignment="1" applyProtection="1">
      <alignment vertical="center"/>
    </xf>
    <xf numFmtId="0" fontId="67" fillId="3" borderId="5" xfId="1" applyFont="1" applyFill="1" applyBorder="1" applyAlignment="1" applyProtection="1">
      <alignment vertical="center"/>
    </xf>
    <xf numFmtId="0" fontId="1" fillId="3" borderId="5" xfId="1" applyFont="1" applyFill="1" applyBorder="1" applyAlignment="1" applyProtection="1">
      <alignment horizontal="center" vertical="center"/>
    </xf>
    <xf numFmtId="2" fontId="67" fillId="3" borderId="8" xfId="1" applyNumberFormat="1" applyFont="1" applyFill="1" applyBorder="1" applyAlignment="1" applyProtection="1">
      <alignment horizontal="center"/>
    </xf>
    <xf numFmtId="0" fontId="67" fillId="3" borderId="9" xfId="1" applyFont="1" applyFill="1" applyBorder="1" applyAlignment="1" applyProtection="1"/>
    <xf numFmtId="165" fontId="101" fillId="3" borderId="12" xfId="1" applyNumberFormat="1" applyFont="1" applyFill="1" applyBorder="1" applyAlignment="1" applyProtection="1">
      <alignment horizontal="center" vertical="center"/>
    </xf>
    <xf numFmtId="0" fontId="101" fillId="3" borderId="10" xfId="1" applyFont="1" applyFill="1" applyBorder="1" applyAlignment="1" applyProtection="1">
      <alignment horizontal="center"/>
    </xf>
    <xf numFmtId="2" fontId="101" fillId="3" borderId="10" xfId="1" applyNumberFormat="1" applyFont="1" applyFill="1" applyBorder="1" applyAlignment="1" applyProtection="1">
      <alignment horizontal="center"/>
    </xf>
    <xf numFmtId="0" fontId="101" fillId="3" borderId="10" xfId="1" applyFont="1" applyFill="1" applyBorder="1" applyAlignment="1" applyProtection="1"/>
    <xf numFmtId="0" fontId="101" fillId="3" borderId="11" xfId="1" applyFont="1" applyFill="1" applyBorder="1" applyAlignment="1" applyProtection="1"/>
    <xf numFmtId="0" fontId="67" fillId="3" borderId="15" xfId="1" applyFont="1" applyFill="1" applyBorder="1" applyAlignment="1" applyProtection="1">
      <alignment vertical="center"/>
    </xf>
    <xf numFmtId="2" fontId="67" fillId="3" borderId="12" xfId="1" applyNumberFormat="1" applyFont="1" applyFill="1" applyBorder="1" applyAlignment="1" applyProtection="1">
      <alignment horizontal="center"/>
    </xf>
    <xf numFmtId="0" fontId="67" fillId="3" borderId="11" xfId="1" applyFont="1" applyFill="1" applyBorder="1" applyAlignment="1" applyProtection="1"/>
    <xf numFmtId="0" fontId="69" fillId="3" borderId="15" xfId="1" applyFont="1" applyFill="1" applyBorder="1" applyAlignment="1" applyProtection="1">
      <alignment vertical="center"/>
    </xf>
    <xf numFmtId="2" fontId="107" fillId="3" borderId="9" xfId="1" applyNumberFormat="1" applyFont="1" applyFill="1" applyBorder="1" applyAlignment="1" applyProtection="1">
      <alignment horizontal="center"/>
    </xf>
    <xf numFmtId="2" fontId="107" fillId="3" borderId="10" xfId="1" applyNumberFormat="1" applyFont="1" applyFill="1" applyBorder="1" applyAlignment="1" applyProtection="1">
      <alignment horizontal="center"/>
    </xf>
    <xf numFmtId="2" fontId="107" fillId="3" borderId="11" xfId="1" applyNumberFormat="1" applyFont="1" applyFill="1" applyBorder="1" applyAlignment="1" applyProtection="1">
      <alignment horizontal="center"/>
    </xf>
    <xf numFmtId="2" fontId="5" fillId="3" borderId="1" xfId="1" applyNumberFormat="1" applyFont="1" applyFill="1" applyBorder="1" applyAlignment="1" applyProtection="1">
      <alignment horizontal="center" vertical="center"/>
      <protection hidden="1"/>
    </xf>
    <xf numFmtId="2" fontId="67" fillId="3" borderId="11" xfId="1" applyNumberFormat="1" applyFont="1" applyFill="1" applyBorder="1" applyAlignment="1" applyProtection="1">
      <alignment horizontal="center"/>
    </xf>
    <xf numFmtId="2" fontId="1" fillId="3" borderId="1" xfId="4" applyNumberFormat="1" applyFont="1" applyFill="1" applyBorder="1" applyAlignment="1">
      <alignment vertical="center" wrapText="1"/>
    </xf>
    <xf numFmtId="166" fontId="5" fillId="3" borderId="8" xfId="4" applyNumberFormat="1" applyFont="1" applyFill="1" applyBorder="1" applyAlignment="1">
      <alignment wrapText="1"/>
    </xf>
    <xf numFmtId="166" fontId="5" fillId="3" borderId="0" xfId="4" applyNumberFormat="1" applyFont="1" applyFill="1" applyBorder="1" applyAlignment="1">
      <alignment wrapText="1"/>
    </xf>
    <xf numFmtId="0" fontId="1" fillId="3" borderId="0" xfId="0" quotePrefix="1" applyFont="1" applyFill="1" applyBorder="1" applyAlignment="1">
      <alignment horizontal="center"/>
    </xf>
    <xf numFmtId="2" fontId="2" fillId="3" borderId="1" xfId="0" applyNumberFormat="1" applyFont="1" applyFill="1" applyBorder="1"/>
    <xf numFmtId="0" fontId="2" fillId="3" borderId="1" xfId="0" applyFont="1" applyFill="1" applyBorder="1"/>
    <xf numFmtId="0" fontId="5" fillId="3" borderId="0" xfId="0" applyFont="1" applyFill="1" applyBorder="1" applyAlignment="1">
      <alignment vertical="center" wrapText="1"/>
    </xf>
    <xf numFmtId="0" fontId="10" fillId="3" borderId="4" xfId="4" applyFont="1" applyFill="1" applyBorder="1" applyAlignment="1">
      <alignment vertical="center"/>
    </xf>
    <xf numFmtId="0" fontId="1" fillId="3" borderId="4" xfId="4" applyFont="1" applyFill="1" applyBorder="1"/>
    <xf numFmtId="0" fontId="2" fillId="3" borderId="5" xfId="0" applyFont="1" applyFill="1" applyBorder="1"/>
    <xf numFmtId="2" fontId="2" fillId="3" borderId="1" xfId="4" applyNumberFormat="1" applyFont="1" applyFill="1" applyBorder="1" applyAlignment="1">
      <alignment horizontal="center"/>
    </xf>
    <xf numFmtId="164" fontId="89" fillId="3" borderId="197" xfId="0" applyNumberFormat="1" applyFont="1" applyFill="1" applyBorder="1" applyAlignment="1">
      <alignment horizontal="center" vertical="center" wrapText="1"/>
    </xf>
    <xf numFmtId="164" fontId="89" fillId="3" borderId="64" xfId="0" applyNumberFormat="1" applyFont="1" applyFill="1" applyBorder="1" applyAlignment="1">
      <alignment horizontal="center" vertical="center" wrapText="1"/>
    </xf>
    <xf numFmtId="164" fontId="89" fillId="3" borderId="84" xfId="0" applyNumberFormat="1" applyFont="1" applyFill="1" applyBorder="1" applyAlignment="1">
      <alignment horizontal="center" vertical="center" wrapText="1"/>
    </xf>
    <xf numFmtId="0" fontId="24" fillId="0" borderId="14" xfId="0" applyFont="1" applyBorder="1"/>
    <xf numFmtId="0" fontId="34" fillId="3" borderId="222" xfId="0" applyFont="1" applyFill="1" applyBorder="1"/>
    <xf numFmtId="0" fontId="34" fillId="3" borderId="198" xfId="0" applyFont="1" applyFill="1" applyBorder="1"/>
    <xf numFmtId="0" fontId="24" fillId="0" borderId="183" xfId="0" applyFont="1" applyBorder="1"/>
    <xf numFmtId="0" fontId="24" fillId="3" borderId="184" xfId="0" applyFont="1" applyFill="1" applyBorder="1"/>
    <xf numFmtId="0" fontId="24" fillId="3" borderId="223" xfId="0" applyFont="1" applyFill="1" applyBorder="1"/>
    <xf numFmtId="0" fontId="24" fillId="3" borderId="200" xfId="0" applyFont="1" applyFill="1" applyBorder="1"/>
    <xf numFmtId="164" fontId="1" fillId="3" borderId="1" xfId="0" applyNumberFormat="1" applyFont="1" applyFill="1" applyBorder="1" applyAlignment="1">
      <alignment horizontal="center"/>
    </xf>
    <xf numFmtId="2" fontId="10" fillId="3" borderId="1" xfId="0" applyNumberFormat="1" applyFont="1" applyFill="1" applyBorder="1" applyAlignment="1">
      <alignment horizontal="center"/>
    </xf>
    <xf numFmtId="2" fontId="5" fillId="3" borderId="1" xfId="0" applyNumberFormat="1" applyFont="1" applyFill="1" applyBorder="1" applyAlignment="1">
      <alignment horizontal="center"/>
    </xf>
    <xf numFmtId="0" fontId="5" fillId="3" borderId="1" xfId="0" applyFont="1" applyFill="1" applyBorder="1" applyAlignment="1">
      <alignment horizontal="center" vertical="center"/>
    </xf>
    <xf numFmtId="0" fontId="1" fillId="3" borderId="1" xfId="0" applyFont="1" applyFill="1" applyBorder="1" applyAlignment="1">
      <alignment vertical="center"/>
    </xf>
    <xf numFmtId="2" fontId="1" fillId="3" borderId="1" xfId="0" applyNumberFormat="1" applyFont="1" applyFill="1" applyBorder="1" applyAlignment="1">
      <alignment vertical="center"/>
    </xf>
    <xf numFmtId="0" fontId="2" fillId="10" borderId="1" xfId="4" applyFont="1" applyFill="1" applyBorder="1"/>
    <xf numFmtId="0" fontId="1" fillId="10" borderId="1" xfId="4" applyFont="1" applyFill="1" applyBorder="1" applyAlignment="1">
      <alignment horizontal="center" vertical="center"/>
    </xf>
    <xf numFmtId="2" fontId="10" fillId="3" borderId="1" xfId="4" applyNumberFormat="1" applyFont="1" applyFill="1" applyBorder="1" applyAlignment="1">
      <alignment horizontal="center"/>
    </xf>
    <xf numFmtId="0" fontId="1" fillId="3" borderId="1" xfId="4" applyFont="1" applyFill="1" applyBorder="1" applyAlignment="1">
      <alignment horizontal="center"/>
    </xf>
    <xf numFmtId="0" fontId="1" fillId="3" borderId="1" xfId="4" applyFont="1" applyFill="1" applyBorder="1" applyAlignment="1"/>
    <xf numFmtId="0" fontId="7" fillId="3" borderId="1" xfId="4" applyFont="1" applyFill="1" applyBorder="1" applyAlignment="1">
      <alignment horizontal="center"/>
    </xf>
    <xf numFmtId="0" fontId="2" fillId="3" borderId="1" xfId="4" applyFont="1" applyFill="1" applyBorder="1" applyAlignment="1">
      <alignment horizontal="center"/>
    </xf>
    <xf numFmtId="43" fontId="1" fillId="3" borderId="4" xfId="8" applyFont="1" applyFill="1" applyBorder="1"/>
    <xf numFmtId="43" fontId="2" fillId="3" borderId="1" xfId="8" applyFont="1" applyFill="1" applyBorder="1"/>
    <xf numFmtId="0" fontId="9" fillId="3" borderId="1" xfId="4" applyFont="1" applyFill="1" applyBorder="1"/>
    <xf numFmtId="0" fontId="5" fillId="3" borderId="1" xfId="4" applyFont="1" applyFill="1" applyBorder="1"/>
    <xf numFmtId="0" fontId="5" fillId="3" borderId="1" xfId="4" applyFont="1" applyFill="1" applyBorder="1" applyAlignment="1">
      <alignment vertical="center"/>
    </xf>
    <xf numFmtId="0" fontId="5" fillId="3" borderId="4" xfId="4" applyFont="1" applyFill="1" applyBorder="1"/>
    <xf numFmtId="167" fontId="10" fillId="3" borderId="1" xfId="4" applyNumberFormat="1" applyFont="1" applyFill="1" applyBorder="1" applyAlignment="1" applyProtection="1">
      <alignment horizontal="center" vertical="center" wrapText="1"/>
      <protection hidden="1"/>
    </xf>
    <xf numFmtId="164" fontId="10" fillId="3" borderId="1" xfId="4" applyNumberFormat="1" applyFont="1" applyFill="1" applyBorder="1" applyAlignment="1" applyProtection="1">
      <alignment horizontal="center" vertical="center"/>
      <protection hidden="1"/>
    </xf>
    <xf numFmtId="167" fontId="5" fillId="3" borderId="1" xfId="7" applyNumberFormat="1" applyFont="1" applyFill="1" applyBorder="1" applyAlignment="1">
      <alignment horizontal="center"/>
    </xf>
    <xf numFmtId="0" fontId="1" fillId="3" borderId="1" xfId="4" applyFont="1" applyFill="1" applyBorder="1" applyAlignment="1" applyProtection="1">
      <alignment vertical="center" wrapText="1"/>
      <protection hidden="1"/>
    </xf>
    <xf numFmtId="2" fontId="1" fillId="3" borderId="1" xfId="0" applyNumberFormat="1" applyFont="1" applyFill="1" applyBorder="1" applyAlignment="1"/>
    <xf numFmtId="9" fontId="10" fillId="3" borderId="1" xfId="4" applyNumberFormat="1" applyFont="1" applyFill="1" applyBorder="1" applyAlignment="1">
      <alignment horizontal="left" vertical="center"/>
    </xf>
    <xf numFmtId="0" fontId="81" fillId="3" borderId="1" xfId="4" applyFont="1" applyFill="1" applyBorder="1" applyAlignment="1">
      <alignment horizontal="center" vertical="center"/>
    </xf>
    <xf numFmtId="0" fontId="85" fillId="3" borderId="0" xfId="0" applyFont="1" applyFill="1" applyBorder="1"/>
    <xf numFmtId="0" fontId="36" fillId="3" borderId="0" xfId="0" applyFont="1" applyFill="1" applyBorder="1" applyAlignment="1"/>
    <xf numFmtId="0" fontId="104" fillId="3" borderId="3" xfId="4" applyFont="1" applyFill="1" applyBorder="1"/>
    <xf numFmtId="0" fontId="104" fillId="3" borderId="3" xfId="0" applyFont="1" applyFill="1" applyBorder="1"/>
    <xf numFmtId="164" fontId="1" fillId="3" borderId="1" xfId="4" applyNumberFormat="1" applyFont="1" applyFill="1" applyBorder="1" applyAlignment="1" applyProtection="1">
      <alignment horizontal="center" vertical="center"/>
      <protection hidden="1"/>
    </xf>
    <xf numFmtId="169" fontId="1" fillId="3" borderId="1" xfId="8" applyNumberFormat="1" applyFont="1" applyFill="1" applyBorder="1" applyAlignment="1">
      <alignment horizontal="center"/>
    </xf>
    <xf numFmtId="167" fontId="1" fillId="3" borderId="1" xfId="4" applyNumberFormat="1" applyFont="1" applyFill="1" applyBorder="1" applyAlignment="1">
      <alignment horizontal="center"/>
    </xf>
    <xf numFmtId="167" fontId="1" fillId="3" borderId="1" xfId="4" applyNumberFormat="1" applyFont="1" applyFill="1" applyBorder="1" applyAlignment="1" applyProtection="1">
      <alignment horizontal="center" vertical="center" wrapText="1"/>
      <protection hidden="1"/>
    </xf>
    <xf numFmtId="0" fontId="1" fillId="3" borderId="1" xfId="4" applyFont="1" applyFill="1" applyBorder="1" applyAlignment="1">
      <alignment wrapText="1"/>
    </xf>
    <xf numFmtId="0" fontId="2" fillId="3" borderId="1" xfId="4" applyFont="1" applyFill="1" applyBorder="1" applyAlignment="1">
      <alignment wrapText="1"/>
    </xf>
    <xf numFmtId="0" fontId="1" fillId="3" borderId="1" xfId="1" applyFont="1" applyFill="1" applyBorder="1" applyAlignment="1" applyProtection="1">
      <alignment horizontal="center"/>
    </xf>
    <xf numFmtId="10" fontId="1" fillId="3" borderId="1" xfId="6" applyNumberFormat="1" applyFont="1" applyFill="1" applyBorder="1"/>
    <xf numFmtId="2" fontId="1" fillId="3" borderId="1" xfId="4" applyNumberFormat="1" applyFont="1" applyFill="1" applyBorder="1"/>
    <xf numFmtId="10" fontId="7" fillId="3" borderId="1" xfId="6" applyNumberFormat="1" applyFont="1" applyFill="1" applyBorder="1" applyAlignment="1">
      <alignment horizontal="center" vertical="center"/>
    </xf>
    <xf numFmtId="0" fontId="69" fillId="3" borderId="0" xfId="0" applyFont="1" applyFill="1" applyBorder="1" applyAlignment="1">
      <alignment wrapText="1"/>
    </xf>
    <xf numFmtId="9" fontId="69" fillId="3" borderId="0" xfId="0" applyNumberFormat="1" applyFont="1" applyFill="1" applyBorder="1" applyAlignment="1">
      <alignment vertical="center" wrapText="1"/>
    </xf>
    <xf numFmtId="2" fontId="1" fillId="3" borderId="1" xfId="0" applyNumberFormat="1" applyFont="1" applyFill="1" applyBorder="1" applyAlignment="1">
      <alignment horizontal="right"/>
    </xf>
    <xf numFmtId="2" fontId="1" fillId="3" borderId="1" xfId="0" applyNumberFormat="1" applyFont="1" applyFill="1" applyBorder="1" applyAlignment="1">
      <alignment horizontal="right" vertical="center"/>
    </xf>
    <xf numFmtId="0" fontId="107" fillId="3" borderId="0" xfId="4" applyFont="1" applyFill="1" applyBorder="1" applyAlignment="1">
      <alignment wrapText="1"/>
    </xf>
    <xf numFmtId="0" fontId="111" fillId="3" borderId="1" xfId="4" applyFont="1" applyFill="1" applyBorder="1" applyAlignment="1">
      <alignment wrapText="1"/>
    </xf>
    <xf numFmtId="2" fontId="8" fillId="3" borderId="1" xfId="0" applyNumberFormat="1" applyFont="1" applyFill="1" applyBorder="1" applyAlignment="1">
      <alignment horizontal="center" vertical="center"/>
    </xf>
    <xf numFmtId="43" fontId="5" fillId="3" borderId="1" xfId="8" applyFont="1" applyFill="1" applyBorder="1" applyAlignment="1">
      <alignment horizontal="center" vertical="center"/>
    </xf>
    <xf numFmtId="2" fontId="107" fillId="3" borderId="1" xfId="0" applyNumberFormat="1" applyFont="1" applyFill="1" applyBorder="1" applyAlignment="1">
      <alignment horizontal="center"/>
    </xf>
    <xf numFmtId="168" fontId="5" fillId="3" borderId="1" xfId="8" applyNumberFormat="1" applyFont="1" applyFill="1" applyBorder="1" applyAlignment="1">
      <alignment horizontal="center" vertical="center" wrapText="1"/>
    </xf>
    <xf numFmtId="2" fontId="6" fillId="3" borderId="1" xfId="0" applyNumberFormat="1" applyFont="1" applyFill="1" applyBorder="1" applyAlignment="1">
      <alignment horizontal="center" vertical="center"/>
    </xf>
    <xf numFmtId="2" fontId="111" fillId="3" borderId="1" xfId="4" applyNumberFormat="1" applyFont="1" applyFill="1" applyBorder="1"/>
    <xf numFmtId="2" fontId="1" fillId="3" borderId="1" xfId="0" applyNumberFormat="1" applyFont="1" applyFill="1" applyBorder="1" applyAlignment="1" applyProtection="1">
      <alignment horizontal="center" vertical="center"/>
      <protection locked="0"/>
    </xf>
    <xf numFmtId="0" fontId="1" fillId="10" borderId="3" xfId="0" applyFont="1" applyFill="1" applyBorder="1" applyAlignment="1">
      <alignment horizontal="left"/>
    </xf>
    <xf numFmtId="0" fontId="1" fillId="10" borderId="7" xfId="4" applyFont="1" applyFill="1" applyBorder="1"/>
    <xf numFmtId="0" fontId="1" fillId="10" borderId="7" xfId="0" applyFont="1" applyFill="1" applyBorder="1"/>
    <xf numFmtId="0" fontId="1" fillId="10" borderId="7" xfId="4" applyFont="1" applyFill="1" applyBorder="1" applyAlignment="1"/>
    <xf numFmtId="0" fontId="1" fillId="10" borderId="6" xfId="4" applyFont="1" applyFill="1" applyBorder="1"/>
    <xf numFmtId="0" fontId="6" fillId="3" borderId="1" xfId="0" applyFont="1" applyFill="1" applyBorder="1" applyAlignment="1">
      <alignment horizontal="center"/>
    </xf>
    <xf numFmtId="0" fontId="107" fillId="3" borderId="0" xfId="0" applyFont="1" applyFill="1" applyBorder="1"/>
    <xf numFmtId="0" fontId="1" fillId="3" borderId="1" xfId="0" applyFont="1" applyFill="1" applyBorder="1" applyAlignment="1">
      <alignment horizontal="left" vertical="center"/>
    </xf>
    <xf numFmtId="167" fontId="5" fillId="3" borderId="1" xfId="6" applyNumberFormat="1" applyFont="1" applyFill="1" applyBorder="1" applyAlignment="1">
      <alignment horizontal="center"/>
    </xf>
    <xf numFmtId="2" fontId="8" fillId="3" borderId="1" xfId="4" applyNumberFormat="1" applyFont="1" applyFill="1" applyBorder="1" applyAlignment="1">
      <alignment horizontal="center"/>
    </xf>
    <xf numFmtId="9" fontId="8" fillId="3" borderId="1" xfId="6" applyFont="1" applyFill="1" applyBorder="1" applyAlignment="1">
      <alignment horizontal="center"/>
    </xf>
    <xf numFmtId="165" fontId="107" fillId="3" borderId="8" xfId="4" applyNumberFormat="1" applyFont="1" applyFill="1" applyBorder="1" applyAlignment="1">
      <alignment horizontal="center"/>
    </xf>
    <xf numFmtId="0" fontId="5" fillId="3" borderId="9" xfId="0" applyFont="1" applyFill="1" applyBorder="1"/>
    <xf numFmtId="0" fontId="107" fillId="3" borderId="8" xfId="0" applyFont="1" applyFill="1" applyBorder="1" applyAlignment="1">
      <alignment horizontal="center" vertical="center"/>
    </xf>
    <xf numFmtId="2" fontId="107" fillId="3" borderId="12" xfId="4" applyNumberFormat="1" applyFont="1" applyFill="1" applyBorder="1" applyAlignment="1">
      <alignment horizontal="center" vertical="center"/>
    </xf>
    <xf numFmtId="0" fontId="25" fillId="8" borderId="41" xfId="0" applyFont="1" applyFill="1" applyBorder="1" applyAlignment="1" applyProtection="1">
      <alignment horizontal="center"/>
      <protection locked="0"/>
    </xf>
    <xf numFmtId="0" fontId="10" fillId="8" borderId="39" xfId="0" applyFont="1" applyFill="1" applyBorder="1" applyAlignment="1" applyProtection="1">
      <alignment horizontal="center" vertical="center" wrapText="1"/>
      <protection locked="0"/>
    </xf>
    <xf numFmtId="0" fontId="10" fillId="8" borderId="44" xfId="0" applyFont="1" applyFill="1" applyBorder="1" applyAlignment="1" applyProtection="1">
      <alignment horizontal="center" vertical="center" wrapText="1"/>
      <protection locked="0"/>
    </xf>
    <xf numFmtId="2" fontId="25" fillId="8" borderId="39" xfId="0" applyNumberFormat="1" applyFont="1" applyFill="1" applyBorder="1" applyAlignment="1" applyProtection="1">
      <alignment horizontal="right" vertical="center"/>
      <protection locked="0"/>
    </xf>
    <xf numFmtId="164" fontId="39" fillId="3" borderId="1" xfId="0" applyNumberFormat="1" applyFont="1" applyFill="1" applyBorder="1" applyAlignment="1">
      <alignment horizontal="right" vertical="center"/>
    </xf>
    <xf numFmtId="171" fontId="25" fillId="8" borderId="7" xfId="0" applyNumberFormat="1" applyFont="1" applyFill="1" applyBorder="1" applyAlignment="1" applyProtection="1">
      <alignment horizontal="right"/>
      <protection locked="0"/>
    </xf>
    <xf numFmtId="171" fontId="25" fillId="8" borderId="41" xfId="0" applyNumberFormat="1" applyFont="1" applyFill="1" applyBorder="1" applyAlignment="1" applyProtection="1">
      <alignment horizontal="right"/>
      <protection locked="0"/>
    </xf>
    <xf numFmtId="2" fontId="25" fillId="8" borderId="10" xfId="0" applyNumberFormat="1" applyFont="1" applyFill="1" applyBorder="1" applyAlignment="1" applyProtection="1">
      <alignment horizontal="right"/>
      <protection locked="0"/>
    </xf>
    <xf numFmtId="2" fontId="25" fillId="8" borderId="40" xfId="0" applyNumberFormat="1" applyFont="1" applyFill="1" applyBorder="1" applyAlignment="1" applyProtection="1">
      <alignment horizontal="right"/>
      <protection locked="0"/>
    </xf>
    <xf numFmtId="2" fontId="25" fillId="8" borderId="43" xfId="0" applyNumberFormat="1" applyFont="1" applyFill="1" applyBorder="1" applyAlignment="1" applyProtection="1">
      <alignment horizontal="right"/>
      <protection locked="0"/>
    </xf>
    <xf numFmtId="171" fontId="25" fillId="3" borderId="3" xfId="0" applyNumberFormat="1" applyFont="1" applyFill="1" applyBorder="1" applyAlignment="1">
      <alignment horizontal="right" vertical="center"/>
    </xf>
    <xf numFmtId="171" fontId="25" fillId="3" borderId="96" xfId="0" applyNumberFormat="1" applyFont="1" applyFill="1" applyBorder="1" applyAlignment="1">
      <alignment horizontal="right" vertical="center"/>
    </xf>
    <xf numFmtId="171" fontId="25" fillId="3" borderId="41" xfId="0" applyNumberFormat="1" applyFont="1" applyFill="1" applyBorder="1" applyAlignment="1">
      <alignment horizontal="right" vertical="center"/>
    </xf>
    <xf numFmtId="0" fontId="5" fillId="8" borderId="7" xfId="0" applyFont="1" applyFill="1" applyBorder="1" applyAlignment="1" applyProtection="1">
      <alignment horizontal="center" vertical="center" wrapText="1"/>
      <protection locked="0"/>
    </xf>
    <xf numFmtId="2" fontId="25" fillId="8" borderId="41" xfId="0" applyNumberFormat="1" applyFont="1" applyFill="1" applyBorder="1" applyAlignment="1" applyProtection="1">
      <alignment horizontal="right" vertical="center"/>
      <protection locked="0"/>
    </xf>
    <xf numFmtId="171" fontId="25" fillId="8" borderId="39" xfId="0" applyNumberFormat="1" applyFont="1" applyFill="1" applyBorder="1" applyAlignment="1" applyProtection="1">
      <alignment horizontal="right" vertical="center"/>
      <protection locked="0"/>
    </xf>
    <xf numFmtId="164" fontId="25" fillId="3" borderId="1" xfId="0" applyNumberFormat="1" applyFont="1" applyFill="1" applyBorder="1" applyAlignment="1">
      <alignment horizontal="right" vertical="center"/>
    </xf>
    <xf numFmtId="0" fontId="25" fillId="8" borderId="225" xfId="0" applyFont="1" applyFill="1" applyBorder="1" applyAlignment="1" applyProtection="1">
      <alignment horizontal="center"/>
      <protection locked="0"/>
    </xf>
    <xf numFmtId="0" fontId="25" fillId="8" borderId="38" xfId="0" applyFont="1" applyFill="1" applyBorder="1" applyAlignment="1" applyProtection="1">
      <alignment horizontal="center"/>
      <protection locked="0"/>
    </xf>
    <xf numFmtId="0" fontId="25" fillId="8" borderId="42" xfId="0" applyFont="1" applyFill="1" applyBorder="1" applyAlignment="1" applyProtection="1">
      <alignment horizontal="center"/>
      <protection locked="0"/>
    </xf>
    <xf numFmtId="0" fontId="25" fillId="8" borderId="45" xfId="0" applyFont="1" applyFill="1" applyBorder="1" applyAlignment="1" applyProtection="1">
      <alignment horizontal="center"/>
      <protection locked="0"/>
    </xf>
    <xf numFmtId="0" fontId="25" fillId="12" borderId="146" xfId="10" applyFont="1" applyFill="1" applyBorder="1" applyAlignment="1" applyProtection="1">
      <alignment horizontal="center" vertical="center" wrapText="1"/>
      <protection locked="0"/>
    </xf>
    <xf numFmtId="0" fontId="25" fillId="12" borderId="78" xfId="10" applyFont="1" applyFill="1" applyBorder="1" applyAlignment="1" applyProtection="1">
      <alignment horizontal="center" vertical="center" wrapText="1"/>
      <protection locked="0"/>
    </xf>
    <xf numFmtId="0" fontId="25" fillId="8" borderId="42" xfId="0" applyFont="1" applyFill="1" applyBorder="1" applyAlignment="1" applyProtection="1">
      <alignment horizontal="center" vertical="center"/>
      <protection locked="0"/>
    </xf>
    <xf numFmtId="0" fontId="25" fillId="3" borderId="0" xfId="0" applyFont="1" applyFill="1" applyBorder="1" applyAlignment="1">
      <alignment horizontal="left" vertical="center" wrapText="1"/>
    </xf>
    <xf numFmtId="0" fontId="39" fillId="8" borderId="44" xfId="0" applyFont="1" applyFill="1" applyBorder="1" applyAlignment="1" applyProtection="1">
      <alignment horizontal="center" vertical="center"/>
      <protection locked="0"/>
    </xf>
    <xf numFmtId="171" fontId="2" fillId="12" borderId="146" xfId="10" applyNumberFormat="1" applyFont="1" applyFill="1" applyBorder="1" applyAlignment="1" applyProtection="1">
      <alignment horizontal="right"/>
      <protection locked="0"/>
    </xf>
    <xf numFmtId="171" fontId="2" fillId="12" borderId="78" xfId="10" applyNumberFormat="1" applyFont="1" applyFill="1" applyBorder="1" applyAlignment="1" applyProtection="1">
      <alignment horizontal="right"/>
      <protection locked="0"/>
    </xf>
    <xf numFmtId="171" fontId="24" fillId="8" borderId="41" xfId="0" applyNumberFormat="1" applyFont="1" applyFill="1" applyBorder="1" applyAlignment="1" applyProtection="1">
      <alignment horizontal="right" vertical="center"/>
      <protection locked="0"/>
    </xf>
    <xf numFmtId="0" fontId="25" fillId="8" borderId="44" xfId="0" applyFont="1" applyFill="1" applyBorder="1" applyAlignment="1" applyProtection="1">
      <alignment horizontal="right" vertical="center"/>
      <protection locked="0"/>
    </xf>
    <xf numFmtId="166" fontId="25" fillId="8" borderId="44" xfId="0" applyNumberFormat="1" applyFont="1" applyFill="1" applyBorder="1" applyAlignment="1" applyProtection="1">
      <alignment horizontal="right" vertical="center"/>
      <protection locked="0"/>
    </xf>
    <xf numFmtId="2" fontId="25" fillId="8" borderId="44" xfId="0" applyNumberFormat="1" applyFont="1" applyFill="1" applyBorder="1" applyAlignment="1" applyProtection="1">
      <alignment horizontal="right" vertical="center"/>
      <protection locked="0"/>
    </xf>
    <xf numFmtId="3" fontId="25" fillId="8" borderId="44" xfId="8" applyNumberFormat="1" applyFont="1" applyFill="1" applyBorder="1" applyAlignment="1" applyProtection="1">
      <alignment horizontal="right" vertical="center"/>
      <protection locked="0"/>
    </xf>
    <xf numFmtId="171" fontId="25" fillId="8" borderId="44" xfId="8" applyNumberFormat="1" applyFont="1" applyFill="1" applyBorder="1" applyAlignment="1" applyProtection="1">
      <alignment horizontal="right" vertical="center"/>
      <protection locked="0"/>
    </xf>
    <xf numFmtId="3" fontId="1" fillId="8" borderId="44" xfId="8" applyNumberFormat="1" applyFont="1" applyFill="1" applyBorder="1" applyAlignment="1" applyProtection="1">
      <alignment horizontal="right" vertical="center"/>
      <protection locked="0"/>
    </xf>
    <xf numFmtId="0" fontId="42" fillId="2" borderId="0" xfId="0" applyFont="1" applyFill="1" applyBorder="1" applyAlignment="1" applyProtection="1">
      <protection locked="0"/>
    </xf>
    <xf numFmtId="0" fontId="0" fillId="21" borderId="0" xfId="0" applyFont="1" applyFill="1"/>
    <xf numFmtId="0" fontId="188" fillId="0" borderId="1" xfId="0" applyFont="1" applyBorder="1"/>
    <xf numFmtId="0" fontId="189" fillId="22" borderId="1" xfId="0" applyFont="1" applyFill="1" applyBorder="1" applyAlignment="1">
      <alignment horizontal="center" vertical="center" wrapText="1"/>
    </xf>
    <xf numFmtId="0" fontId="189" fillId="22" borderId="1" xfId="0" applyFont="1" applyFill="1" applyBorder="1" applyAlignment="1">
      <alignment horizontal="center" vertical="center"/>
    </xf>
    <xf numFmtId="0" fontId="189" fillId="21" borderId="1" xfId="0" applyFont="1" applyFill="1" applyBorder="1" applyAlignment="1">
      <alignment horizontal="center" vertical="center" wrapText="1"/>
    </xf>
    <xf numFmtId="0" fontId="189" fillId="0" borderId="1" xfId="0" applyFont="1" applyBorder="1" applyAlignment="1">
      <alignment horizontal="center" vertical="center" wrapText="1"/>
    </xf>
    <xf numFmtId="0" fontId="189" fillId="23" borderId="1" xfId="0" applyFont="1" applyFill="1" applyBorder="1" applyAlignment="1">
      <alignment horizontal="center" vertical="center" wrapText="1"/>
    </xf>
    <xf numFmtId="0" fontId="189" fillId="24" borderId="1" xfId="0" applyFont="1" applyFill="1" applyBorder="1" applyAlignment="1">
      <alignment horizontal="center" vertical="center"/>
    </xf>
    <xf numFmtId="0" fontId="190" fillId="3" borderId="0" xfId="0" applyFont="1" applyFill="1"/>
    <xf numFmtId="0" fontId="188" fillId="0" borderId="4" xfId="0" applyFont="1" applyBorder="1"/>
    <xf numFmtId="0" fontId="188" fillId="3" borderId="5" xfId="0" applyFont="1" applyFill="1" applyBorder="1"/>
    <xf numFmtId="0" fontId="192" fillId="25" borderId="5" xfId="0" applyFont="1" applyFill="1" applyBorder="1" applyAlignment="1">
      <alignment horizontal="center" vertical="center" wrapText="1"/>
    </xf>
    <xf numFmtId="0" fontId="193" fillId="3" borderId="5" xfId="0" applyFont="1" applyFill="1" applyBorder="1" applyAlignment="1">
      <alignment horizontal="center" vertical="center"/>
    </xf>
    <xf numFmtId="0" fontId="194" fillId="3" borderId="5" xfId="0" applyFont="1" applyFill="1" applyBorder="1"/>
    <xf numFmtId="0" fontId="193" fillId="24" borderId="5" xfId="0" applyFont="1" applyFill="1" applyBorder="1" applyAlignment="1">
      <alignment horizontal="center" vertical="center"/>
    </xf>
    <xf numFmtId="0" fontId="188" fillId="3" borderId="10" xfId="0" applyFont="1" applyFill="1" applyBorder="1"/>
    <xf numFmtId="0" fontId="192" fillId="25" borderId="10" xfId="0" applyFont="1" applyFill="1" applyBorder="1" applyAlignment="1">
      <alignment horizontal="center" vertical="center" wrapText="1"/>
    </xf>
    <xf numFmtId="0" fontId="193" fillId="3" borderId="10" xfId="0" applyFont="1" applyFill="1" applyBorder="1" applyAlignment="1">
      <alignment horizontal="center" vertical="center"/>
    </xf>
    <xf numFmtId="0" fontId="194" fillId="3" borderId="10" xfId="0" applyFont="1" applyFill="1" applyBorder="1"/>
    <xf numFmtId="0" fontId="193" fillId="24" borderId="10" xfId="0" applyFont="1" applyFill="1" applyBorder="1" applyAlignment="1">
      <alignment horizontal="center" vertical="center"/>
    </xf>
    <xf numFmtId="0" fontId="7" fillId="3" borderId="12" xfId="0" applyFont="1" applyFill="1" applyBorder="1" applyAlignment="1">
      <alignment vertical="center"/>
    </xf>
    <xf numFmtId="0" fontId="7" fillId="3" borderId="3" xfId="0" applyFont="1" applyFill="1" applyBorder="1" applyAlignment="1"/>
    <xf numFmtId="0" fontId="1" fillId="3" borderId="3" xfId="0" applyFont="1" applyFill="1" applyBorder="1" applyAlignment="1">
      <alignment wrapText="1"/>
    </xf>
    <xf numFmtId="0" fontId="7" fillId="3" borderId="15" xfId="0" applyFont="1" applyFill="1" applyBorder="1" applyAlignment="1"/>
    <xf numFmtId="0" fontId="7" fillId="3" borderId="5" xfId="0" applyFont="1" applyFill="1" applyBorder="1" applyAlignment="1"/>
    <xf numFmtId="171" fontId="24" fillId="3" borderId="5" xfId="8" applyNumberFormat="1" applyFont="1" applyFill="1" applyBorder="1" applyAlignment="1" applyProtection="1">
      <alignment horizontal="center" vertical="center"/>
      <protection locked="0"/>
    </xf>
    <xf numFmtId="171" fontId="190" fillId="3" borderId="5" xfId="8" applyNumberFormat="1" applyFont="1" applyFill="1" applyBorder="1" applyAlignment="1" applyProtection="1">
      <alignment horizontal="center" vertical="center"/>
    </xf>
    <xf numFmtId="0" fontId="190" fillId="3" borderId="5" xfId="0" applyFont="1" applyFill="1" applyBorder="1" applyAlignment="1">
      <alignment horizontal="center" vertical="center"/>
    </xf>
    <xf numFmtId="0" fontId="190" fillId="24" borderId="5" xfId="0" applyFont="1" applyFill="1" applyBorder="1" applyAlignment="1">
      <alignment horizontal="center" vertical="center"/>
    </xf>
    <xf numFmtId="0" fontId="7" fillId="3" borderId="10" xfId="0" applyFont="1" applyFill="1" applyBorder="1" applyAlignment="1"/>
    <xf numFmtId="171" fontId="24" fillId="3" borderId="10" xfId="8" applyNumberFormat="1" applyFont="1" applyFill="1" applyBorder="1" applyAlignment="1" applyProtection="1">
      <alignment horizontal="center" vertical="center"/>
      <protection locked="0"/>
    </xf>
    <xf numFmtId="171" fontId="190" fillId="3" borderId="10" xfId="8" applyNumberFormat="1" applyFont="1" applyFill="1" applyBorder="1" applyAlignment="1" applyProtection="1">
      <alignment horizontal="center" vertical="center"/>
    </xf>
    <xf numFmtId="0" fontId="190" fillId="3" borderId="10" xfId="0" applyFont="1" applyFill="1" applyBorder="1" applyAlignment="1">
      <alignment horizontal="center" vertical="center"/>
    </xf>
    <xf numFmtId="0" fontId="190" fillId="24" borderId="10" xfId="0" applyFont="1" applyFill="1" applyBorder="1" applyAlignment="1">
      <alignment horizontal="center" vertical="center"/>
    </xf>
    <xf numFmtId="0" fontId="191" fillId="0" borderId="2" xfId="0" applyFont="1" applyBorder="1"/>
    <xf numFmtId="0" fontId="190" fillId="0" borderId="2" xfId="0" applyFont="1" applyBorder="1" applyAlignment="1">
      <alignment horizontal="right"/>
    </xf>
    <xf numFmtId="2" fontId="190" fillId="0" borderId="2" xfId="0" applyNumberFormat="1" applyFont="1" applyBorder="1" applyAlignment="1">
      <alignment horizontal="right"/>
    </xf>
    <xf numFmtId="0" fontId="0" fillId="0" borderId="0" xfId="0" applyFont="1"/>
    <xf numFmtId="0" fontId="0" fillId="26" borderId="0" xfId="0" applyFill="1"/>
    <xf numFmtId="0" fontId="0" fillId="24" borderId="0" xfId="0" applyFill="1"/>
    <xf numFmtId="0" fontId="196" fillId="22" borderId="4" xfId="0" applyFont="1" applyFill="1" applyBorder="1" applyAlignment="1">
      <alignment horizontal="center" vertical="center" wrapText="1"/>
    </xf>
    <xf numFmtId="0" fontId="196" fillId="22" borderId="1" xfId="0" applyFont="1" applyFill="1" applyBorder="1" applyAlignment="1">
      <alignment horizontal="center" vertical="center" wrapText="1"/>
    </xf>
    <xf numFmtId="0" fontId="197" fillId="0" borderId="4" xfId="0" applyFont="1" applyBorder="1" applyAlignment="1">
      <alignment horizontal="center" vertical="center"/>
    </xf>
    <xf numFmtId="0" fontId="198" fillId="0" borderId="4" xfId="0" applyFont="1" applyBorder="1"/>
    <xf numFmtId="0" fontId="197" fillId="24" borderId="4" xfId="0" applyFont="1" applyFill="1" applyBorder="1" applyAlignment="1">
      <alignment horizontal="center" vertical="center"/>
    </xf>
    <xf numFmtId="0" fontId="5" fillId="3" borderId="0" xfId="0" applyFont="1" applyFill="1" applyBorder="1" applyAlignment="1">
      <alignment horizontal="left" vertical="center" wrapText="1"/>
    </xf>
    <xf numFmtId="0" fontId="79" fillId="15" borderId="29" xfId="0" applyFont="1" applyFill="1" applyBorder="1" applyAlignment="1" applyProtection="1">
      <alignment horizontal="center" vertical="center"/>
      <protection locked="0"/>
    </xf>
    <xf numFmtId="164" fontId="1" fillId="8" borderId="6" xfId="0" applyNumberFormat="1" applyFont="1" applyFill="1" applyBorder="1" applyAlignment="1" applyProtection="1">
      <alignment horizontal="center"/>
      <protection locked="0"/>
    </xf>
    <xf numFmtId="0" fontId="24" fillId="8" borderId="3" xfId="0" applyFont="1" applyFill="1" applyBorder="1" applyAlignment="1" applyProtection="1">
      <alignment horizontal="right"/>
      <protection locked="0"/>
    </xf>
    <xf numFmtId="0" fontId="7" fillId="8" borderId="7" xfId="0" applyFont="1" applyFill="1" applyBorder="1" applyAlignment="1" applyProtection="1">
      <alignment horizontal="center" vertical="center"/>
      <protection locked="0"/>
    </xf>
    <xf numFmtId="0" fontId="166" fillId="11" borderId="1" xfId="0" applyFont="1" applyFill="1" applyBorder="1" applyAlignment="1" applyProtection="1">
      <alignment horizontal="center"/>
      <protection locked="0"/>
    </xf>
    <xf numFmtId="0" fontId="2" fillId="8" borderId="3" xfId="0" applyFont="1" applyFill="1" applyBorder="1" applyAlignment="1" applyProtection="1">
      <alignment vertical="center"/>
      <protection locked="0"/>
    </xf>
    <xf numFmtId="0" fontId="2" fillId="8" borderId="39" xfId="0" applyFont="1" applyFill="1" applyBorder="1" applyAlignment="1" applyProtection="1">
      <alignment vertical="center"/>
      <protection locked="0"/>
    </xf>
    <xf numFmtId="0" fontId="1" fillId="8" borderId="3" xfId="0" applyFont="1" applyFill="1" applyBorder="1" applyAlignment="1" applyProtection="1">
      <alignment horizontal="center"/>
      <protection locked="0"/>
    </xf>
    <xf numFmtId="0" fontId="1" fillId="8" borderId="34" xfId="0" applyFont="1" applyFill="1" applyBorder="1" applyAlignment="1" applyProtection="1">
      <alignment horizontal="center" vertical="center" wrapText="1"/>
      <protection locked="0"/>
    </xf>
    <xf numFmtId="4" fontId="2" fillId="8" borderId="35" xfId="0" applyNumberFormat="1" applyFont="1" applyFill="1" applyBorder="1" applyAlignment="1" applyProtection="1">
      <alignment horizontal="right"/>
      <protection locked="0"/>
    </xf>
    <xf numFmtId="0" fontId="7" fillId="3" borderId="1" xfId="0" applyFont="1" applyFill="1" applyBorder="1" applyAlignment="1" applyProtection="1">
      <alignment horizontal="center"/>
    </xf>
    <xf numFmtId="4" fontId="2" fillId="8" borderId="11" xfId="0" applyNumberFormat="1" applyFont="1" applyFill="1" applyBorder="1" applyAlignment="1" applyProtection="1">
      <alignment horizontal="right"/>
      <protection locked="0"/>
    </xf>
    <xf numFmtId="167" fontId="2" fillId="3" borderId="29" xfId="6" applyNumberFormat="1" applyFont="1" applyFill="1" applyBorder="1" applyAlignment="1">
      <alignment horizontal="right" vertical="center"/>
    </xf>
    <xf numFmtId="0" fontId="10" fillId="3" borderId="16" xfId="0" applyFont="1" applyFill="1" applyBorder="1" applyAlignment="1">
      <alignment wrapText="1"/>
    </xf>
    <xf numFmtId="0" fontId="10" fillId="3" borderId="22" xfId="0" applyFont="1" applyFill="1" applyBorder="1" applyAlignment="1">
      <alignment wrapText="1"/>
    </xf>
    <xf numFmtId="0" fontId="10" fillId="3" borderId="1" xfId="0" applyFont="1" applyFill="1" applyBorder="1" applyAlignment="1" applyProtection="1">
      <alignment vertical="center" wrapText="1"/>
      <protection locked="0" hidden="1"/>
    </xf>
    <xf numFmtId="0" fontId="39" fillId="20" borderId="1" xfId="0" applyFont="1" applyFill="1" applyBorder="1" applyAlignment="1">
      <alignment horizontal="center" vertical="center" wrapText="1"/>
    </xf>
    <xf numFmtId="0" fontId="185" fillId="28" borderId="1" xfId="0" applyFont="1" applyFill="1" applyBorder="1" applyAlignment="1">
      <alignment horizontal="center" vertical="top" wrapText="1"/>
    </xf>
    <xf numFmtId="0" fontId="39" fillId="28" borderId="1" xfId="0" applyFont="1" applyFill="1" applyBorder="1" applyAlignment="1">
      <alignment horizontal="center" vertical="center" wrapText="1"/>
    </xf>
    <xf numFmtId="0" fontId="1" fillId="27" borderId="44" xfId="12" applyFont="1" applyFill="1" applyBorder="1" applyAlignment="1" applyProtection="1">
      <alignment horizontal="center"/>
      <protection locked="0"/>
    </xf>
    <xf numFmtId="0" fontId="1" fillId="27" borderId="227" xfId="12" applyFont="1" applyFill="1" applyBorder="1" applyAlignment="1" applyProtection="1">
      <alignment horizontal="center" vertical="center" wrapText="1"/>
      <protection locked="0"/>
    </xf>
    <xf numFmtId="164" fontId="1" fillId="8" borderId="149" xfId="0" applyNumberFormat="1" applyFont="1" applyFill="1" applyBorder="1" applyAlignment="1" applyProtection="1">
      <alignment horizontal="center"/>
      <protection locked="0"/>
    </xf>
    <xf numFmtId="4" fontId="2" fillId="8" borderId="231" xfId="0" applyNumberFormat="1" applyFont="1" applyFill="1" applyBorder="1" applyAlignment="1" applyProtection="1">
      <alignment horizontal="right" vertical="center"/>
      <protection locked="0"/>
    </xf>
    <xf numFmtId="4" fontId="2" fillId="8" borderId="45" xfId="2" applyNumberFormat="1" applyFont="1" applyFill="1" applyBorder="1" applyAlignment="1" applyProtection="1">
      <alignment horizontal="right" vertical="center"/>
      <protection locked="0"/>
    </xf>
    <xf numFmtId="4" fontId="2" fillId="8" borderId="232" xfId="0" applyNumberFormat="1" applyFont="1" applyFill="1" applyBorder="1" applyAlignment="1" applyProtection="1">
      <alignment horizontal="right" vertical="center"/>
      <protection locked="0"/>
    </xf>
    <xf numFmtId="4" fontId="2" fillId="8" borderId="44" xfId="2" applyNumberFormat="1" applyFont="1" applyFill="1" applyBorder="1" applyAlignment="1" applyProtection="1">
      <alignment horizontal="right" vertical="center"/>
      <protection locked="0"/>
    </xf>
    <xf numFmtId="3" fontId="2" fillId="8" borderId="3" xfId="0" applyNumberFormat="1" applyFont="1" applyFill="1" applyBorder="1" applyAlignment="1" applyProtection="1">
      <alignment horizontal="center" vertical="center"/>
      <protection locked="0"/>
    </xf>
    <xf numFmtId="0" fontId="7" fillId="3" borderId="0" xfId="0" applyFont="1" applyFill="1" applyBorder="1" applyAlignment="1">
      <alignment vertical="center"/>
    </xf>
    <xf numFmtId="0" fontId="205" fillId="3" borderId="0" xfId="0" applyFont="1" applyFill="1" applyBorder="1" applyAlignment="1">
      <alignment vertical="top"/>
    </xf>
    <xf numFmtId="0" fontId="153" fillId="3" borderId="20" xfId="0" applyFont="1" applyFill="1" applyBorder="1" applyAlignment="1">
      <alignment vertical="center" wrapText="1"/>
    </xf>
    <xf numFmtId="0" fontId="153" fillId="3" borderId="0" xfId="0" applyFont="1" applyFill="1" applyBorder="1" applyAlignment="1">
      <alignment vertical="center" wrapText="1"/>
    </xf>
    <xf numFmtId="0" fontId="7" fillId="8" borderId="2" xfId="0" applyFont="1" applyFill="1" applyBorder="1" applyAlignment="1" applyProtection="1">
      <alignment horizontal="center" vertical="center"/>
      <protection locked="0"/>
    </xf>
    <xf numFmtId="4" fontId="24" fillId="8" borderId="1" xfId="0" applyNumberFormat="1" applyFont="1" applyFill="1" applyBorder="1" applyAlignment="1" applyProtection="1">
      <alignment horizontal="right" vertical="center"/>
      <protection locked="0"/>
    </xf>
    <xf numFmtId="4" fontId="117" fillId="12" borderId="110" xfId="10" applyNumberFormat="1" applyFont="1" applyFill="1" applyBorder="1" applyAlignment="1" applyProtection="1">
      <alignment horizontal="right"/>
      <protection locked="0"/>
    </xf>
    <xf numFmtId="4" fontId="117" fillId="12" borderId="81" xfId="10" applyNumberFormat="1" applyFont="1" applyFill="1" applyBorder="1" applyAlignment="1" applyProtection="1">
      <alignment horizontal="right"/>
      <protection locked="0"/>
    </xf>
    <xf numFmtId="4" fontId="117" fillId="12" borderId="153" xfId="10" applyNumberFormat="1" applyFont="1" applyFill="1" applyBorder="1" applyAlignment="1" applyProtection="1">
      <alignment horizontal="right"/>
      <protection locked="0"/>
    </xf>
    <xf numFmtId="4" fontId="117" fillId="12" borderId="1" xfId="10" applyNumberFormat="1" applyFont="1" applyFill="1" applyBorder="1" applyAlignment="1" applyProtection="1">
      <alignment horizontal="right"/>
      <protection locked="0"/>
    </xf>
    <xf numFmtId="4" fontId="117" fillId="12" borderId="233" xfId="10" applyNumberFormat="1" applyFont="1" applyFill="1" applyBorder="1" applyAlignment="1" applyProtection="1">
      <alignment horizontal="right"/>
      <protection locked="0"/>
    </xf>
    <xf numFmtId="4" fontId="24" fillId="3" borderId="1" xfId="0" applyNumberFormat="1" applyFont="1" applyFill="1" applyBorder="1" applyAlignment="1">
      <alignment horizontal="right"/>
    </xf>
    <xf numFmtId="4" fontId="1" fillId="3" borderId="152" xfId="4" applyNumberFormat="1" applyFont="1" applyFill="1" applyBorder="1" applyAlignment="1">
      <alignment horizontal="right" vertical="center" wrapText="1"/>
    </xf>
    <xf numFmtId="4" fontId="2" fillId="3" borderId="1" xfId="0" applyNumberFormat="1" applyFont="1" applyFill="1" applyBorder="1" applyAlignment="1" applyProtection="1">
      <alignment horizontal="right"/>
      <protection locked="0"/>
    </xf>
    <xf numFmtId="4" fontId="2" fillId="27" borderId="60" xfId="12" applyNumberFormat="1" applyFont="1" applyFill="1" applyBorder="1" applyAlignment="1" applyProtection="1">
      <alignment horizontal="right"/>
      <protection locked="0"/>
    </xf>
    <xf numFmtId="2" fontId="2" fillId="8" borderId="3" xfId="4" applyNumberFormat="1" applyFont="1" applyFill="1" applyBorder="1" applyAlignment="1" applyProtection="1">
      <alignment horizontal="center"/>
      <protection locked="0"/>
    </xf>
    <xf numFmtId="2" fontId="2" fillId="8" borderId="37" xfId="4" applyNumberFormat="1" applyFont="1" applyFill="1" applyBorder="1" applyAlignment="1" applyProtection="1">
      <alignment horizontal="center"/>
      <protection locked="0"/>
    </xf>
    <xf numFmtId="2" fontId="2" fillId="8" borderId="36" xfId="4" applyNumberFormat="1" applyFont="1" applyFill="1" applyBorder="1" applyAlignment="1" applyProtection="1">
      <alignment horizontal="center"/>
      <protection locked="0"/>
    </xf>
    <xf numFmtId="164" fontId="2" fillId="8" borderId="1" xfId="4" applyNumberFormat="1" applyFont="1" applyFill="1" applyBorder="1" applyAlignment="1" applyProtection="1">
      <alignment horizontal="center"/>
      <protection locked="0"/>
    </xf>
    <xf numFmtId="164" fontId="2" fillId="8" borderId="1" xfId="4" applyNumberFormat="1" applyFont="1" applyFill="1" applyBorder="1" applyAlignment="1" applyProtection="1">
      <alignment horizontal="center" vertical="center"/>
      <protection locked="0"/>
    </xf>
    <xf numFmtId="2" fontId="2" fillId="8" borderId="1" xfId="4" applyNumberFormat="1" applyFont="1" applyFill="1" applyBorder="1" applyAlignment="1" applyProtection="1">
      <alignment horizontal="center"/>
      <protection locked="0"/>
    </xf>
    <xf numFmtId="164" fontId="24" fillId="8" borderId="1" xfId="0" applyNumberFormat="1" applyFont="1" applyFill="1" applyBorder="1" applyAlignment="1" applyProtection="1">
      <alignment horizontal="center"/>
      <protection locked="0"/>
    </xf>
    <xf numFmtId="173" fontId="24" fillId="8" borderId="1" xfId="0" applyNumberFormat="1" applyFont="1" applyFill="1" applyBorder="1" applyAlignment="1" applyProtection="1">
      <alignment horizontal="center" vertical="center"/>
      <protection locked="0"/>
    </xf>
    <xf numFmtId="3" fontId="24" fillId="8" borderId="1" xfId="0" applyNumberFormat="1" applyFont="1" applyFill="1" applyBorder="1" applyAlignment="1" applyProtection="1">
      <alignment horizontal="center" vertical="center"/>
      <protection locked="0"/>
    </xf>
    <xf numFmtId="166" fontId="24" fillId="8" borderId="3" xfId="0" applyNumberFormat="1" applyFont="1" applyFill="1" applyBorder="1" applyAlignment="1" applyProtection="1">
      <alignment vertical="center"/>
      <protection locked="0"/>
    </xf>
    <xf numFmtId="1" fontId="24" fillId="8" borderId="1" xfId="0" applyNumberFormat="1" applyFont="1" applyFill="1" applyBorder="1" applyAlignment="1" applyProtection="1">
      <alignment horizontal="center" vertical="center"/>
      <protection locked="0"/>
    </xf>
    <xf numFmtId="164" fontId="2" fillId="8" borderId="1" xfId="0" applyNumberFormat="1" applyFont="1" applyFill="1" applyBorder="1" applyAlignment="1" applyProtection="1">
      <alignment horizontal="center" vertical="center"/>
      <protection locked="0"/>
    </xf>
    <xf numFmtId="2" fontId="24" fillId="8" borderId="1" xfId="0" applyNumberFormat="1" applyFont="1" applyFill="1" applyBorder="1" applyAlignment="1" applyProtection="1">
      <alignment horizontal="center" vertical="center"/>
      <protection locked="0"/>
    </xf>
    <xf numFmtId="4" fontId="2" fillId="12" borderId="108" xfId="4" applyNumberFormat="1" applyFont="1" applyFill="1" applyBorder="1" applyAlignment="1" applyProtection="1">
      <alignment horizontal="center"/>
      <protection locked="0"/>
    </xf>
    <xf numFmtId="4" fontId="2" fillId="12" borderId="109" xfId="4" applyNumberFormat="1" applyFont="1" applyFill="1" applyBorder="1" applyAlignment="1" applyProtection="1">
      <alignment horizontal="center"/>
      <protection locked="0"/>
    </xf>
    <xf numFmtId="4" fontId="2" fillId="12" borderId="80" xfId="4" applyNumberFormat="1" applyFont="1" applyFill="1" applyBorder="1" applyAlignment="1" applyProtection="1">
      <alignment horizontal="center"/>
      <protection locked="0"/>
    </xf>
    <xf numFmtId="4" fontId="2" fillId="14" borderId="110" xfId="4" applyNumberFormat="1" applyFont="1" applyFill="1" applyBorder="1" applyAlignment="1" applyProtection="1">
      <alignment horizontal="center"/>
      <protection locked="0"/>
    </xf>
    <xf numFmtId="4" fontId="2" fillId="8" borderId="45" xfId="4" applyNumberFormat="1" applyFont="1" applyFill="1" applyBorder="1" applyAlignment="1" applyProtection="1">
      <alignment horizontal="center"/>
      <protection locked="0"/>
    </xf>
    <xf numFmtId="4" fontId="2" fillId="8" borderId="46" xfId="4" applyNumberFormat="1" applyFont="1" applyFill="1" applyBorder="1" applyAlignment="1" applyProtection="1">
      <alignment horizontal="center"/>
      <protection locked="0"/>
    </xf>
    <xf numFmtId="4" fontId="2" fillId="8" borderId="6" xfId="4" applyNumberFormat="1" applyFont="1" applyFill="1" applyBorder="1" applyAlignment="1" applyProtection="1">
      <alignment horizontal="center"/>
      <protection locked="0"/>
    </xf>
    <xf numFmtId="4" fontId="2" fillId="8" borderId="44" xfId="4" applyNumberFormat="1" applyFont="1" applyFill="1" applyBorder="1" applyAlignment="1" applyProtection="1">
      <alignment horizontal="center"/>
      <protection locked="0"/>
    </xf>
    <xf numFmtId="9" fontId="2" fillId="12" borderId="117" xfId="6" applyFont="1" applyFill="1" applyBorder="1" applyAlignment="1" applyProtection="1">
      <alignment horizontal="center" vertical="center" wrapText="1"/>
      <protection locked="0"/>
    </xf>
    <xf numFmtId="9" fontId="2" fillId="12" borderId="118" xfId="6" applyFont="1" applyFill="1" applyBorder="1" applyAlignment="1" applyProtection="1">
      <alignment horizontal="center" vertical="center" wrapText="1"/>
      <protection locked="0"/>
    </xf>
    <xf numFmtId="9" fontId="2" fillId="12" borderId="115" xfId="6" applyFont="1" applyFill="1" applyBorder="1" applyAlignment="1" applyProtection="1">
      <alignment horizontal="center" vertical="center" wrapText="1"/>
      <protection locked="0"/>
    </xf>
    <xf numFmtId="9" fontId="2" fillId="12" borderId="116" xfId="6" applyFont="1" applyFill="1" applyBorder="1" applyAlignment="1" applyProtection="1">
      <alignment horizontal="center" vertical="center" wrapText="1"/>
      <protection locked="0"/>
    </xf>
    <xf numFmtId="9" fontId="2" fillId="12" borderId="75" xfId="6" applyFont="1" applyFill="1" applyBorder="1" applyAlignment="1" applyProtection="1">
      <alignment horizontal="center" vertical="center" wrapText="1"/>
      <protection locked="0"/>
    </xf>
    <xf numFmtId="9" fontId="2" fillId="12" borderId="97" xfId="6" applyFont="1" applyFill="1" applyBorder="1" applyAlignment="1" applyProtection="1">
      <alignment horizontal="center" vertical="center" wrapText="1"/>
      <protection locked="0"/>
    </xf>
    <xf numFmtId="9" fontId="2" fillId="12" borderId="98" xfId="6" applyFont="1" applyFill="1" applyBorder="1" applyAlignment="1" applyProtection="1">
      <alignment horizontal="center" vertical="center" wrapText="1"/>
      <protection locked="0"/>
    </xf>
    <xf numFmtId="4" fontId="2" fillId="8" borderId="12" xfId="4" applyNumberFormat="1" applyFont="1" applyFill="1" applyBorder="1" applyAlignment="1" applyProtection="1">
      <alignment horizontal="center"/>
      <protection locked="0"/>
    </xf>
    <xf numFmtId="4" fontId="2" fillId="8" borderId="39" xfId="4" applyNumberFormat="1" applyFont="1" applyFill="1" applyBorder="1" applyAlignment="1" applyProtection="1">
      <alignment horizontal="center"/>
      <protection locked="0"/>
    </xf>
    <xf numFmtId="4" fontId="2" fillId="8" borderId="39" xfId="4" applyNumberFormat="1" applyFont="1" applyFill="1" applyBorder="1" applyAlignment="1" applyProtection="1">
      <alignment horizontal="center" vertical="center"/>
      <protection locked="0"/>
    </xf>
    <xf numFmtId="4" fontId="2" fillId="8" borderId="41" xfId="4" applyNumberFormat="1" applyFont="1" applyFill="1" applyBorder="1" applyAlignment="1" applyProtection="1">
      <alignment horizontal="center" vertical="center"/>
      <protection locked="0"/>
    </xf>
    <xf numFmtId="4" fontId="2" fillId="8" borderId="3" xfId="4" applyNumberFormat="1" applyFont="1" applyFill="1" applyBorder="1" applyAlignment="1" applyProtection="1">
      <alignment horizontal="center"/>
      <protection locked="0"/>
    </xf>
    <xf numFmtId="9" fontId="2" fillId="8" borderId="36" xfId="6" applyFont="1" applyFill="1" applyBorder="1" applyAlignment="1" applyProtection="1">
      <alignment horizontal="center" vertical="center"/>
      <protection locked="0"/>
    </xf>
    <xf numFmtId="167" fontId="2" fillId="8" borderId="1" xfId="0" applyNumberFormat="1" applyFont="1" applyFill="1" applyBorder="1" applyAlignment="1" applyProtection="1">
      <alignment horizontal="center" vertical="center" wrapText="1"/>
      <protection locked="0"/>
    </xf>
    <xf numFmtId="4" fontId="2" fillId="8" borderId="1" xfId="0" applyNumberFormat="1" applyFont="1" applyFill="1" applyBorder="1" applyAlignment="1" applyProtection="1">
      <alignment horizontal="center" vertical="center"/>
      <protection locked="0"/>
    </xf>
    <xf numFmtId="4" fontId="2" fillId="8" borderId="1" xfId="4" applyNumberFormat="1" applyFont="1" applyFill="1" applyBorder="1" applyAlignment="1" applyProtection="1">
      <alignment horizontal="center" vertical="center"/>
      <protection locked="0"/>
    </xf>
    <xf numFmtId="4" fontId="142" fillId="3" borderId="87" xfId="4" applyNumberFormat="1" applyFont="1" applyFill="1" applyBorder="1" applyAlignment="1">
      <alignment horizontal="right" vertical="center" wrapText="1"/>
    </xf>
    <xf numFmtId="4" fontId="2" fillId="12" borderId="76" xfId="4" applyNumberFormat="1" applyFont="1" applyFill="1" applyBorder="1" applyAlignment="1" applyProtection="1">
      <alignment horizontal="center"/>
      <protection locked="0"/>
    </xf>
    <xf numFmtId="4" fontId="2" fillId="12" borderId="77" xfId="4" applyNumberFormat="1" applyFont="1" applyFill="1" applyBorder="1" applyAlignment="1" applyProtection="1">
      <alignment horizontal="center"/>
      <protection locked="0"/>
    </xf>
    <xf numFmtId="4" fontId="2" fillId="12" borderId="78" xfId="4" applyNumberFormat="1" applyFont="1" applyFill="1" applyBorder="1" applyAlignment="1" applyProtection="1">
      <alignment horizontal="center"/>
      <protection locked="0"/>
    </xf>
    <xf numFmtId="4" fontId="2" fillId="14" borderId="81" xfId="4" applyNumberFormat="1" applyFont="1" applyFill="1" applyBorder="1" applyAlignment="1" applyProtection="1">
      <alignment horizontal="center"/>
      <protection locked="0"/>
    </xf>
    <xf numFmtId="2" fontId="2" fillId="3" borderId="1" xfId="4" applyNumberFormat="1" applyFont="1" applyFill="1" applyBorder="1" applyAlignment="1" applyProtection="1">
      <alignment horizontal="center" vertical="center"/>
      <protection hidden="1"/>
    </xf>
    <xf numFmtId="2" fontId="130" fillId="5" borderId="0" xfId="0" applyNumberFormat="1" applyFont="1" applyFill="1" applyBorder="1" applyAlignment="1" applyProtection="1"/>
    <xf numFmtId="165" fontId="130" fillId="5" borderId="0" xfId="0" applyNumberFormat="1" applyFont="1" applyFill="1" applyBorder="1" applyAlignment="1" applyProtection="1"/>
    <xf numFmtId="0" fontId="9" fillId="3" borderId="0" xfId="0" applyFont="1" applyFill="1" applyAlignment="1" applyProtection="1"/>
    <xf numFmtId="170" fontId="1" fillId="3" borderId="1" xfId="0" applyNumberFormat="1" applyFont="1" applyFill="1" applyBorder="1" applyProtection="1"/>
    <xf numFmtId="0" fontId="25" fillId="8" borderId="41" xfId="0" applyFont="1" applyFill="1" applyBorder="1" applyAlignment="1" applyProtection="1">
      <alignment horizontal="right" vertical="center"/>
      <protection locked="0"/>
    </xf>
    <xf numFmtId="166" fontId="25" fillId="8" borderId="41" xfId="0" applyNumberFormat="1" applyFont="1" applyFill="1" applyBorder="1" applyAlignment="1" applyProtection="1">
      <alignment horizontal="right" vertical="center"/>
      <protection locked="0"/>
    </xf>
    <xf numFmtId="3" fontId="25" fillId="8" borderId="41" xfId="8" applyNumberFormat="1" applyFont="1" applyFill="1" applyBorder="1" applyAlignment="1" applyProtection="1">
      <alignment horizontal="right" vertical="center"/>
      <protection locked="0"/>
    </xf>
    <xf numFmtId="171" fontId="25" fillId="8" borderId="234" xfId="8" applyNumberFormat="1" applyFont="1" applyFill="1" applyBorder="1" applyAlignment="1" applyProtection="1">
      <alignment horizontal="right" vertical="center"/>
      <protection locked="0"/>
    </xf>
    <xf numFmtId="0" fontId="10" fillId="8" borderId="41" xfId="0" applyFont="1" applyFill="1" applyBorder="1" applyAlignment="1" applyProtection="1">
      <alignment horizontal="center" vertical="center" wrapText="1"/>
      <protection locked="0"/>
    </xf>
    <xf numFmtId="171" fontId="25" fillId="8" borderId="41" xfId="0" applyNumberFormat="1" applyFont="1" applyFill="1" applyBorder="1" applyAlignment="1" applyProtection="1">
      <alignment horizontal="right" vertical="center"/>
      <protection locked="0"/>
    </xf>
    <xf numFmtId="4" fontId="2" fillId="3" borderId="1" xfId="0" applyNumberFormat="1" applyFont="1" applyFill="1" applyBorder="1" applyAlignment="1" applyProtection="1">
      <alignment horizontal="right"/>
    </xf>
    <xf numFmtId="0" fontId="7" fillId="3" borderId="15" xfId="0" applyFont="1" applyFill="1" applyBorder="1" applyProtection="1"/>
    <xf numFmtId="2" fontId="1" fillId="3" borderId="3" xfId="0" applyNumberFormat="1" applyFont="1" applyFill="1" applyBorder="1" applyAlignment="1" applyProtection="1">
      <alignment horizontal="right" vertical="center"/>
    </xf>
    <xf numFmtId="2" fontId="1" fillId="3" borderId="96" xfId="0" applyNumberFormat="1" applyFont="1" applyFill="1" applyBorder="1" applyAlignment="1" applyProtection="1">
      <alignment horizontal="right" vertical="center"/>
    </xf>
    <xf numFmtId="2" fontId="1" fillId="3" borderId="39" xfId="0" applyNumberFormat="1" applyFont="1" applyFill="1" applyBorder="1" applyAlignment="1" applyProtection="1">
      <alignment horizontal="right" vertical="center"/>
    </xf>
    <xf numFmtId="2" fontId="1" fillId="3" borderId="41" xfId="0" applyNumberFormat="1" applyFont="1" applyFill="1" applyBorder="1" applyAlignment="1" applyProtection="1">
      <alignment horizontal="right" vertical="center"/>
    </xf>
    <xf numFmtId="1" fontId="2" fillId="3" borderId="3" xfId="0" applyNumberFormat="1" applyFont="1" applyFill="1" applyBorder="1" applyAlignment="1" applyProtection="1">
      <alignment horizontal="center" vertical="center"/>
    </xf>
    <xf numFmtId="1" fontId="2" fillId="3" borderId="39" xfId="0" applyNumberFormat="1" applyFont="1" applyFill="1" applyBorder="1" applyAlignment="1" applyProtection="1">
      <alignment horizontal="center" vertical="center"/>
    </xf>
    <xf numFmtId="1" fontId="2" fillId="3" borderId="41" xfId="0" applyNumberFormat="1" applyFont="1" applyFill="1" applyBorder="1" applyAlignment="1" applyProtection="1">
      <alignment horizontal="center" vertical="center"/>
    </xf>
    <xf numFmtId="1" fontId="1" fillId="3" borderId="47" xfId="0" applyNumberFormat="1" applyFont="1" applyFill="1" applyBorder="1" applyAlignment="1" applyProtection="1">
      <alignment horizontal="center" vertical="center"/>
    </xf>
    <xf numFmtId="1" fontId="1" fillId="3" borderId="39" xfId="0" applyNumberFormat="1" applyFont="1" applyFill="1" applyBorder="1" applyAlignment="1" applyProtection="1">
      <alignment horizontal="center" vertical="center"/>
    </xf>
    <xf numFmtId="1" fontId="1" fillId="3" borderId="41" xfId="0" applyNumberFormat="1" applyFont="1" applyFill="1" applyBorder="1" applyAlignment="1" applyProtection="1">
      <alignment horizontal="center" vertical="center"/>
    </xf>
    <xf numFmtId="1" fontId="2" fillId="10" borderId="3" xfId="0" applyNumberFormat="1" applyFont="1" applyFill="1" applyBorder="1" applyAlignment="1" applyProtection="1">
      <alignment horizontal="center" vertical="center"/>
    </xf>
    <xf numFmtId="1" fontId="2" fillId="10" borderId="44" xfId="0" applyNumberFormat="1" applyFont="1" applyFill="1" applyBorder="1" applyAlignment="1" applyProtection="1">
      <alignment horizontal="center" vertical="center"/>
    </xf>
    <xf numFmtId="1" fontId="2" fillId="10" borderId="41" xfId="0" applyNumberFormat="1" applyFont="1" applyFill="1" applyBorder="1" applyAlignment="1" applyProtection="1">
      <alignment horizontal="center" vertical="center"/>
    </xf>
    <xf numFmtId="2" fontId="1" fillId="3" borderId="226" xfId="0" applyNumberFormat="1" applyFont="1" applyFill="1" applyBorder="1" applyAlignment="1" applyProtection="1">
      <alignment horizontal="right" vertical="center"/>
    </xf>
    <xf numFmtId="2" fontId="1" fillId="3" borderId="1" xfId="0" applyNumberFormat="1" applyFont="1" applyFill="1" applyBorder="1" applyAlignment="1" applyProtection="1">
      <alignment horizontal="center" vertical="center"/>
    </xf>
    <xf numFmtId="2" fontId="1" fillId="3" borderId="1" xfId="0" applyNumberFormat="1" applyFont="1" applyFill="1" applyBorder="1" applyAlignment="1" applyProtection="1">
      <alignment horizontal="center"/>
    </xf>
    <xf numFmtId="2" fontId="1" fillId="10" borderId="1" xfId="0" applyNumberFormat="1" applyFont="1" applyFill="1" applyBorder="1" applyAlignment="1" applyProtection="1">
      <alignment horizontal="center"/>
    </xf>
    <xf numFmtId="2" fontId="1" fillId="3" borderId="3" xfId="0" applyNumberFormat="1" applyFont="1" applyFill="1" applyBorder="1" applyAlignment="1" applyProtection="1">
      <alignment horizontal="center"/>
    </xf>
    <xf numFmtId="2" fontId="34" fillId="3" borderId="0" xfId="0" applyNumberFormat="1" applyFont="1" applyFill="1" applyBorder="1" applyAlignment="1" applyProtection="1">
      <alignment vertical="center"/>
    </xf>
    <xf numFmtId="0" fontId="10" fillId="3" borderId="15" xfId="0" applyFont="1" applyFill="1" applyBorder="1" applyAlignment="1" applyProtection="1">
      <alignment horizontal="center" vertical="center"/>
    </xf>
    <xf numFmtId="0" fontId="10" fillId="3" borderId="1" xfId="0" applyFont="1" applyFill="1" applyBorder="1" applyAlignment="1" applyProtection="1">
      <alignment horizontal="center" vertical="center"/>
    </xf>
    <xf numFmtId="2" fontId="5" fillId="3" borderId="3" xfId="0" applyNumberFormat="1" applyFont="1" applyFill="1" applyBorder="1" applyAlignment="1" applyProtection="1">
      <alignment vertical="center"/>
    </xf>
    <xf numFmtId="0" fontId="77" fillId="3" borderId="1" xfId="0" applyFont="1" applyFill="1" applyBorder="1" applyProtection="1"/>
    <xf numFmtId="170" fontId="39" fillId="3" borderId="3" xfId="8" applyNumberFormat="1" applyFont="1" applyFill="1" applyBorder="1" applyAlignment="1" applyProtection="1">
      <alignment vertical="center"/>
    </xf>
    <xf numFmtId="4" fontId="39" fillId="3" borderId="3" xfId="0" applyNumberFormat="1" applyFont="1" applyFill="1" applyBorder="1" applyAlignment="1" applyProtection="1">
      <alignment vertical="center"/>
    </xf>
    <xf numFmtId="0" fontId="1" fillId="3" borderId="1" xfId="0" applyFont="1" applyFill="1" applyBorder="1" applyProtection="1"/>
    <xf numFmtId="2" fontId="5" fillId="3" borderId="3" xfId="8" applyNumberFormat="1" applyFont="1" applyFill="1" applyBorder="1" applyAlignment="1" applyProtection="1">
      <alignment vertical="center"/>
    </xf>
    <xf numFmtId="4" fontId="2" fillId="3" borderId="1" xfId="0" applyNumberFormat="1" applyFont="1" applyFill="1" applyBorder="1" applyAlignment="1" applyProtection="1">
      <alignment horizontal="center" vertical="center"/>
    </xf>
    <xf numFmtId="4" fontId="117" fillId="3" borderId="1" xfId="0" applyNumberFormat="1" applyFont="1" applyFill="1" applyBorder="1" applyAlignment="1" applyProtection="1">
      <alignment horizontal="center"/>
    </xf>
    <xf numFmtId="14" fontId="25" fillId="3" borderId="5" xfId="0" applyNumberFormat="1" applyFont="1" applyFill="1" applyBorder="1" applyAlignment="1" applyProtection="1">
      <alignment horizontal="center" vertical="center"/>
    </xf>
    <xf numFmtId="0" fontId="39" fillId="3" borderId="0" xfId="0" applyFont="1" applyFill="1" applyBorder="1" applyAlignment="1" applyProtection="1"/>
    <xf numFmtId="0" fontId="37" fillId="3" borderId="0" xfId="0" applyFont="1" applyFill="1" applyBorder="1" applyAlignment="1" applyProtection="1"/>
    <xf numFmtId="4" fontId="1" fillId="3" borderId="0" xfId="0" applyNumberFormat="1" applyFont="1" applyFill="1" applyBorder="1" applyAlignment="1" applyProtection="1">
      <alignment horizontal="center"/>
    </xf>
    <xf numFmtId="4" fontId="1" fillId="3" borderId="10" xfId="0" applyNumberFormat="1" applyFont="1" applyFill="1" applyBorder="1" applyAlignment="1" applyProtection="1">
      <alignment horizontal="center"/>
    </xf>
    <xf numFmtId="0" fontId="0" fillId="2" borderId="0" xfId="0" applyFill="1" applyProtection="1"/>
    <xf numFmtId="2" fontId="163" fillId="17" borderId="6" xfId="0" applyNumberFormat="1" applyFont="1" applyFill="1" applyBorder="1" applyAlignment="1" applyProtection="1">
      <alignment horizontal="center" vertical="center"/>
    </xf>
    <xf numFmtId="0" fontId="32" fillId="3" borderId="13" xfId="0" applyFont="1" applyFill="1" applyBorder="1" applyAlignment="1" applyProtection="1">
      <alignment horizontal="right"/>
    </xf>
    <xf numFmtId="2" fontId="2" fillId="6" borderId="100" xfId="0" applyNumberFormat="1" applyFont="1" applyFill="1" applyBorder="1" applyAlignment="1" applyProtection="1">
      <alignment horizontal="center" vertical="center"/>
    </xf>
    <xf numFmtId="2" fontId="2" fillId="3" borderId="102" xfId="0" applyNumberFormat="1" applyFont="1" applyFill="1" applyBorder="1" applyAlignment="1" applyProtection="1">
      <alignment horizontal="center" vertical="center"/>
    </xf>
    <xf numFmtId="2" fontId="2" fillId="6" borderId="102" xfId="0" applyNumberFormat="1" applyFont="1" applyFill="1" applyBorder="1" applyAlignment="1" applyProtection="1">
      <alignment horizontal="center" vertical="center"/>
    </xf>
    <xf numFmtId="2" fontId="2" fillId="6" borderId="104" xfId="0" applyNumberFormat="1" applyFont="1" applyFill="1" applyBorder="1" applyAlignment="1" applyProtection="1">
      <alignment horizontal="center" vertical="center"/>
    </xf>
    <xf numFmtId="2" fontId="2" fillId="3" borderId="100" xfId="0" applyNumberFormat="1" applyFont="1" applyFill="1" applyBorder="1" applyAlignment="1" applyProtection="1">
      <alignment horizontal="center" vertical="center"/>
    </xf>
    <xf numFmtId="2" fontId="2" fillId="3" borderId="104" xfId="0" applyNumberFormat="1" applyFont="1" applyFill="1" applyBorder="1" applyAlignment="1" applyProtection="1">
      <alignment horizontal="center" vertical="center"/>
    </xf>
    <xf numFmtId="2" fontId="2" fillId="3" borderId="148" xfId="0" applyNumberFormat="1" applyFont="1" applyFill="1" applyBorder="1" applyAlignment="1" applyProtection="1">
      <alignment horizontal="center" vertical="center"/>
    </xf>
    <xf numFmtId="167" fontId="1" fillId="3" borderId="158" xfId="6" applyNumberFormat="1" applyFont="1" applyFill="1" applyBorder="1" applyAlignment="1" applyProtection="1">
      <alignment horizontal="right" vertical="center"/>
    </xf>
    <xf numFmtId="167" fontId="1" fillId="3" borderId="166" xfId="6" applyNumberFormat="1" applyFont="1" applyFill="1" applyBorder="1" applyAlignment="1" applyProtection="1">
      <alignment horizontal="right" vertical="center"/>
    </xf>
    <xf numFmtId="167" fontId="1" fillId="3" borderId="161" xfId="6" applyNumberFormat="1" applyFont="1" applyFill="1" applyBorder="1" applyAlignment="1" applyProtection="1">
      <alignment horizontal="right" vertical="center"/>
    </xf>
    <xf numFmtId="43" fontId="1" fillId="3" borderId="164" xfId="8" applyFont="1" applyFill="1" applyBorder="1" applyAlignment="1" applyProtection="1">
      <alignment horizontal="right" vertical="center"/>
    </xf>
    <xf numFmtId="43" fontId="1" fillId="3" borderId="161" xfId="8" applyFont="1" applyFill="1" applyBorder="1" applyAlignment="1" applyProtection="1">
      <alignment horizontal="right" vertical="center"/>
    </xf>
    <xf numFmtId="168" fontId="25" fillId="3" borderId="164" xfId="8" applyNumberFormat="1" applyFont="1" applyFill="1" applyBorder="1" applyAlignment="1" applyProtection="1">
      <alignment horizontal="center" vertical="center"/>
    </xf>
    <xf numFmtId="168" fontId="25" fillId="3" borderId="164" xfId="8" applyNumberFormat="1" applyFont="1" applyFill="1" applyBorder="1" applyAlignment="1" applyProtection="1">
      <alignment horizontal="right" vertical="center"/>
    </xf>
    <xf numFmtId="168" fontId="25" fillId="3" borderId="158" xfId="8" applyNumberFormat="1" applyFont="1" applyFill="1" applyBorder="1" applyAlignment="1" applyProtection="1">
      <alignment horizontal="center" vertical="center"/>
    </xf>
    <xf numFmtId="168" fontId="25" fillId="3" borderId="166" xfId="8" applyNumberFormat="1" applyFont="1" applyFill="1" applyBorder="1" applyAlignment="1" applyProtection="1">
      <alignment horizontal="center" vertical="center"/>
    </xf>
    <xf numFmtId="168" fontId="25" fillId="3" borderId="161" xfId="8" applyNumberFormat="1" applyFont="1" applyFill="1" applyBorder="1" applyAlignment="1" applyProtection="1">
      <alignment horizontal="center" vertical="center"/>
    </xf>
    <xf numFmtId="169" fontId="1" fillId="3" borderId="164" xfId="8" applyNumberFormat="1" applyFont="1" applyFill="1" applyBorder="1" applyAlignment="1" applyProtection="1">
      <alignment horizontal="center" vertical="center"/>
    </xf>
    <xf numFmtId="2" fontId="25" fillId="2" borderId="0" xfId="0" applyNumberFormat="1" applyFont="1" applyFill="1" applyBorder="1" applyProtection="1"/>
    <xf numFmtId="0" fontId="42" fillId="2" borderId="0" xfId="0" applyFont="1" applyFill="1" applyBorder="1" applyAlignment="1" applyProtection="1"/>
    <xf numFmtId="2" fontId="1" fillId="6" borderId="1" xfId="0" applyNumberFormat="1" applyFont="1" applyFill="1" applyBorder="1" applyAlignment="1" applyProtection="1">
      <alignment horizontal="right"/>
    </xf>
    <xf numFmtId="2" fontId="1" fillId="3" borderId="1" xfId="0" applyNumberFormat="1" applyFont="1" applyFill="1" applyBorder="1" applyAlignment="1" applyProtection="1">
      <alignment horizontal="right"/>
    </xf>
    <xf numFmtId="178" fontId="10" fillId="3" borderId="158" xfId="0" applyNumberFormat="1" applyFont="1" applyFill="1" applyBorder="1" applyAlignment="1" applyProtection="1">
      <alignment horizontal="right"/>
    </xf>
    <xf numFmtId="178" fontId="10" fillId="3" borderId="161" xfId="0" applyNumberFormat="1" applyFont="1" applyFill="1" applyBorder="1" applyAlignment="1" applyProtection="1">
      <alignment horizontal="right"/>
    </xf>
    <xf numFmtId="0" fontId="37" fillId="3" borderId="158" xfId="0" applyFont="1" applyFill="1" applyBorder="1" applyAlignment="1" applyProtection="1"/>
    <xf numFmtId="0" fontId="37" fillId="3" borderId="161" xfId="0" applyFont="1" applyFill="1" applyBorder="1" applyAlignment="1" applyProtection="1"/>
    <xf numFmtId="168" fontId="1" fillId="3" borderId="164" xfId="8" applyNumberFormat="1" applyFont="1" applyFill="1" applyBorder="1" applyAlignment="1" applyProtection="1">
      <alignment horizontal="center" vertical="center"/>
    </xf>
    <xf numFmtId="168" fontId="1" fillId="3" borderId="158" xfId="8" applyNumberFormat="1" applyFont="1" applyFill="1" applyBorder="1" applyAlignment="1" applyProtection="1">
      <alignment horizontal="center" vertical="center"/>
    </xf>
    <xf numFmtId="168" fontId="1" fillId="3" borderId="166" xfId="8" applyNumberFormat="1" applyFont="1" applyFill="1" applyBorder="1" applyAlignment="1" applyProtection="1">
      <alignment horizontal="center" vertical="center"/>
    </xf>
    <xf numFmtId="168" fontId="1" fillId="3" borderId="161" xfId="8" applyNumberFormat="1" applyFont="1" applyFill="1" applyBorder="1" applyAlignment="1" applyProtection="1">
      <alignment horizontal="center" vertical="center"/>
    </xf>
    <xf numFmtId="44" fontId="1" fillId="3" borderId="158" xfId="2" applyFont="1" applyFill="1" applyBorder="1" applyAlignment="1" applyProtection="1"/>
    <xf numFmtId="44" fontId="25" fillId="3" borderId="166" xfId="2" applyFont="1" applyFill="1" applyBorder="1" applyAlignment="1" applyProtection="1"/>
    <xf numFmtId="44" fontId="25" fillId="3" borderId="166" xfId="2" applyFont="1" applyFill="1" applyBorder="1" applyAlignment="1" applyProtection="1">
      <alignment horizontal="center" vertical="center"/>
    </xf>
    <xf numFmtId="44" fontId="25" fillId="3" borderId="161" xfId="2" applyFont="1" applyFill="1" applyBorder="1" applyAlignment="1" applyProtection="1">
      <alignment horizontal="center" vertical="center"/>
    </xf>
    <xf numFmtId="167" fontId="1" fillId="3" borderId="164" xfId="6" applyNumberFormat="1" applyFont="1" applyFill="1" applyBorder="1" applyAlignment="1" applyProtection="1">
      <alignment horizontal="right" vertical="center"/>
    </xf>
    <xf numFmtId="44" fontId="25" fillId="3" borderId="158" xfId="2" applyFont="1" applyFill="1" applyBorder="1" applyAlignment="1" applyProtection="1">
      <alignment horizontal="center" vertical="center"/>
    </xf>
    <xf numFmtId="43" fontId="25" fillId="3" borderId="161" xfId="8" applyFont="1" applyFill="1" applyBorder="1" applyAlignment="1" applyProtection="1">
      <alignment horizontal="center" vertical="center"/>
    </xf>
    <xf numFmtId="164" fontId="155" fillId="3" borderId="0" xfId="0" applyNumberFormat="1" applyFont="1" applyFill="1" applyProtection="1"/>
    <xf numFmtId="2" fontId="2" fillId="3" borderId="0" xfId="4" applyNumberFormat="1" applyFont="1" applyFill="1" applyBorder="1" applyAlignment="1" applyProtection="1">
      <alignment vertical="center" wrapText="1"/>
    </xf>
    <xf numFmtId="0" fontId="2" fillId="3" borderId="0" xfId="4" applyFont="1" applyFill="1" applyBorder="1" applyAlignment="1" applyProtection="1">
      <alignment vertical="center"/>
    </xf>
    <xf numFmtId="0" fontId="7" fillId="3" borderId="0" xfId="4" applyFont="1" applyFill="1" applyBorder="1" applyAlignment="1" applyProtection="1">
      <alignment vertical="center" wrapText="1"/>
    </xf>
    <xf numFmtId="2" fontId="5" fillId="3" borderId="1" xfId="0" applyNumberFormat="1" applyFont="1" applyFill="1" applyBorder="1" applyAlignment="1" applyProtection="1">
      <alignment horizontal="right"/>
    </xf>
    <xf numFmtId="169" fontId="24" fillId="8" borderId="1" xfId="0" applyNumberFormat="1" applyFont="1" applyFill="1" applyBorder="1" applyProtection="1">
      <protection locked="0"/>
    </xf>
    <xf numFmtId="4" fontId="117" fillId="8" borderId="1" xfId="0" applyNumberFormat="1" applyFont="1" applyFill="1" applyBorder="1" applyAlignment="1" applyProtection="1">
      <alignment horizontal="center"/>
      <protection locked="0"/>
    </xf>
    <xf numFmtId="0" fontId="2" fillId="3" borderId="5" xfId="0" applyFont="1" applyFill="1" applyBorder="1" applyAlignment="1">
      <alignment horizontal="left"/>
    </xf>
    <xf numFmtId="4" fontId="2" fillId="3" borderId="202" xfId="0" applyNumberFormat="1" applyFont="1" applyFill="1" applyBorder="1" applyAlignment="1">
      <alignment horizontal="right"/>
    </xf>
    <xf numFmtId="0" fontId="1" fillId="3" borderId="0" xfId="0" applyFont="1" applyFill="1" applyBorder="1" applyAlignment="1">
      <alignment horizontal="left"/>
    </xf>
    <xf numFmtId="4" fontId="2" fillId="3" borderId="152" xfId="0" applyNumberFormat="1" applyFont="1" applyFill="1" applyBorder="1" applyAlignment="1">
      <alignment horizontal="right"/>
    </xf>
    <xf numFmtId="4" fontId="2" fillId="3" borderId="202" xfId="0" applyNumberFormat="1" applyFont="1" applyFill="1" applyBorder="1"/>
    <xf numFmtId="0" fontId="32" fillId="8" borderId="3" xfId="0" applyFont="1" applyFill="1" applyBorder="1" applyProtection="1">
      <protection locked="0"/>
    </xf>
    <xf numFmtId="43" fontId="24" fillId="3" borderId="0" xfId="0" applyNumberFormat="1" applyFont="1" applyFill="1"/>
    <xf numFmtId="4" fontId="2" fillId="8" borderId="229" xfId="2" applyNumberFormat="1" applyFont="1" applyFill="1" applyBorder="1" applyAlignment="1" applyProtection="1">
      <alignment horizontal="right" vertical="center"/>
      <protection locked="0"/>
    </xf>
    <xf numFmtId="4" fontId="2" fillId="8" borderId="230" xfId="2" applyNumberFormat="1" applyFont="1" applyFill="1" applyBorder="1" applyAlignment="1" applyProtection="1">
      <alignment horizontal="right" vertical="center"/>
      <protection locked="0"/>
    </xf>
    <xf numFmtId="4" fontId="2" fillId="8" borderId="149" xfId="2" applyNumberFormat="1" applyFont="1" applyFill="1" applyBorder="1" applyAlignment="1" applyProtection="1">
      <alignment horizontal="right" vertical="center"/>
      <protection locked="0"/>
    </xf>
    <xf numFmtId="0" fontId="208" fillId="8" borderId="44" xfId="0" applyFont="1" applyFill="1" applyBorder="1" applyAlignment="1" applyProtection="1">
      <alignment horizontal="center" vertical="center"/>
      <protection locked="0"/>
    </xf>
    <xf numFmtId="0" fontId="209" fillId="8" borderId="44" xfId="0" applyFont="1" applyFill="1" applyBorder="1" applyAlignment="1" applyProtection="1">
      <alignment horizontal="right" vertical="center"/>
      <protection locked="0"/>
    </xf>
    <xf numFmtId="166" fontId="209" fillId="8" borderId="44" xfId="0" applyNumberFormat="1" applyFont="1" applyFill="1" applyBorder="1" applyAlignment="1" applyProtection="1">
      <alignment horizontal="right" vertical="center"/>
      <protection locked="0"/>
    </xf>
    <xf numFmtId="2" fontId="209" fillId="8" borderId="44" xfId="0" applyNumberFormat="1" applyFont="1" applyFill="1" applyBorder="1" applyAlignment="1" applyProtection="1">
      <alignment horizontal="right" vertical="center"/>
      <protection locked="0"/>
    </xf>
    <xf numFmtId="3" fontId="209" fillId="8" borderId="44" xfId="8" applyNumberFormat="1" applyFont="1" applyFill="1" applyBorder="1" applyAlignment="1" applyProtection="1">
      <alignment horizontal="right" vertical="center"/>
      <protection locked="0"/>
    </xf>
    <xf numFmtId="171" fontId="209" fillId="8" borderId="44" xfId="8" applyNumberFormat="1" applyFont="1" applyFill="1" applyBorder="1" applyAlignment="1" applyProtection="1">
      <alignment horizontal="right" vertical="center"/>
      <protection locked="0"/>
    </xf>
    <xf numFmtId="0" fontId="207" fillId="8" borderId="1" xfId="4" applyFont="1" applyFill="1" applyBorder="1" applyAlignment="1" applyProtection="1">
      <alignment horizontal="center" vertical="center"/>
      <protection locked="0"/>
    </xf>
    <xf numFmtId="0" fontId="37" fillId="3" borderId="0" xfId="0" applyFont="1" applyFill="1" applyBorder="1" applyAlignment="1">
      <alignment horizontal="left" vertical="top" wrapText="1"/>
    </xf>
    <xf numFmtId="0" fontId="10" fillId="3" borderId="0" xfId="0" applyFont="1" applyFill="1" applyBorder="1" applyAlignment="1">
      <alignment horizontal="left" vertical="top" wrapText="1"/>
    </xf>
    <xf numFmtId="0" fontId="32" fillId="3" borderId="1" xfId="0" applyFont="1" applyFill="1" applyBorder="1" applyAlignment="1">
      <alignment horizontal="center"/>
    </xf>
    <xf numFmtId="0" fontId="32" fillId="5" borderId="0" xfId="0" applyFont="1" applyFill="1" applyBorder="1" applyAlignment="1" applyProtection="1">
      <alignment horizontal="left" vertical="top" wrapText="1"/>
      <protection locked="0"/>
    </xf>
    <xf numFmtId="0" fontId="37" fillId="3" borderId="0" xfId="0" applyFont="1" applyFill="1" applyBorder="1" applyAlignment="1">
      <alignment horizontal="right" vertical="top" wrapText="1"/>
    </xf>
    <xf numFmtId="0" fontId="2" fillId="3" borderId="1" xfId="0" applyFont="1" applyFill="1" applyBorder="1" applyAlignment="1" applyProtection="1">
      <alignment horizontal="left"/>
    </xf>
    <xf numFmtId="0" fontId="24" fillId="3" borderId="6" xfId="0" applyFont="1" applyFill="1" applyBorder="1" applyAlignment="1">
      <alignment horizontal="center"/>
    </xf>
    <xf numFmtId="0" fontId="24" fillId="3" borderId="1" xfId="0" applyFont="1" applyFill="1" applyBorder="1" applyAlignment="1">
      <alignment horizontal="center"/>
    </xf>
    <xf numFmtId="0" fontId="25" fillId="5" borderId="0" xfId="0" applyFont="1" applyFill="1" applyBorder="1" applyAlignment="1" applyProtection="1">
      <alignment horizontal="left" vertical="top" wrapText="1"/>
      <protection locked="0"/>
    </xf>
    <xf numFmtId="0" fontId="24" fillId="3" borderId="0" xfId="0" applyFont="1" applyFill="1" applyBorder="1" applyAlignment="1" applyProtection="1">
      <alignment horizontal="left" vertical="center" wrapText="1"/>
    </xf>
    <xf numFmtId="0" fontId="2" fillId="3" borderId="0" xfId="0" applyFont="1" applyFill="1" applyBorder="1" applyAlignment="1">
      <alignment horizontal="right"/>
    </xf>
    <xf numFmtId="167" fontId="10" fillId="3" borderId="0" xfId="0" applyNumberFormat="1" applyFont="1" applyFill="1" applyBorder="1" applyAlignment="1">
      <alignment horizontal="left" vertical="top" wrapText="1"/>
    </xf>
    <xf numFmtId="0" fontId="92" fillId="3" borderId="0" xfId="0" applyFont="1" applyFill="1" applyBorder="1" applyAlignment="1" applyProtection="1">
      <alignment horizontal="center" vertical="center" wrapText="1"/>
      <protection hidden="1"/>
    </xf>
    <xf numFmtId="0" fontId="67" fillId="3" borderId="5" xfId="0" applyFont="1" applyFill="1" applyBorder="1" applyAlignment="1">
      <alignment horizontal="center" wrapText="1"/>
    </xf>
    <xf numFmtId="0" fontId="67" fillId="3" borderId="11" xfId="4" applyFont="1" applyFill="1" applyBorder="1" applyAlignment="1" applyProtection="1">
      <alignment horizontal="center" wrapText="1"/>
      <protection hidden="1"/>
    </xf>
    <xf numFmtId="2" fontId="10" fillId="3" borderId="0" xfId="4" applyNumberFormat="1" applyFont="1" applyFill="1" applyBorder="1" applyAlignment="1">
      <alignment horizontal="left" vertical="center" wrapText="1"/>
    </xf>
    <xf numFmtId="2" fontId="1" fillId="3" borderId="63" xfId="4" applyNumberFormat="1" applyFont="1" applyFill="1" applyBorder="1" applyAlignment="1">
      <alignment horizontal="center" vertical="center" wrapText="1"/>
    </xf>
    <xf numFmtId="0" fontId="1" fillId="3" borderId="0" xfId="4" applyFont="1" applyFill="1" applyBorder="1" applyAlignment="1" applyProtection="1">
      <alignment horizontal="center" vertical="center" textRotation="90" wrapText="1"/>
      <protection hidden="1"/>
    </xf>
    <xf numFmtId="0" fontId="92" fillId="3" borderId="21" xfId="0" applyFont="1" applyFill="1" applyBorder="1" applyAlignment="1" applyProtection="1">
      <alignment horizontal="center" vertical="center" wrapText="1"/>
      <protection hidden="1"/>
    </xf>
    <xf numFmtId="164" fontId="92" fillId="3" borderId="63" xfId="0" applyNumberFormat="1" applyFont="1" applyFill="1" applyBorder="1" applyAlignment="1" applyProtection="1">
      <alignment horizontal="center" vertical="center" wrapText="1"/>
      <protection hidden="1"/>
    </xf>
    <xf numFmtId="0" fontId="37" fillId="3" borderId="0" xfId="0" applyFont="1" applyFill="1" applyBorder="1" applyAlignment="1">
      <alignment horizontal="left"/>
    </xf>
    <xf numFmtId="2" fontId="1" fillId="3" borderId="0" xfId="4" applyNumberFormat="1" applyFont="1" applyFill="1" applyBorder="1" applyAlignment="1">
      <alignment horizontal="center" vertical="center" wrapText="1"/>
    </xf>
    <xf numFmtId="0" fontId="5" fillId="3" borderId="1" xfId="4" applyFont="1" applyFill="1" applyBorder="1" applyAlignment="1" applyProtection="1">
      <alignment horizontal="center" vertical="center"/>
      <protection hidden="1"/>
    </xf>
    <xf numFmtId="0" fontId="10" fillId="3" borderId="1" xfId="4" applyFont="1" applyFill="1" applyBorder="1" applyAlignment="1" applyProtection="1">
      <alignment horizontal="center" vertical="center"/>
      <protection hidden="1"/>
    </xf>
    <xf numFmtId="0" fontId="121" fillId="3" borderId="0" xfId="0" applyFont="1" applyFill="1" applyBorder="1" applyAlignment="1">
      <alignment horizontal="left" vertical="center" wrapText="1"/>
    </xf>
    <xf numFmtId="2" fontId="5" fillId="3" borderId="1" xfId="4" applyNumberFormat="1" applyFont="1" applyFill="1" applyBorder="1" applyAlignment="1">
      <alignment horizontal="center" vertical="center" wrapText="1"/>
    </xf>
    <xf numFmtId="0" fontId="1" fillId="3" borderId="1" xfId="0" applyFont="1" applyFill="1" applyBorder="1" applyAlignment="1">
      <alignment horizontal="center"/>
    </xf>
    <xf numFmtId="2" fontId="5" fillId="3" borderId="1" xfId="4" applyNumberFormat="1" applyFont="1" applyFill="1" applyBorder="1" applyAlignment="1">
      <alignment horizontal="center" wrapText="1"/>
    </xf>
    <xf numFmtId="0" fontId="0" fillId="0" borderId="1" xfId="0" applyBorder="1"/>
    <xf numFmtId="0" fontId="1" fillId="3" borderId="1" xfId="0" applyFont="1" applyFill="1" applyBorder="1" applyAlignment="1">
      <alignment horizontal="left"/>
    </xf>
    <xf numFmtId="0" fontId="1" fillId="3" borderId="1" xfId="4" applyFont="1" applyFill="1" applyBorder="1" applyAlignment="1" applyProtection="1">
      <alignment horizontal="center" vertical="center" wrapText="1"/>
      <protection hidden="1"/>
    </xf>
    <xf numFmtId="0" fontId="5" fillId="3" borderId="1" xfId="4" applyFont="1" applyFill="1" applyBorder="1" applyAlignment="1">
      <alignment horizontal="center"/>
    </xf>
    <xf numFmtId="0" fontId="25" fillId="3" borderId="1" xfId="0" applyFont="1" applyFill="1" applyBorder="1" applyAlignment="1">
      <alignment horizontal="center"/>
    </xf>
    <xf numFmtId="0" fontId="37" fillId="3" borderId="3" xfId="0" applyFont="1" applyFill="1" applyBorder="1" applyAlignment="1">
      <alignment horizontal="center"/>
    </xf>
    <xf numFmtId="2" fontId="5" fillId="3" borderId="1" xfId="4" applyNumberFormat="1" applyFont="1" applyFill="1" applyBorder="1" applyAlignment="1">
      <alignment horizontal="center"/>
    </xf>
    <xf numFmtId="164" fontId="1" fillId="3" borderId="1" xfId="4" applyNumberFormat="1" applyFont="1" applyFill="1" applyBorder="1" applyAlignment="1">
      <alignment horizontal="center" vertical="center"/>
    </xf>
    <xf numFmtId="2" fontId="1" fillId="3" borderId="1" xfId="4" applyNumberFormat="1" applyFont="1" applyFill="1" applyBorder="1" applyAlignment="1">
      <alignment horizontal="center" vertical="center"/>
    </xf>
    <xf numFmtId="164" fontId="1" fillId="3" borderId="1" xfId="4" applyNumberFormat="1" applyFont="1" applyFill="1" applyBorder="1" applyAlignment="1">
      <alignment horizontal="center"/>
    </xf>
    <xf numFmtId="0" fontId="69" fillId="3" borderId="5" xfId="1" applyFont="1" applyFill="1" applyBorder="1" applyAlignment="1" applyProtection="1">
      <alignment horizontal="center" vertical="center"/>
    </xf>
    <xf numFmtId="0" fontId="107" fillId="3" borderId="5" xfId="1" applyFont="1" applyFill="1" applyBorder="1" applyAlignment="1" applyProtection="1">
      <alignment horizontal="center" vertical="center"/>
    </xf>
    <xf numFmtId="0" fontId="67" fillId="3" borderId="5" xfId="1" applyFont="1" applyFill="1" applyBorder="1" applyAlignment="1" applyProtection="1">
      <alignment horizontal="center" vertical="center"/>
    </xf>
    <xf numFmtId="0" fontId="67" fillId="3" borderId="13" xfId="1" applyFont="1" applyFill="1" applyBorder="1" applyAlignment="1" applyProtection="1">
      <alignment horizontal="center" vertical="center"/>
    </xf>
    <xf numFmtId="0" fontId="37" fillId="3" borderId="1" xfId="0" applyFont="1" applyFill="1" applyBorder="1" applyAlignment="1">
      <alignment horizontal="center"/>
    </xf>
    <xf numFmtId="0" fontId="2" fillId="3" borderId="1" xfId="0" applyFont="1" applyFill="1" applyBorder="1" applyAlignment="1">
      <alignment horizontal="center"/>
    </xf>
    <xf numFmtId="0" fontId="1" fillId="3" borderId="1" xfId="0" applyFont="1" applyFill="1" applyBorder="1" applyAlignment="1">
      <alignment horizontal="center" vertical="center"/>
    </xf>
    <xf numFmtId="0" fontId="5" fillId="3" borderId="1" xfId="0" applyFont="1" applyFill="1" applyBorder="1" applyAlignment="1">
      <alignment horizontal="center"/>
    </xf>
    <xf numFmtId="0" fontId="185" fillId="28" borderId="1" xfId="0" applyFont="1" applyFill="1" applyBorder="1" applyAlignment="1">
      <alignment horizontal="center" vertical="center" wrapText="1"/>
    </xf>
    <xf numFmtId="0" fontId="1" fillId="3" borderId="0" xfId="0" applyFont="1" applyFill="1" applyBorder="1" applyAlignment="1">
      <alignment horizontal="center" vertical="center"/>
    </xf>
    <xf numFmtId="0" fontId="1" fillId="3" borderId="0" xfId="0" applyFont="1" applyFill="1" applyBorder="1" applyAlignment="1">
      <alignment wrapText="1"/>
    </xf>
    <xf numFmtId="0" fontId="37" fillId="3" borderId="0" xfId="0" applyFont="1" applyFill="1" applyBorder="1" applyAlignment="1">
      <alignment horizontal="left" vertical="top" wrapText="1"/>
    </xf>
    <xf numFmtId="174" fontId="166" fillId="11" borderId="39" xfId="2" applyNumberFormat="1" applyFont="1" applyFill="1" applyBorder="1" applyAlignment="1" applyProtection="1">
      <alignment horizontal="center"/>
      <protection locked="0"/>
    </xf>
    <xf numFmtId="174" fontId="166" fillId="11" borderId="6" xfId="2" applyNumberFormat="1" applyFont="1" applyFill="1" applyBorder="1" applyAlignment="1" applyProtection="1">
      <alignment horizontal="center"/>
      <protection locked="0"/>
    </xf>
    <xf numFmtId="0" fontId="14" fillId="14" borderId="75" xfId="10" applyFont="1" applyFill="1" applyBorder="1" applyAlignment="1" applyProtection="1">
      <alignment horizontal="left"/>
      <protection locked="0"/>
    </xf>
    <xf numFmtId="0" fontId="32" fillId="3" borderId="1" xfId="0" applyFont="1" applyFill="1" applyBorder="1" applyAlignment="1">
      <alignment horizontal="left"/>
    </xf>
    <xf numFmtId="0" fontId="25" fillId="8" borderId="3" xfId="0" applyFont="1" applyFill="1" applyBorder="1" applyAlignment="1" applyProtection="1">
      <alignment horizontal="left" wrapText="1"/>
      <protection locked="0"/>
    </xf>
    <xf numFmtId="0" fontId="25" fillId="8" borderId="7" xfId="0" applyFont="1" applyFill="1" applyBorder="1" applyAlignment="1" applyProtection="1">
      <alignment horizontal="left" wrapText="1"/>
      <protection locked="0"/>
    </xf>
    <xf numFmtId="0" fontId="25" fillId="8" borderId="6" xfId="0" applyFont="1" applyFill="1" applyBorder="1" applyAlignment="1" applyProtection="1">
      <alignment horizontal="left" wrapText="1"/>
      <protection locked="0"/>
    </xf>
    <xf numFmtId="0" fontId="25" fillId="8" borderId="3" xfId="0" applyFont="1" applyFill="1" applyBorder="1" applyAlignment="1" applyProtection="1">
      <alignment horizontal="center" wrapText="1"/>
      <protection locked="0"/>
    </xf>
    <xf numFmtId="0" fontId="25" fillId="8" borderId="7" xfId="0" applyFont="1" applyFill="1" applyBorder="1" applyAlignment="1" applyProtection="1">
      <alignment horizontal="center" wrapText="1"/>
      <protection locked="0"/>
    </xf>
    <xf numFmtId="0" fontId="25" fillId="8" borderId="6" xfId="0" applyFont="1" applyFill="1" applyBorder="1" applyAlignment="1" applyProtection="1">
      <alignment horizontal="center" wrapText="1"/>
      <protection locked="0"/>
    </xf>
    <xf numFmtId="44" fontId="2" fillId="8" borderId="39" xfId="2" applyFont="1" applyFill="1" applyBorder="1" applyAlignment="1" applyProtection="1">
      <alignment horizontal="center"/>
      <protection locked="0"/>
    </xf>
    <xf numFmtId="44" fontId="2" fillId="8" borderId="7" xfId="2" applyFont="1" applyFill="1" applyBorder="1" applyAlignment="1" applyProtection="1">
      <alignment horizontal="center"/>
      <protection locked="0"/>
    </xf>
    <xf numFmtId="44" fontId="2" fillId="18" borderId="39" xfId="2" applyFont="1" applyFill="1" applyBorder="1" applyAlignment="1" applyProtection="1">
      <alignment horizontal="center"/>
      <protection locked="0"/>
    </xf>
    <xf numFmtId="44" fontId="2" fillId="18" borderId="6" xfId="2" applyFont="1" applyFill="1" applyBorder="1" applyAlignment="1" applyProtection="1">
      <alignment horizontal="center"/>
      <protection locked="0"/>
    </xf>
    <xf numFmtId="0" fontId="25" fillId="8" borderId="1" xfId="0" applyFont="1" applyFill="1" applyBorder="1" applyAlignment="1" applyProtection="1">
      <alignment horizontal="left"/>
      <protection locked="0"/>
    </xf>
    <xf numFmtId="0" fontId="25" fillId="8" borderId="3" xfId="0" applyFont="1" applyFill="1" applyBorder="1" applyAlignment="1" applyProtection="1">
      <alignment horizontal="left"/>
      <protection locked="0"/>
    </xf>
    <xf numFmtId="44" fontId="2" fillId="8" borderId="6" xfId="2" applyFont="1" applyFill="1" applyBorder="1" applyAlignment="1" applyProtection="1">
      <alignment horizontal="center"/>
      <protection locked="0"/>
    </xf>
    <xf numFmtId="0" fontId="32" fillId="3" borderId="3" xfId="0" applyFont="1" applyFill="1" applyBorder="1" applyAlignment="1">
      <alignment horizontal="center"/>
    </xf>
    <xf numFmtId="0" fontId="32" fillId="3" borderId="6" xfId="0" applyFont="1" applyFill="1" applyBorder="1" applyAlignment="1">
      <alignment horizontal="center"/>
    </xf>
    <xf numFmtId="0" fontId="25" fillId="8" borderId="7" xfId="0" applyFont="1" applyFill="1" applyBorder="1" applyAlignment="1" applyProtection="1">
      <alignment horizontal="left"/>
      <protection locked="0"/>
    </xf>
    <xf numFmtId="44" fontId="77" fillId="3" borderId="5" xfId="2" applyFont="1" applyFill="1" applyBorder="1" applyAlignment="1">
      <alignment horizontal="center"/>
    </xf>
    <xf numFmtId="0" fontId="161" fillId="3" borderId="0" xfId="0" applyFont="1" applyFill="1" applyAlignment="1">
      <alignment horizontal="left" vertical="center"/>
    </xf>
    <xf numFmtId="0" fontId="133" fillId="3" borderId="0" xfId="0" applyFont="1" applyFill="1" applyAlignment="1">
      <alignment horizontal="left" vertical="top" wrapText="1"/>
    </xf>
    <xf numFmtId="0" fontId="1" fillId="8" borderId="3" xfId="0" applyFont="1" applyFill="1" applyBorder="1" applyAlignment="1">
      <alignment horizontal="left"/>
    </xf>
    <xf numFmtId="0" fontId="1" fillId="8" borderId="7" xfId="0" applyFont="1" applyFill="1" applyBorder="1" applyAlignment="1">
      <alignment horizontal="left"/>
    </xf>
    <xf numFmtId="0" fontId="1" fillId="8" borderId="6" xfId="0" applyFont="1" applyFill="1" applyBorder="1" applyAlignment="1">
      <alignment horizontal="left"/>
    </xf>
    <xf numFmtId="44" fontId="2" fillId="8" borderId="1" xfId="2" applyFont="1" applyFill="1" applyBorder="1" applyAlignment="1" applyProtection="1">
      <alignment horizontal="left"/>
      <protection locked="0"/>
    </xf>
    <xf numFmtId="0" fontId="10" fillId="3" borderId="0" xfId="0" applyFont="1" applyFill="1" applyBorder="1" applyAlignment="1">
      <alignment horizontal="left" vertical="top" wrapText="1"/>
    </xf>
    <xf numFmtId="0" fontId="32" fillId="3" borderId="3" xfId="0" applyFont="1" applyFill="1" applyBorder="1" applyAlignment="1">
      <alignment horizontal="left"/>
    </xf>
    <xf numFmtId="0" fontId="32" fillId="3" borderId="6" xfId="0" applyFont="1" applyFill="1" applyBorder="1" applyAlignment="1">
      <alignment horizontal="left"/>
    </xf>
    <xf numFmtId="0" fontId="32" fillId="3" borderId="3" xfId="0" applyFont="1" applyFill="1" applyBorder="1" applyAlignment="1">
      <alignment horizontal="center" vertical="center"/>
    </xf>
    <xf numFmtId="0" fontId="32" fillId="3" borderId="6" xfId="0" applyFont="1" applyFill="1" applyBorder="1" applyAlignment="1">
      <alignment horizontal="center" vertical="center"/>
    </xf>
    <xf numFmtId="0" fontId="32" fillId="3" borderId="1" xfId="0" applyFont="1" applyFill="1" applyBorder="1" applyAlignment="1">
      <alignment horizontal="center"/>
    </xf>
    <xf numFmtId="44" fontId="127" fillId="3" borderId="0" xfId="2" applyFont="1" applyFill="1" applyBorder="1" applyAlignment="1" applyProtection="1">
      <alignment horizontal="left" vertical="center" wrapText="1"/>
    </xf>
    <xf numFmtId="44" fontId="127" fillId="3" borderId="8" xfId="2" applyFont="1" applyFill="1" applyBorder="1" applyAlignment="1" applyProtection="1">
      <alignment horizontal="left" vertical="center" wrapText="1"/>
    </xf>
    <xf numFmtId="0" fontId="2" fillId="9" borderId="3" xfId="0" applyFont="1" applyFill="1" applyBorder="1" applyAlignment="1" applyProtection="1">
      <alignment horizontal="left" vertical="center"/>
      <protection locked="0"/>
    </xf>
    <xf numFmtId="0" fontId="2" fillId="9" borderId="7" xfId="0" applyFont="1" applyFill="1" applyBorder="1" applyAlignment="1" applyProtection="1">
      <alignment horizontal="left" vertical="center"/>
      <protection locked="0"/>
    </xf>
    <xf numFmtId="0" fontId="2" fillId="9" borderId="6" xfId="0" applyFont="1" applyFill="1" applyBorder="1" applyAlignment="1" applyProtection="1">
      <alignment horizontal="left" vertical="center"/>
      <protection locked="0"/>
    </xf>
    <xf numFmtId="44" fontId="2" fillId="8" borderId="38" xfId="2" applyFont="1" applyFill="1" applyBorder="1" applyAlignment="1" applyProtection="1">
      <alignment horizontal="center"/>
      <protection locked="0"/>
    </xf>
    <xf numFmtId="44" fontId="2" fillId="8" borderId="13" xfId="2" applyFont="1" applyFill="1" applyBorder="1" applyAlignment="1" applyProtection="1">
      <alignment horizontal="center"/>
      <protection locked="0"/>
    </xf>
    <xf numFmtId="0" fontId="32" fillId="5" borderId="0" xfId="0" applyFont="1" applyFill="1" applyBorder="1" applyAlignment="1" applyProtection="1">
      <alignment horizontal="left" vertical="top" wrapText="1"/>
      <protection locked="0"/>
    </xf>
    <xf numFmtId="44" fontId="24" fillId="3" borderId="1" xfId="2" applyFont="1" applyFill="1" applyBorder="1" applyAlignment="1">
      <alignment horizontal="center"/>
    </xf>
    <xf numFmtId="0" fontId="39" fillId="3" borderId="15" xfId="0" applyFont="1" applyFill="1" applyBorder="1" applyAlignment="1" applyProtection="1">
      <alignment horizontal="left" vertical="center" wrapText="1"/>
    </xf>
    <xf numFmtId="0" fontId="39" fillId="3" borderId="13" xfId="0" applyFont="1" applyFill="1" applyBorder="1" applyAlignment="1" applyProtection="1">
      <alignment horizontal="left" vertical="center" wrapText="1"/>
    </xf>
    <xf numFmtId="0" fontId="39" fillId="3" borderId="12" xfId="0" applyFont="1" applyFill="1" applyBorder="1" applyAlignment="1" applyProtection="1">
      <alignment horizontal="left" vertical="center" wrapText="1"/>
    </xf>
    <xf numFmtId="0" fontId="39" fillId="3" borderId="11" xfId="0" applyFont="1" applyFill="1" applyBorder="1" applyAlignment="1" applyProtection="1">
      <alignment horizontal="left" vertical="center" wrapText="1"/>
    </xf>
    <xf numFmtId="0" fontId="25" fillId="8" borderId="6" xfId="0" applyFont="1" applyFill="1" applyBorder="1" applyAlignment="1" applyProtection="1">
      <alignment horizontal="left"/>
      <protection locked="0"/>
    </xf>
    <xf numFmtId="0" fontId="37" fillId="5" borderId="0" xfId="0" applyFont="1" applyFill="1" applyBorder="1" applyAlignment="1" applyProtection="1">
      <alignment horizontal="left" vertical="top" wrapText="1"/>
      <protection locked="0"/>
    </xf>
    <xf numFmtId="0" fontId="14" fillId="14" borderId="74" xfId="10" applyFont="1" applyFill="1" applyBorder="1" applyAlignment="1" applyProtection="1">
      <alignment horizontal="left" vertical="top"/>
      <protection locked="0"/>
    </xf>
    <xf numFmtId="0" fontId="37" fillId="3" borderId="8" xfId="0" applyFont="1" applyFill="1" applyBorder="1" applyAlignment="1" applyProtection="1">
      <alignment horizontal="left" vertical="top" wrapText="1"/>
      <protection locked="0"/>
    </xf>
    <xf numFmtId="0" fontId="37" fillId="3" borderId="0" xfId="0" applyFont="1" applyFill="1" applyBorder="1" applyAlignment="1" applyProtection="1">
      <alignment horizontal="left" vertical="top" wrapText="1"/>
      <protection locked="0"/>
    </xf>
    <xf numFmtId="0" fontId="7" fillId="3" borderId="1" xfId="0" applyFont="1" applyFill="1" applyBorder="1" applyAlignment="1" applyProtection="1"/>
    <xf numFmtId="0" fontId="7" fillId="3" borderId="1" xfId="0" applyFont="1" applyFill="1" applyBorder="1" applyAlignment="1" applyProtection="1">
      <alignment horizontal="left"/>
    </xf>
    <xf numFmtId="0" fontId="14" fillId="14" borderId="74" xfId="10" applyFont="1" applyFill="1" applyBorder="1" applyAlignment="1" applyProtection="1">
      <alignment horizontal="left" vertical="top" wrapText="1"/>
      <protection locked="0"/>
    </xf>
    <xf numFmtId="0" fontId="25" fillId="5" borderId="79" xfId="0" applyFont="1" applyFill="1" applyBorder="1" applyAlignment="1" applyProtection="1">
      <alignment horizontal="left" vertical="top" wrapText="1"/>
      <protection locked="0"/>
    </xf>
    <xf numFmtId="0" fontId="10" fillId="3" borderId="0" xfId="0" applyFont="1" applyFill="1" applyBorder="1" applyAlignment="1" applyProtection="1">
      <alignment horizontal="left" vertical="top" wrapText="1"/>
    </xf>
    <xf numFmtId="0" fontId="37" fillId="3" borderId="0" xfId="0" applyFont="1" applyFill="1" applyBorder="1" applyAlignment="1">
      <alignment horizontal="right" vertical="top" wrapText="1"/>
    </xf>
    <xf numFmtId="0" fontId="7" fillId="3" borderId="3" xfId="0" applyFont="1" applyFill="1" applyBorder="1" applyAlignment="1" applyProtection="1">
      <alignment horizontal="left"/>
    </xf>
    <xf numFmtId="0" fontId="7" fillId="3" borderId="6" xfId="0" applyFont="1" applyFill="1" applyBorder="1" applyAlignment="1" applyProtection="1">
      <alignment horizontal="left"/>
    </xf>
    <xf numFmtId="44" fontId="2" fillId="9" borderId="3" xfId="2" applyFont="1" applyFill="1" applyBorder="1" applyAlignment="1" applyProtection="1">
      <alignment horizontal="center"/>
      <protection locked="0"/>
    </xf>
    <xf numFmtId="44" fontId="2" fillId="9" borderId="6" xfId="2" applyFont="1" applyFill="1" applyBorder="1" applyAlignment="1" applyProtection="1">
      <alignment horizontal="center"/>
      <protection locked="0"/>
    </xf>
    <xf numFmtId="0" fontId="37" fillId="3" borderId="5" xfId="0" applyFont="1" applyFill="1" applyBorder="1" applyAlignment="1">
      <alignment horizontal="left" vertical="top" wrapText="1"/>
    </xf>
    <xf numFmtId="0" fontId="10" fillId="11" borderId="3" xfId="0" applyFont="1" applyFill="1" applyBorder="1" applyAlignment="1" applyProtection="1">
      <alignment horizontal="left" vertical="center"/>
      <protection locked="0"/>
    </xf>
    <xf numFmtId="0" fontId="162" fillId="11" borderId="7" xfId="0" applyFont="1" applyFill="1" applyBorder="1" applyAlignment="1" applyProtection="1">
      <alignment horizontal="left" vertical="center"/>
      <protection locked="0"/>
    </xf>
    <xf numFmtId="0" fontId="162" fillId="11" borderId="6" xfId="0" applyFont="1" applyFill="1" applyBorder="1" applyAlignment="1" applyProtection="1">
      <alignment horizontal="left" vertical="center"/>
      <protection locked="0"/>
    </xf>
    <xf numFmtId="0" fontId="2" fillId="3" borderId="1" xfId="0" applyFont="1" applyFill="1" applyBorder="1" applyAlignment="1" applyProtection="1">
      <alignment horizontal="left"/>
    </xf>
    <xf numFmtId="44" fontId="7" fillId="5" borderId="1" xfId="2" applyFont="1" applyFill="1" applyBorder="1" applyAlignment="1" applyProtection="1">
      <alignment horizontal="center"/>
    </xf>
    <xf numFmtId="0" fontId="1" fillId="3" borderId="0" xfId="0" applyFont="1" applyFill="1" applyBorder="1" applyAlignment="1">
      <alignment horizontal="center" wrapText="1"/>
    </xf>
    <xf numFmtId="0" fontId="24" fillId="3" borderId="3" xfId="0" applyFont="1" applyFill="1" applyBorder="1" applyAlignment="1">
      <alignment horizontal="center"/>
    </xf>
    <xf numFmtId="0" fontId="24" fillId="3" borderId="6" xfId="0" applyFont="1" applyFill="1" applyBorder="1" applyAlignment="1">
      <alignment horizontal="center"/>
    </xf>
    <xf numFmtId="0" fontId="24" fillId="3" borderId="1" xfId="0" applyFont="1" applyFill="1" applyBorder="1" applyAlignment="1">
      <alignment horizontal="center"/>
    </xf>
    <xf numFmtId="174" fontId="210" fillId="11" borderId="39" xfId="2" applyNumberFormat="1" applyFont="1" applyFill="1" applyBorder="1" applyAlignment="1" applyProtection="1">
      <alignment horizontal="center"/>
      <protection locked="0"/>
    </xf>
    <xf numFmtId="174" fontId="210" fillId="11" borderId="6" xfId="2" applyNumberFormat="1" applyFont="1" applyFill="1" applyBorder="1" applyAlignment="1" applyProtection="1">
      <alignment horizontal="center"/>
      <protection locked="0"/>
    </xf>
    <xf numFmtId="0" fontId="32" fillId="3" borderId="4" xfId="0" applyFont="1" applyFill="1" applyBorder="1" applyAlignment="1">
      <alignment horizontal="center" wrapText="1"/>
    </xf>
    <xf numFmtId="0" fontId="32" fillId="3" borderId="2" xfId="0" applyFont="1" applyFill="1" applyBorder="1" applyAlignment="1">
      <alignment horizontal="center" wrapText="1"/>
    </xf>
    <xf numFmtId="0" fontId="32" fillId="3" borderId="15" xfId="0" applyFont="1" applyFill="1" applyBorder="1" applyAlignment="1">
      <alignment horizontal="center" vertical="center" wrapText="1"/>
    </xf>
    <xf numFmtId="0" fontId="32" fillId="3" borderId="13" xfId="0" applyFont="1" applyFill="1" applyBorder="1" applyAlignment="1">
      <alignment horizontal="center" vertical="center" wrapText="1"/>
    </xf>
    <xf numFmtId="0" fontId="32" fillId="3" borderId="12" xfId="0" applyFont="1" applyFill="1" applyBorder="1" applyAlignment="1">
      <alignment horizontal="center" vertical="center" wrapText="1"/>
    </xf>
    <xf numFmtId="0" fontId="32" fillId="3" borderId="11" xfId="0" applyFont="1" applyFill="1" applyBorder="1" applyAlignment="1">
      <alignment horizontal="center" vertical="center" wrapText="1"/>
    </xf>
    <xf numFmtId="44" fontId="2" fillId="8" borderId="46" xfId="2" applyFont="1" applyFill="1" applyBorder="1" applyAlignment="1" applyProtection="1">
      <alignment horizontal="center"/>
      <protection locked="0"/>
    </xf>
    <xf numFmtId="0" fontId="14" fillId="14" borderId="76" xfId="10" applyFont="1" applyFill="1" applyBorder="1" applyAlignment="1" applyProtection="1">
      <alignment horizontal="left"/>
      <protection locked="0"/>
    </xf>
    <xf numFmtId="0" fontId="77" fillId="3" borderId="5" xfId="0" applyFont="1" applyFill="1" applyBorder="1" applyAlignment="1">
      <alignment horizontal="right"/>
    </xf>
    <xf numFmtId="0" fontId="2" fillId="3" borderId="1" xfId="0" applyFont="1" applyFill="1" applyBorder="1" applyAlignment="1" applyProtection="1">
      <alignment horizontal="center"/>
    </xf>
    <xf numFmtId="0" fontId="24" fillId="3" borderId="1" xfId="0" applyFont="1" applyFill="1" applyBorder="1" applyAlignment="1">
      <alignment horizontal="center" wrapText="1"/>
    </xf>
    <xf numFmtId="0" fontId="1" fillId="3" borderId="3" xfId="0" applyFont="1" applyFill="1" applyBorder="1" applyAlignment="1" applyProtection="1">
      <alignment horizontal="left"/>
    </xf>
    <xf numFmtId="0" fontId="0" fillId="0" borderId="6" xfId="0" applyBorder="1" applyAlignment="1"/>
    <xf numFmtId="0" fontId="2" fillId="3" borderId="3" xfId="0" applyFont="1" applyFill="1" applyBorder="1" applyAlignment="1" applyProtection="1">
      <alignment horizontal="center"/>
    </xf>
    <xf numFmtId="0" fontId="2" fillId="3" borderId="6" xfId="0" applyFont="1" applyFill="1" applyBorder="1" applyAlignment="1" applyProtection="1">
      <alignment horizontal="center"/>
    </xf>
    <xf numFmtId="0" fontId="115" fillId="11" borderId="3" xfId="2" applyNumberFormat="1" applyFont="1" applyFill="1" applyBorder="1" applyAlignment="1" applyProtection="1">
      <alignment horizontal="left" wrapText="1"/>
      <protection locked="0"/>
    </xf>
    <xf numFmtId="0" fontId="115" fillId="11" borderId="7" xfId="2" applyNumberFormat="1" applyFont="1" applyFill="1" applyBorder="1" applyAlignment="1" applyProtection="1">
      <alignment horizontal="left" wrapText="1"/>
      <protection locked="0"/>
    </xf>
    <xf numFmtId="0" fontId="115" fillId="11" borderId="6" xfId="2" applyNumberFormat="1" applyFont="1" applyFill="1" applyBorder="1" applyAlignment="1" applyProtection="1">
      <alignment horizontal="left" wrapText="1"/>
      <protection locked="0"/>
    </xf>
    <xf numFmtId="44" fontId="207" fillId="8" borderId="3" xfId="2" applyFont="1" applyFill="1" applyBorder="1" applyAlignment="1" applyProtection="1">
      <alignment horizontal="center"/>
      <protection locked="0"/>
    </xf>
    <xf numFmtId="44" fontId="207" fillId="8" borderId="6" xfId="2" applyFont="1" applyFill="1" applyBorder="1" applyAlignment="1" applyProtection="1">
      <alignment horizontal="center"/>
      <protection locked="0"/>
    </xf>
    <xf numFmtId="0" fontId="1" fillId="8" borderId="3" xfId="0" applyFont="1" applyFill="1" applyBorder="1" applyAlignment="1" applyProtection="1">
      <alignment horizontal="left"/>
      <protection locked="0"/>
    </xf>
    <xf numFmtId="0" fontId="1" fillId="8" borderId="7" xfId="0" applyFont="1" applyFill="1" applyBorder="1" applyAlignment="1" applyProtection="1">
      <alignment horizontal="left"/>
      <protection locked="0"/>
    </xf>
    <xf numFmtId="0" fontId="1" fillId="8" borderId="6" xfId="0" applyFont="1" applyFill="1" applyBorder="1" applyAlignment="1" applyProtection="1">
      <alignment horizontal="left"/>
      <protection locked="0"/>
    </xf>
    <xf numFmtId="179" fontId="1" fillId="8" borderId="1" xfId="0" applyNumberFormat="1" applyFont="1" applyFill="1" applyBorder="1" applyAlignment="1" applyProtection="1">
      <alignment horizontal="left"/>
      <protection locked="0"/>
    </xf>
    <xf numFmtId="0" fontId="2" fillId="14" borderId="74" xfId="10" applyFont="1" applyFill="1" applyBorder="1" applyAlignment="1" applyProtection="1">
      <alignment horizontal="left" vertical="center"/>
      <protection locked="0"/>
    </xf>
    <xf numFmtId="0" fontId="207" fillId="14" borderId="74" xfId="10" applyFont="1" applyFill="1" applyBorder="1" applyAlignment="1" applyProtection="1">
      <alignment horizontal="left" vertical="center"/>
      <protection locked="0"/>
    </xf>
    <xf numFmtId="0" fontId="32" fillId="3" borderId="1" xfId="0" applyFont="1" applyFill="1" applyBorder="1" applyAlignment="1">
      <alignment horizontal="left" vertical="center"/>
    </xf>
    <xf numFmtId="0" fontId="32" fillId="3" borderId="3" xfId="0" applyFont="1" applyFill="1" applyBorder="1" applyAlignment="1">
      <alignment horizontal="left" vertical="center" wrapText="1"/>
    </xf>
    <xf numFmtId="0" fontId="32" fillId="3" borderId="7" xfId="0" applyFont="1" applyFill="1" applyBorder="1" applyAlignment="1">
      <alignment horizontal="left" vertical="center" wrapText="1"/>
    </xf>
    <xf numFmtId="0" fontId="32" fillId="3" borderId="6" xfId="0" applyFont="1" applyFill="1" applyBorder="1" applyAlignment="1">
      <alignment horizontal="left" vertical="center" wrapText="1"/>
    </xf>
    <xf numFmtId="0" fontId="25" fillId="5" borderId="0" xfId="0" applyFont="1" applyFill="1" applyBorder="1" applyAlignment="1" applyProtection="1">
      <alignment horizontal="left" vertical="top" wrapText="1"/>
      <protection locked="0"/>
    </xf>
    <xf numFmtId="0" fontId="1" fillId="12" borderId="75" xfId="10" applyFont="1" applyFill="1" applyBorder="1" applyAlignment="1" applyProtection="1">
      <alignment horizontal="left" vertical="center"/>
      <protection locked="0"/>
    </xf>
    <xf numFmtId="0" fontId="2" fillId="9" borderId="1" xfId="0" applyFont="1" applyFill="1" applyBorder="1" applyAlignment="1" applyProtection="1">
      <alignment horizontal="left" vertical="center"/>
      <protection locked="0"/>
    </xf>
    <xf numFmtId="0" fontId="37" fillId="3" borderId="0" xfId="0" applyFont="1" applyFill="1" applyAlignment="1">
      <alignment horizontal="left" vertical="top" wrapText="1"/>
    </xf>
    <xf numFmtId="0" fontId="1" fillId="8" borderId="3" xfId="0" applyFont="1" applyFill="1" applyBorder="1" applyAlignment="1" applyProtection="1">
      <alignment horizontal="left" vertical="center"/>
      <protection locked="0"/>
    </xf>
    <xf numFmtId="0" fontId="1" fillId="8" borderId="7" xfId="0" applyFont="1" applyFill="1" applyBorder="1" applyAlignment="1" applyProtection="1">
      <alignment horizontal="left" vertical="center"/>
      <protection locked="0"/>
    </xf>
    <xf numFmtId="0" fontId="7" fillId="3" borderId="3" xfId="0" applyFont="1" applyFill="1" applyBorder="1" applyAlignment="1" applyProtection="1">
      <alignment horizontal="left" wrapText="1"/>
    </xf>
    <xf numFmtId="0" fontId="7" fillId="3" borderId="7" xfId="0" applyFont="1" applyFill="1" applyBorder="1" applyAlignment="1" applyProtection="1">
      <alignment horizontal="left" wrapText="1"/>
    </xf>
    <xf numFmtId="0" fontId="7" fillId="3" borderId="6" xfId="0" applyFont="1" applyFill="1" applyBorder="1" applyAlignment="1" applyProtection="1">
      <alignment horizontal="left" wrapText="1"/>
    </xf>
    <xf numFmtId="0" fontId="69" fillId="3" borderId="7" xfId="0" applyFont="1" applyFill="1" applyBorder="1" applyAlignment="1">
      <alignment horizontal="right"/>
    </xf>
    <xf numFmtId="179" fontId="2" fillId="8" borderId="3" xfId="0" applyNumberFormat="1" applyFont="1" applyFill="1" applyBorder="1" applyAlignment="1" applyProtection="1">
      <alignment horizontal="left"/>
      <protection locked="0"/>
    </xf>
    <xf numFmtId="179" fontId="2" fillId="8" borderId="7" xfId="0" applyNumberFormat="1" applyFont="1" applyFill="1" applyBorder="1" applyAlignment="1" applyProtection="1">
      <alignment horizontal="left"/>
      <protection locked="0"/>
    </xf>
    <xf numFmtId="179" fontId="2" fillId="8" borderId="6" xfId="0" applyNumberFormat="1" applyFont="1" applyFill="1" applyBorder="1" applyAlignment="1" applyProtection="1">
      <alignment horizontal="left"/>
      <protection locked="0"/>
    </xf>
    <xf numFmtId="0" fontId="25" fillId="8" borderId="46" xfId="0" applyFont="1" applyFill="1" applyBorder="1" applyAlignment="1" applyProtection="1">
      <alignment horizontal="left"/>
      <protection locked="0"/>
    </xf>
    <xf numFmtId="0" fontId="2" fillId="3" borderId="3" xfId="0" applyFont="1" applyFill="1" applyBorder="1" applyAlignment="1" applyProtection="1">
      <alignment horizontal="left"/>
    </xf>
    <xf numFmtId="0" fontId="32" fillId="3" borderId="1" xfId="0" applyFont="1" applyFill="1" applyBorder="1" applyAlignment="1">
      <alignment horizontal="left" vertical="center" wrapText="1"/>
    </xf>
    <xf numFmtId="0" fontId="24" fillId="3" borderId="0" xfId="0" applyFont="1" applyFill="1" applyBorder="1" applyAlignment="1" applyProtection="1">
      <alignment horizontal="left" vertical="center" wrapText="1"/>
    </xf>
    <xf numFmtId="174" fontId="165" fillId="11" borderId="1" xfId="2" applyNumberFormat="1" applyFont="1" applyFill="1" applyBorder="1" applyAlignment="1" applyProtection="1">
      <alignment horizontal="left"/>
      <protection locked="0"/>
    </xf>
    <xf numFmtId="44" fontId="7" fillId="8" borderId="39" xfId="2" applyFont="1" applyFill="1" applyBorder="1" applyAlignment="1" applyProtection="1">
      <alignment horizontal="left"/>
      <protection locked="0"/>
    </xf>
    <xf numFmtId="44" fontId="7" fillId="8" borderId="6" xfId="2" applyFont="1" applyFill="1" applyBorder="1" applyAlignment="1" applyProtection="1">
      <alignment horizontal="left"/>
      <protection locked="0"/>
    </xf>
    <xf numFmtId="0" fontId="32" fillId="3" borderId="105" xfId="0" applyFont="1" applyFill="1" applyBorder="1" applyAlignment="1">
      <alignment horizontal="center"/>
    </xf>
    <xf numFmtId="0" fontId="32" fillId="3" borderId="106" xfId="0" applyFont="1" applyFill="1" applyBorder="1" applyAlignment="1">
      <alignment horizontal="center"/>
    </xf>
    <xf numFmtId="0" fontId="32" fillId="3" borderId="7" xfId="0" applyFont="1" applyFill="1" applyBorder="1" applyAlignment="1">
      <alignment horizontal="left"/>
    </xf>
    <xf numFmtId="0" fontId="25" fillId="3" borderId="0" xfId="0" applyFont="1" applyFill="1" applyBorder="1" applyAlignment="1" applyProtection="1">
      <alignment horizontal="left" vertical="center" wrapText="1"/>
    </xf>
    <xf numFmtId="0" fontId="25" fillId="3" borderId="9" xfId="0" applyFont="1" applyFill="1" applyBorder="1" applyAlignment="1" applyProtection="1">
      <alignment horizontal="left" vertical="center" wrapText="1"/>
    </xf>
    <xf numFmtId="167" fontId="25" fillId="8" borderId="4" xfId="6" applyNumberFormat="1" applyFont="1" applyFill="1" applyBorder="1" applyAlignment="1" applyProtection="1">
      <alignment horizontal="center" vertical="center"/>
      <protection locked="0"/>
    </xf>
    <xf numFmtId="167" fontId="25" fillId="8" borderId="2" xfId="6" applyNumberFormat="1" applyFont="1" applyFill="1" applyBorder="1" applyAlignment="1" applyProtection="1">
      <alignment horizontal="center" vertical="center"/>
      <protection locked="0"/>
    </xf>
    <xf numFmtId="2" fontId="152" fillId="3" borderId="0" xfId="4" applyNumberFormat="1" applyFont="1" applyFill="1" applyBorder="1" applyAlignment="1">
      <alignment horizontal="left" vertical="center" wrapText="1"/>
    </xf>
    <xf numFmtId="44" fontId="1" fillId="9" borderId="1" xfId="2" applyFont="1" applyFill="1" applyBorder="1" applyAlignment="1" applyProtection="1">
      <alignment horizontal="left" vertical="center"/>
      <protection locked="0"/>
    </xf>
    <xf numFmtId="44" fontId="1" fillId="9" borderId="3" xfId="2" applyFont="1" applyFill="1" applyBorder="1" applyAlignment="1" applyProtection="1">
      <alignment horizontal="left" vertical="center"/>
      <protection locked="0"/>
    </xf>
    <xf numFmtId="169" fontId="7" fillId="9" borderId="39" xfId="8" applyNumberFormat="1" applyFont="1" applyFill="1" applyBorder="1" applyAlignment="1" applyProtection="1">
      <alignment horizontal="center"/>
      <protection locked="0"/>
    </xf>
    <xf numFmtId="169" fontId="7" fillId="9" borderId="6" xfId="8" applyNumberFormat="1" applyFont="1" applyFill="1" applyBorder="1" applyAlignment="1" applyProtection="1">
      <alignment horizontal="center"/>
      <protection locked="0"/>
    </xf>
    <xf numFmtId="0" fontId="25" fillId="3" borderId="1" xfId="0" applyFont="1" applyFill="1" applyBorder="1" applyAlignment="1">
      <alignment horizontal="left"/>
    </xf>
    <xf numFmtId="0" fontId="158" fillId="3" borderId="0" xfId="0" applyFont="1" applyFill="1" applyAlignment="1">
      <alignment horizontal="center" vertical="center"/>
    </xf>
    <xf numFmtId="0" fontId="158" fillId="3" borderId="10" xfId="0" applyFont="1" applyFill="1" applyBorder="1" applyAlignment="1">
      <alignment horizontal="center" vertical="center"/>
    </xf>
    <xf numFmtId="0" fontId="2" fillId="3" borderId="0" xfId="0" applyFont="1" applyFill="1" applyBorder="1" applyAlignment="1">
      <alignment horizontal="right"/>
    </xf>
    <xf numFmtId="0" fontId="25" fillId="3" borderId="0" xfId="0" applyFont="1" applyFill="1" applyBorder="1" applyAlignment="1">
      <alignment horizontal="left" wrapText="1"/>
    </xf>
    <xf numFmtId="0" fontId="25" fillId="3" borderId="9" xfId="0" applyFont="1" applyFill="1" applyBorder="1" applyAlignment="1">
      <alignment horizontal="left" wrapText="1"/>
    </xf>
    <xf numFmtId="0" fontId="25" fillId="3" borderId="10" xfId="0" applyFont="1" applyFill="1" applyBorder="1" applyAlignment="1">
      <alignment horizontal="left" wrapText="1"/>
    </xf>
    <xf numFmtId="0" fontId="25" fillId="3" borderId="11" xfId="0" applyFont="1" applyFill="1" applyBorder="1" applyAlignment="1">
      <alignment horizontal="left" wrapText="1"/>
    </xf>
    <xf numFmtId="0" fontId="24" fillId="3" borderId="4" xfId="0" applyFont="1" applyFill="1" applyBorder="1" applyAlignment="1">
      <alignment horizontal="center" vertical="center"/>
    </xf>
    <xf numFmtId="0" fontId="24" fillId="3" borderId="2" xfId="0" applyFont="1" applyFill="1" applyBorder="1" applyAlignment="1">
      <alignment horizontal="center" vertical="center"/>
    </xf>
    <xf numFmtId="0" fontId="25" fillId="3" borderId="10" xfId="0" applyFont="1" applyFill="1" applyBorder="1" applyAlignment="1">
      <alignment horizontal="left"/>
    </xf>
    <xf numFmtId="0" fontId="25" fillId="3" borderId="11" xfId="0" applyFont="1" applyFill="1" applyBorder="1" applyAlignment="1">
      <alignment horizontal="left"/>
    </xf>
    <xf numFmtId="0" fontId="25" fillId="3" borderId="2" xfId="0" applyFont="1" applyFill="1" applyBorder="1" applyAlignment="1">
      <alignment horizontal="left"/>
    </xf>
    <xf numFmtId="0" fontId="24" fillId="3" borderId="1" xfId="0" applyFont="1" applyFill="1" applyBorder="1" applyAlignment="1">
      <alignment horizontal="left"/>
    </xf>
    <xf numFmtId="167" fontId="130" fillId="3" borderId="0" xfId="0" applyNumberFormat="1" applyFont="1" applyFill="1" applyBorder="1" applyAlignment="1">
      <alignment horizontal="right"/>
    </xf>
    <xf numFmtId="0" fontId="153" fillId="3" borderId="8" xfId="0" applyFont="1" applyFill="1" applyBorder="1" applyAlignment="1">
      <alignment horizontal="center" wrapText="1"/>
    </xf>
    <xf numFmtId="0" fontId="159" fillId="3" borderId="0" xfId="0" applyFont="1" applyFill="1" applyAlignment="1">
      <alignment horizontal="right" vertical="top"/>
    </xf>
    <xf numFmtId="0" fontId="159" fillId="3" borderId="10" xfId="0" applyFont="1" applyFill="1" applyBorder="1" applyAlignment="1">
      <alignment horizontal="right" vertical="top"/>
    </xf>
    <xf numFmtId="0" fontId="37" fillId="3" borderId="203" xfId="0" applyFont="1" applyFill="1" applyBorder="1" applyAlignment="1">
      <alignment horizontal="left" vertical="center" wrapText="1"/>
    </xf>
    <xf numFmtId="0" fontId="37" fillId="3" borderId="0" xfId="0" applyFont="1" applyFill="1" applyBorder="1" applyAlignment="1">
      <alignment horizontal="left" vertical="center" wrapText="1"/>
    </xf>
    <xf numFmtId="0" fontId="1" fillId="3" borderId="10" xfId="0" applyFont="1" applyFill="1" applyBorder="1" applyAlignment="1">
      <alignment horizontal="left"/>
    </xf>
    <xf numFmtId="0" fontId="2" fillId="3" borderId="10" xfId="0" applyFont="1" applyFill="1" applyBorder="1" applyAlignment="1">
      <alignment horizontal="left"/>
    </xf>
    <xf numFmtId="0" fontId="2" fillId="3" borderId="11" xfId="0" applyFont="1" applyFill="1" applyBorder="1" applyAlignment="1">
      <alignment horizontal="left"/>
    </xf>
    <xf numFmtId="167" fontId="10" fillId="3" borderId="0" xfId="0" applyNumberFormat="1" applyFont="1" applyFill="1" applyBorder="1" applyAlignment="1">
      <alignment horizontal="left" vertical="top" wrapText="1"/>
    </xf>
    <xf numFmtId="0" fontId="24" fillId="3" borderId="3" xfId="0" applyFont="1" applyFill="1" applyBorder="1" applyAlignment="1">
      <alignment horizontal="left"/>
    </xf>
    <xf numFmtId="0" fontId="24" fillId="3" borderId="7" xfId="0" applyFont="1" applyFill="1" applyBorder="1" applyAlignment="1">
      <alignment horizontal="left"/>
    </xf>
    <xf numFmtId="0" fontId="24" fillId="3" borderId="6" xfId="0" applyFont="1" applyFill="1" applyBorder="1" applyAlignment="1">
      <alignment horizontal="left"/>
    </xf>
    <xf numFmtId="167" fontId="5" fillId="3" borderId="0" xfId="6" applyNumberFormat="1" applyFont="1" applyFill="1" applyBorder="1" applyAlignment="1">
      <alignment horizontal="center" vertical="center"/>
    </xf>
    <xf numFmtId="0" fontId="5" fillId="3" borderId="111" xfId="4" applyFont="1" applyFill="1" applyBorder="1" applyAlignment="1">
      <alignment horizontal="left" vertical="center" wrapText="1"/>
    </xf>
    <xf numFmtId="0" fontId="5" fillId="3" borderId="0" xfId="4" applyFont="1" applyFill="1" applyBorder="1" applyAlignment="1">
      <alignment horizontal="left" vertical="center" wrapText="1"/>
    </xf>
    <xf numFmtId="0" fontId="5" fillId="3" borderId="21" xfId="4" applyFont="1" applyFill="1" applyBorder="1" applyAlignment="1">
      <alignment horizontal="left" vertical="center" wrapText="1"/>
    </xf>
    <xf numFmtId="0" fontId="7" fillId="3" borderId="3" xfId="0" applyFont="1" applyFill="1" applyBorder="1" applyAlignment="1">
      <alignment horizontal="left" vertical="center" wrapText="1"/>
    </xf>
    <xf numFmtId="0" fontId="7" fillId="3" borderId="7" xfId="0" applyFont="1" applyFill="1" applyBorder="1" applyAlignment="1">
      <alignment horizontal="left" vertical="center" wrapText="1"/>
    </xf>
    <xf numFmtId="0" fontId="7" fillId="3" borderId="6" xfId="0" applyFont="1" applyFill="1" applyBorder="1" applyAlignment="1">
      <alignment horizontal="left" vertical="center" wrapText="1"/>
    </xf>
    <xf numFmtId="0" fontId="2" fillId="3" borderId="1" xfId="4" applyFont="1" applyFill="1" applyBorder="1" applyAlignment="1">
      <alignment horizontal="left" vertical="center"/>
    </xf>
    <xf numFmtId="0" fontId="92" fillId="3" borderId="0" xfId="0" applyFont="1" applyFill="1" applyBorder="1" applyAlignment="1" applyProtection="1">
      <alignment horizontal="center" vertical="center" wrapText="1"/>
      <protection hidden="1"/>
    </xf>
    <xf numFmtId="0" fontId="92" fillId="3" borderId="67" xfId="0" applyFont="1" applyFill="1" applyBorder="1" applyAlignment="1" applyProtection="1">
      <alignment horizontal="center" vertical="center" wrapText="1"/>
      <protection hidden="1"/>
    </xf>
    <xf numFmtId="0" fontId="7" fillId="3" borderId="1" xfId="0" applyFont="1" applyFill="1" applyBorder="1" applyAlignment="1">
      <alignment horizontal="left"/>
    </xf>
    <xf numFmtId="0" fontId="1" fillId="3" borderId="15" xfId="0" applyFont="1" applyFill="1" applyBorder="1" applyAlignment="1">
      <alignment horizontal="left" wrapText="1"/>
    </xf>
    <xf numFmtId="0" fontId="1" fillId="3" borderId="13" xfId="0" applyFont="1" applyFill="1" applyBorder="1" applyAlignment="1">
      <alignment horizontal="left" wrapText="1"/>
    </xf>
    <xf numFmtId="0" fontId="2" fillId="3" borderId="1" xfId="0" applyFont="1" applyFill="1" applyBorder="1" applyAlignment="1">
      <alignment horizontal="left" vertical="center" wrapText="1"/>
    </xf>
    <xf numFmtId="0" fontId="7" fillId="3" borderId="1" xfId="0" applyFont="1" applyFill="1" applyBorder="1" applyAlignment="1">
      <alignment horizontal="left" vertical="center" wrapText="1"/>
    </xf>
    <xf numFmtId="0" fontId="7" fillId="3" borderId="3" xfId="0" applyFont="1" applyFill="1" applyBorder="1" applyAlignment="1">
      <alignment horizontal="left"/>
    </xf>
    <xf numFmtId="0" fontId="7" fillId="3" borderId="6" xfId="0" applyFont="1" applyFill="1" applyBorder="1" applyAlignment="1">
      <alignment horizontal="left"/>
    </xf>
    <xf numFmtId="0" fontId="2" fillId="3" borderId="3" xfId="4" applyFont="1" applyFill="1" applyBorder="1" applyAlignment="1">
      <alignment horizontal="left" vertical="center" wrapText="1"/>
    </xf>
    <xf numFmtId="0" fontId="2" fillId="3" borderId="7" xfId="4" applyFont="1" applyFill="1" applyBorder="1" applyAlignment="1">
      <alignment horizontal="left" vertical="center" wrapText="1"/>
    </xf>
    <xf numFmtId="0" fontId="7" fillId="3" borderId="3" xfId="4" applyFont="1" applyFill="1" applyBorder="1" applyAlignment="1">
      <alignment horizontal="left" vertical="center"/>
    </xf>
    <xf numFmtId="0" fontId="7" fillId="3" borderId="6" xfId="4" applyFont="1" applyFill="1" applyBorder="1" applyAlignment="1">
      <alignment horizontal="left" vertical="center"/>
    </xf>
    <xf numFmtId="0" fontId="7" fillId="3" borderId="3" xfId="0" applyFont="1" applyFill="1" applyBorder="1" applyAlignment="1">
      <alignment horizontal="left" wrapText="1"/>
    </xf>
    <xf numFmtId="0" fontId="7" fillId="3" borderId="7" xfId="0" applyFont="1" applyFill="1" applyBorder="1" applyAlignment="1">
      <alignment horizontal="left" wrapText="1"/>
    </xf>
    <xf numFmtId="0" fontId="67" fillId="3" borderId="9" xfId="4" applyFont="1" applyFill="1" applyBorder="1" applyAlignment="1" applyProtection="1">
      <alignment horizontal="right" wrapText="1"/>
      <protection hidden="1"/>
    </xf>
    <xf numFmtId="0" fontId="67" fillId="3" borderId="11" xfId="4" applyFont="1" applyFill="1" applyBorder="1" applyAlignment="1" applyProtection="1">
      <alignment horizontal="right" wrapText="1"/>
      <protection hidden="1"/>
    </xf>
    <xf numFmtId="0" fontId="1" fillId="3" borderId="1" xfId="4" applyFont="1" applyFill="1" applyBorder="1" applyAlignment="1" applyProtection="1">
      <alignment horizontal="left" vertical="center" wrapText="1"/>
      <protection hidden="1"/>
    </xf>
    <xf numFmtId="0" fontId="7" fillId="3" borderId="7" xfId="4" applyFont="1" applyFill="1" applyBorder="1" applyAlignment="1">
      <alignment horizontal="left" vertical="center"/>
    </xf>
    <xf numFmtId="0" fontId="7" fillId="3" borderId="4" xfId="4" applyFont="1" applyFill="1" applyBorder="1" applyAlignment="1">
      <alignment horizontal="left" vertical="center" wrapText="1"/>
    </xf>
    <xf numFmtId="0" fontId="7" fillId="3" borderId="14" xfId="4" applyFont="1" applyFill="1" applyBorder="1" applyAlignment="1">
      <alignment horizontal="left" vertical="center" wrapText="1"/>
    </xf>
    <xf numFmtId="0" fontId="7" fillId="3" borderId="2" xfId="4" applyFont="1" applyFill="1" applyBorder="1" applyAlignment="1">
      <alignment horizontal="left" vertical="center" wrapText="1"/>
    </xf>
    <xf numFmtId="0" fontId="67" fillId="3" borderId="5" xfId="0" applyFont="1" applyFill="1" applyBorder="1" applyAlignment="1">
      <alignment horizontal="center" wrapText="1"/>
    </xf>
    <xf numFmtId="0" fontId="67" fillId="3" borderId="10" xfId="0" applyFont="1" applyFill="1" applyBorder="1" applyAlignment="1">
      <alignment horizontal="center" wrapText="1"/>
    </xf>
    <xf numFmtId="0" fontId="2" fillId="3" borderId="1" xfId="4" applyFont="1" applyFill="1" applyBorder="1" applyAlignment="1">
      <alignment horizontal="left" wrapText="1"/>
    </xf>
    <xf numFmtId="0" fontId="10" fillId="3" borderId="119" xfId="4" applyFont="1" applyFill="1" applyBorder="1" applyAlignment="1">
      <alignment horizontal="left" vertical="center" wrapText="1"/>
    </xf>
    <xf numFmtId="0" fontId="10" fillId="3" borderId="5" xfId="4" applyFont="1" applyFill="1" applyBorder="1" applyAlignment="1">
      <alignment horizontal="left" vertical="center" wrapText="1"/>
    </xf>
    <xf numFmtId="0" fontId="7" fillId="3" borderId="4" xfId="0" applyFont="1" applyFill="1" applyBorder="1" applyAlignment="1">
      <alignment horizontal="left" vertical="center" wrapText="1"/>
    </xf>
    <xf numFmtId="0" fontId="7" fillId="3" borderId="14" xfId="0" applyFont="1" applyFill="1" applyBorder="1" applyAlignment="1">
      <alignment horizontal="left" vertical="center" wrapText="1"/>
    </xf>
    <xf numFmtId="0" fontId="7" fillId="3" borderId="2" xfId="0" applyFont="1" applyFill="1" applyBorder="1" applyAlignment="1">
      <alignment horizontal="left" vertical="center" wrapText="1"/>
    </xf>
    <xf numFmtId="0" fontId="67" fillId="3" borderId="9" xfId="4" applyFont="1" applyFill="1" applyBorder="1" applyAlignment="1" applyProtection="1">
      <alignment horizontal="center" wrapText="1"/>
      <protection hidden="1"/>
    </xf>
    <xf numFmtId="0" fontId="67" fillId="3" borderId="11" xfId="4" applyFont="1" applyFill="1" applyBorder="1" applyAlignment="1" applyProtection="1">
      <alignment horizontal="center" wrapText="1"/>
      <protection hidden="1"/>
    </xf>
    <xf numFmtId="0" fontId="1" fillId="3" borderId="182" xfId="0" applyFont="1" applyFill="1" applyBorder="1" applyAlignment="1">
      <alignment horizontal="left" vertical="center" wrapText="1"/>
    </xf>
    <xf numFmtId="0" fontId="7" fillId="3" borderId="3" xfId="4" applyFont="1" applyFill="1" applyBorder="1" applyAlignment="1">
      <alignment horizontal="left" vertical="center" wrapText="1"/>
    </xf>
    <xf numFmtId="0" fontId="7" fillId="3" borderId="7" xfId="4" applyFont="1" applyFill="1" applyBorder="1" applyAlignment="1">
      <alignment horizontal="left" vertical="center" wrapText="1"/>
    </xf>
    <xf numFmtId="0" fontId="7" fillId="3" borderId="6" xfId="4" applyFont="1" applyFill="1" applyBorder="1" applyAlignment="1">
      <alignment horizontal="left" vertical="center" wrapText="1"/>
    </xf>
    <xf numFmtId="44" fontId="2" fillId="3" borderId="3" xfId="2" applyFont="1" applyFill="1" applyBorder="1" applyAlignment="1">
      <alignment horizontal="left" vertical="center" wrapText="1"/>
    </xf>
    <xf numFmtId="44" fontId="2" fillId="3" borderId="7" xfId="2" applyFont="1" applyFill="1" applyBorder="1" applyAlignment="1">
      <alignment horizontal="left" vertical="center" wrapText="1"/>
    </xf>
    <xf numFmtId="44" fontId="2" fillId="3" borderId="6" xfId="2" applyFont="1" applyFill="1" applyBorder="1" applyAlignment="1">
      <alignment horizontal="left" vertical="center" wrapText="1"/>
    </xf>
    <xf numFmtId="0" fontId="67" fillId="3" borderId="10" xfId="0" applyFont="1" applyFill="1" applyBorder="1" applyAlignment="1">
      <alignment horizontal="right" wrapText="1"/>
    </xf>
    <xf numFmtId="0" fontId="7" fillId="3" borderId="3" xfId="0" applyFont="1" applyFill="1" applyBorder="1" applyAlignment="1">
      <alignment horizontal="left" vertical="center"/>
    </xf>
    <xf numFmtId="0" fontId="7" fillId="3" borderId="6" xfId="0" applyFont="1" applyFill="1" applyBorder="1" applyAlignment="1">
      <alignment horizontal="left" vertical="center"/>
    </xf>
    <xf numFmtId="0" fontId="92" fillId="3" borderId="194" xfId="0" applyFont="1" applyFill="1" applyBorder="1" applyAlignment="1" applyProtection="1">
      <alignment horizontal="left" vertical="center" wrapText="1"/>
      <protection hidden="1"/>
    </xf>
    <xf numFmtId="0" fontId="92" fillId="3" borderId="147" xfId="0" applyFont="1" applyFill="1" applyBorder="1" applyAlignment="1" applyProtection="1">
      <alignment horizontal="left" vertical="center" wrapText="1"/>
      <protection hidden="1"/>
    </xf>
    <xf numFmtId="0" fontId="37" fillId="13" borderId="85" xfId="1" applyFont="1" applyFill="1" applyBorder="1" applyAlignment="1" applyProtection="1">
      <alignment horizontal="center" vertical="center"/>
      <protection locked="0"/>
    </xf>
    <xf numFmtId="0" fontId="37" fillId="13" borderId="224" xfId="1" applyFont="1" applyFill="1" applyBorder="1" applyAlignment="1" applyProtection="1">
      <alignment horizontal="center" vertical="center"/>
      <protection locked="0"/>
    </xf>
    <xf numFmtId="0" fontId="37" fillId="13" borderId="86" xfId="1" applyFont="1" applyFill="1" applyBorder="1" applyAlignment="1" applyProtection="1">
      <alignment horizontal="center" vertical="center"/>
      <protection locked="0"/>
    </xf>
    <xf numFmtId="0" fontId="2" fillId="3" borderId="4" xfId="0" applyFont="1" applyFill="1" applyBorder="1" applyAlignment="1">
      <alignment horizontal="center" vertical="center" wrapText="1"/>
    </xf>
    <xf numFmtId="0" fontId="2" fillId="3" borderId="14" xfId="0" applyFont="1" applyFill="1" applyBorder="1" applyAlignment="1">
      <alignment horizontal="center" vertical="center" wrapText="1"/>
    </xf>
    <xf numFmtId="0" fontId="2" fillId="3" borderId="2" xfId="0" applyFont="1" applyFill="1" applyBorder="1" applyAlignment="1">
      <alignment horizontal="center" vertical="center" wrapText="1"/>
    </xf>
    <xf numFmtId="2" fontId="142" fillId="3" borderId="87" xfId="4" applyNumberFormat="1" applyFont="1" applyFill="1" applyBorder="1" applyAlignment="1">
      <alignment horizontal="left" vertical="center" wrapText="1"/>
    </xf>
    <xf numFmtId="2" fontId="10" fillId="3" borderId="0" xfId="4" applyNumberFormat="1" applyFont="1" applyFill="1" applyBorder="1" applyAlignment="1">
      <alignment horizontal="left" vertical="center" wrapText="1"/>
    </xf>
    <xf numFmtId="2" fontId="10" fillId="3" borderId="21" xfId="4" applyNumberFormat="1" applyFont="1" applyFill="1" applyBorder="1" applyAlignment="1">
      <alignment horizontal="left" vertical="center" wrapText="1"/>
    </xf>
    <xf numFmtId="2" fontId="10" fillId="3" borderId="16" xfId="4" applyNumberFormat="1" applyFont="1" applyFill="1" applyBorder="1" applyAlignment="1">
      <alignment horizontal="left" vertical="center" wrapText="1"/>
    </xf>
    <xf numFmtId="2" fontId="10" fillId="3" borderId="22" xfId="4" applyNumberFormat="1" applyFont="1" applyFill="1" applyBorder="1" applyAlignment="1">
      <alignment horizontal="left" vertical="center" wrapText="1"/>
    </xf>
    <xf numFmtId="0" fontId="67" fillId="3" borderId="0" xfId="0" applyFont="1" applyFill="1" applyBorder="1" applyAlignment="1">
      <alignment horizontal="left" wrapText="1"/>
    </xf>
    <xf numFmtId="0" fontId="67" fillId="3" borderId="21" xfId="0" applyFont="1" applyFill="1" applyBorder="1" applyAlignment="1">
      <alignment horizontal="left" wrapText="1"/>
    </xf>
    <xf numFmtId="0" fontId="2" fillId="3" borderId="4" xfId="0" applyFont="1" applyFill="1" applyBorder="1" applyAlignment="1">
      <alignment horizontal="left" vertical="center" wrapText="1"/>
    </xf>
    <xf numFmtId="0" fontId="10" fillId="3" borderId="0" xfId="0" applyFont="1" applyFill="1" applyBorder="1" applyAlignment="1">
      <alignment horizontal="left"/>
    </xf>
    <xf numFmtId="0" fontId="7" fillId="3" borderId="15" xfId="4" applyFont="1" applyFill="1" applyBorder="1" applyAlignment="1">
      <alignment horizontal="left" vertical="center" wrapText="1"/>
    </xf>
    <xf numFmtId="0" fontId="7" fillId="3" borderId="5" xfId="4" applyFont="1" applyFill="1" applyBorder="1" applyAlignment="1">
      <alignment horizontal="left" vertical="center" wrapText="1"/>
    </xf>
    <xf numFmtId="0" fontId="7" fillId="3" borderId="13" xfId="4" applyFont="1" applyFill="1" applyBorder="1" applyAlignment="1">
      <alignment horizontal="left" vertical="center" wrapText="1"/>
    </xf>
    <xf numFmtId="0" fontId="7" fillId="3" borderId="12" xfId="4" applyFont="1" applyFill="1" applyBorder="1" applyAlignment="1">
      <alignment horizontal="left" vertical="center" wrapText="1"/>
    </xf>
    <xf numFmtId="0" fontId="7" fillId="3" borderId="10" xfId="4" applyFont="1" applyFill="1" applyBorder="1" applyAlignment="1">
      <alignment horizontal="left" vertical="center" wrapText="1"/>
    </xf>
    <xf numFmtId="0" fontId="7" fillId="3" borderId="11" xfId="4" applyFont="1" applyFill="1" applyBorder="1" applyAlignment="1">
      <alignment horizontal="left" vertical="center" wrapText="1"/>
    </xf>
    <xf numFmtId="0" fontId="2" fillId="3" borderId="2" xfId="0" applyFont="1" applyFill="1" applyBorder="1" applyAlignment="1">
      <alignment horizontal="left" vertical="center" wrapText="1"/>
    </xf>
    <xf numFmtId="0" fontId="7" fillId="3" borderId="29" xfId="0" applyFont="1" applyFill="1" applyBorder="1" applyAlignment="1">
      <alignment horizontal="left" vertical="center" wrapText="1"/>
    </xf>
    <xf numFmtId="0" fontId="7" fillId="3" borderId="1" xfId="4" applyFont="1" applyFill="1" applyBorder="1" applyAlignment="1">
      <alignment horizontal="left" wrapText="1"/>
    </xf>
    <xf numFmtId="0" fontId="7" fillId="3" borderId="30" xfId="0" applyFont="1" applyFill="1" applyBorder="1" applyAlignment="1">
      <alignment horizontal="left" vertical="center" wrapText="1"/>
    </xf>
    <xf numFmtId="0" fontId="7" fillId="3" borderId="149" xfId="0" applyFont="1" applyFill="1" applyBorder="1" applyAlignment="1">
      <alignment horizontal="left" vertical="center" wrapText="1"/>
    </xf>
    <xf numFmtId="0" fontId="1" fillId="3" borderId="0" xfId="0" applyFont="1" applyFill="1" applyBorder="1" applyAlignment="1" applyProtection="1">
      <alignment horizontal="center" wrapText="1"/>
      <protection hidden="1"/>
    </xf>
    <xf numFmtId="0" fontId="1" fillId="3" borderId="10" xfId="0" applyFont="1" applyFill="1" applyBorder="1" applyAlignment="1" applyProtection="1">
      <alignment horizontal="center" wrapText="1"/>
      <protection hidden="1"/>
    </xf>
    <xf numFmtId="0" fontId="103" fillId="3" borderId="5" xfId="4" applyFont="1" applyFill="1" applyBorder="1" applyAlignment="1">
      <alignment horizontal="center" vertical="top" wrapText="1"/>
    </xf>
    <xf numFmtId="0" fontId="67" fillId="3" borderId="0" xfId="0" applyFont="1" applyFill="1" applyBorder="1" applyAlignment="1">
      <alignment horizontal="center"/>
    </xf>
    <xf numFmtId="0" fontId="7" fillId="3" borderId="4" xfId="4" applyFont="1" applyFill="1" applyBorder="1" applyAlignment="1" applyProtection="1">
      <alignment horizontal="center" vertical="center" wrapText="1"/>
      <protection hidden="1"/>
    </xf>
    <xf numFmtId="0" fontId="7" fillId="3" borderId="14" xfId="4" applyFont="1" applyFill="1" applyBorder="1" applyAlignment="1" applyProtection="1">
      <alignment horizontal="center" vertical="center" wrapText="1"/>
      <protection hidden="1"/>
    </xf>
    <xf numFmtId="0" fontId="7" fillId="3" borderId="2" xfId="4" applyFont="1" applyFill="1" applyBorder="1" applyAlignment="1" applyProtection="1">
      <alignment horizontal="center" vertical="center" wrapText="1"/>
      <protection hidden="1"/>
    </xf>
    <xf numFmtId="0" fontId="67" fillId="3" borderId="11" xfId="0" applyFont="1" applyFill="1" applyBorder="1" applyAlignment="1">
      <alignment horizontal="right" wrapText="1"/>
    </xf>
    <xf numFmtId="0" fontId="1" fillId="3" borderId="3" xfId="0" applyFont="1" applyFill="1" applyBorder="1" applyAlignment="1">
      <alignment horizontal="left" wrapText="1"/>
    </xf>
    <xf numFmtId="0" fontId="7" fillId="3" borderId="10" xfId="0" applyFont="1" applyFill="1" applyBorder="1" applyAlignment="1">
      <alignment horizontal="left" wrapText="1"/>
    </xf>
    <xf numFmtId="0" fontId="2" fillId="3" borderId="29" xfId="0" applyFont="1" applyFill="1" applyBorder="1" applyAlignment="1">
      <alignment horizontal="left" vertical="center" wrapText="1"/>
    </xf>
    <xf numFmtId="0" fontId="10" fillId="3" borderId="21" xfId="0" applyFont="1" applyFill="1" applyBorder="1" applyAlignment="1">
      <alignment horizontal="left" vertical="top" wrapText="1"/>
    </xf>
    <xf numFmtId="0" fontId="2" fillId="3" borderId="34" xfId="0" applyFont="1" applyFill="1" applyBorder="1" applyAlignment="1">
      <alignment horizontal="left" vertical="center" wrapText="1"/>
    </xf>
    <xf numFmtId="0" fontId="7" fillId="3" borderId="12" xfId="0" applyFont="1" applyFill="1" applyBorder="1" applyAlignment="1">
      <alignment horizontal="left" vertical="center" wrapText="1"/>
    </xf>
    <xf numFmtId="0" fontId="2" fillId="3" borderId="1" xfId="0" applyFont="1" applyFill="1" applyBorder="1" applyAlignment="1">
      <alignment horizontal="center" vertical="center" wrapText="1"/>
    </xf>
    <xf numFmtId="0" fontId="103" fillId="3" borderId="8" xfId="0" applyFont="1" applyFill="1" applyBorder="1" applyAlignment="1" applyProtection="1">
      <alignment horizontal="center" vertical="center" wrapText="1"/>
      <protection hidden="1"/>
    </xf>
    <xf numFmtId="0" fontId="2" fillId="3" borderId="14" xfId="0" applyFont="1" applyFill="1" applyBorder="1" applyAlignment="1">
      <alignment horizontal="left" vertical="center" wrapText="1"/>
    </xf>
    <xf numFmtId="0" fontId="92" fillId="3" borderId="125" xfId="4" applyFont="1" applyFill="1" applyBorder="1" applyAlignment="1">
      <alignment horizontal="center" vertical="center"/>
    </xf>
    <xf numFmtId="0" fontId="92" fillId="3" borderId="129" xfId="4" applyFont="1" applyFill="1" applyBorder="1" applyAlignment="1">
      <alignment horizontal="center" vertical="center"/>
    </xf>
    <xf numFmtId="0" fontId="58" fillId="3" borderId="0" xfId="4" applyNumberFormat="1" applyFont="1" applyFill="1" applyBorder="1" applyAlignment="1">
      <alignment horizontal="right" vertical="center" wrapText="1"/>
    </xf>
    <xf numFmtId="0" fontId="92" fillId="3" borderId="18" xfId="0" applyFont="1" applyFill="1" applyBorder="1" applyAlignment="1">
      <alignment horizontal="center" wrapText="1"/>
    </xf>
    <xf numFmtId="0" fontId="92" fillId="3" borderId="0" xfId="0" applyFont="1" applyFill="1" applyBorder="1" applyAlignment="1">
      <alignment horizontal="center" wrapText="1"/>
    </xf>
    <xf numFmtId="0" fontId="5" fillId="8" borderId="3" xfId="0" applyFont="1" applyFill="1" applyBorder="1" applyAlignment="1" applyProtection="1">
      <alignment horizontal="left" vertical="center"/>
      <protection locked="0"/>
    </xf>
    <xf numFmtId="0" fontId="5" fillId="8" borderId="7" xfId="0" applyFont="1" applyFill="1" applyBorder="1" applyAlignment="1" applyProtection="1">
      <alignment horizontal="left" vertical="center"/>
      <protection locked="0"/>
    </xf>
    <xf numFmtId="0" fontId="5" fillId="8" borderId="6" xfId="0" applyFont="1" applyFill="1" applyBorder="1" applyAlignment="1" applyProtection="1">
      <alignment horizontal="left" vertical="center"/>
      <protection locked="0"/>
    </xf>
    <xf numFmtId="2" fontId="1" fillId="3" borderId="63" xfId="4" applyNumberFormat="1" applyFont="1" applyFill="1" applyBorder="1" applyAlignment="1">
      <alignment horizontal="center" vertical="center" wrapText="1"/>
    </xf>
    <xf numFmtId="0" fontId="67" fillId="3" borderId="82" xfId="0" applyFont="1" applyFill="1" applyBorder="1" applyAlignment="1">
      <alignment horizontal="center" vertical="top" wrapText="1"/>
    </xf>
    <xf numFmtId="0" fontId="67" fillId="3" borderId="83" xfId="0" applyFont="1" applyFill="1" applyBorder="1" applyAlignment="1">
      <alignment horizontal="center" vertical="top" wrapText="1"/>
    </xf>
    <xf numFmtId="0" fontId="67" fillId="3" borderId="0" xfId="0" applyFont="1" applyFill="1" applyBorder="1" applyAlignment="1">
      <alignment horizontal="center" vertical="top" wrapText="1"/>
    </xf>
    <xf numFmtId="0" fontId="67" fillId="3" borderId="10" xfId="0" applyFont="1" applyFill="1" applyBorder="1" applyAlignment="1">
      <alignment horizontal="center" vertical="top" wrapText="1"/>
    </xf>
    <xf numFmtId="0" fontId="7" fillId="3" borderId="1" xfId="4" applyFont="1" applyFill="1" applyBorder="1" applyAlignment="1">
      <alignment horizontal="left" vertical="center" wrapText="1"/>
    </xf>
    <xf numFmtId="0" fontId="1" fillId="3" borderId="3" xfId="0" applyFont="1" applyFill="1" applyBorder="1" applyAlignment="1">
      <alignment horizontal="left"/>
    </xf>
    <xf numFmtId="0" fontId="1" fillId="3" borderId="6" xfId="0" applyFont="1" applyFill="1" applyBorder="1" applyAlignment="1">
      <alignment horizontal="left"/>
    </xf>
    <xf numFmtId="9" fontId="10" fillId="3" borderId="119" xfId="0" applyNumberFormat="1" applyFont="1" applyFill="1" applyBorder="1" applyAlignment="1">
      <alignment horizontal="left" vertical="center" wrapText="1"/>
    </xf>
    <xf numFmtId="9" fontId="10" fillId="3" borderId="5" xfId="0" applyNumberFormat="1" applyFont="1" applyFill="1" applyBorder="1" applyAlignment="1">
      <alignment horizontal="left" vertical="center" wrapText="1"/>
    </xf>
    <xf numFmtId="0" fontId="103" fillId="3" borderId="0" xfId="4" applyFont="1" applyFill="1" applyBorder="1" applyAlignment="1">
      <alignment horizontal="center" vertical="top" wrapText="1"/>
    </xf>
    <xf numFmtId="0" fontId="103" fillId="3" borderId="5" xfId="4" applyFont="1" applyFill="1" applyBorder="1" applyAlignment="1">
      <alignment horizontal="right" vertical="top" wrapText="1"/>
    </xf>
    <xf numFmtId="0" fontId="9" fillId="3" borderId="187" xfId="0" applyFont="1" applyFill="1" applyBorder="1" applyAlignment="1">
      <alignment horizontal="left" vertical="center"/>
    </xf>
    <xf numFmtId="0" fontId="9" fillId="3" borderId="188" xfId="0" applyFont="1" applyFill="1" applyBorder="1" applyAlignment="1">
      <alignment horizontal="left" vertical="center"/>
    </xf>
    <xf numFmtId="0" fontId="1" fillId="3" borderId="0" xfId="4" applyFont="1" applyFill="1" applyBorder="1" applyAlignment="1" applyProtection="1">
      <alignment horizontal="center" vertical="center" textRotation="90" wrapText="1"/>
      <protection hidden="1"/>
    </xf>
    <xf numFmtId="0" fontId="92" fillId="3" borderId="8" xfId="0" applyFont="1" applyFill="1" applyBorder="1" applyAlignment="1" applyProtection="1">
      <alignment horizontal="center" vertical="center" wrapText="1"/>
      <protection hidden="1"/>
    </xf>
    <xf numFmtId="0" fontId="29" fillId="3" borderId="0" xfId="4" applyFont="1" applyFill="1" applyBorder="1" applyAlignment="1">
      <alignment horizontal="center" vertical="center" wrapText="1"/>
    </xf>
    <xf numFmtId="0" fontId="7" fillId="3" borderId="4" xfId="4" applyFont="1" applyFill="1" applyBorder="1" applyAlignment="1" applyProtection="1">
      <alignment horizontal="left" vertical="center" wrapText="1"/>
      <protection hidden="1"/>
    </xf>
    <xf numFmtId="0" fontId="7" fillId="3" borderId="14" xfId="4" applyFont="1" applyFill="1" applyBorder="1" applyAlignment="1" applyProtection="1">
      <alignment horizontal="left" vertical="center" wrapText="1"/>
      <protection hidden="1"/>
    </xf>
    <xf numFmtId="0" fontId="7" fillId="3" borderId="2" xfId="4" applyFont="1" applyFill="1" applyBorder="1" applyAlignment="1" applyProtection="1">
      <alignment horizontal="left" vertical="center" wrapText="1"/>
      <protection hidden="1"/>
    </xf>
    <xf numFmtId="0" fontId="142" fillId="3" borderId="0" xfId="0" applyFont="1" applyFill="1" applyBorder="1" applyAlignment="1">
      <alignment horizontal="center" wrapText="1"/>
    </xf>
    <xf numFmtId="0" fontId="67" fillId="3" borderId="7" xfId="0" applyFont="1" applyFill="1" applyBorder="1" applyAlignment="1">
      <alignment horizontal="right" wrapText="1"/>
    </xf>
    <xf numFmtId="0" fontId="67" fillId="3" borderId="6" xfId="0" applyFont="1" applyFill="1" applyBorder="1" applyAlignment="1">
      <alignment horizontal="right" wrapText="1"/>
    </xf>
    <xf numFmtId="0" fontId="37" fillId="3" borderId="20" xfId="0" applyFont="1" applyFill="1" applyBorder="1" applyAlignment="1">
      <alignment horizontal="left" vertical="top" wrapText="1"/>
    </xf>
    <xf numFmtId="0" fontId="37" fillId="3" borderId="21" xfId="0" applyFont="1" applyFill="1" applyBorder="1" applyAlignment="1">
      <alignment horizontal="left" vertical="top" wrapText="1"/>
    </xf>
    <xf numFmtId="0" fontId="7" fillId="3" borderId="1" xfId="4" applyFont="1" applyFill="1" applyBorder="1" applyAlignment="1" applyProtection="1">
      <alignment horizontal="left" vertical="center" wrapText="1"/>
      <protection hidden="1"/>
    </xf>
    <xf numFmtId="0" fontId="92" fillId="3" borderId="5" xfId="0" applyFont="1" applyFill="1" applyBorder="1" applyAlignment="1" applyProtection="1">
      <alignment horizontal="right" vertical="center" wrapText="1"/>
      <protection hidden="1"/>
    </xf>
    <xf numFmtId="0" fontId="92" fillId="3" borderId="69" xfId="0" applyFont="1" applyFill="1" applyBorder="1" applyAlignment="1" applyProtection="1">
      <alignment horizontal="right" vertical="center" wrapText="1"/>
      <protection hidden="1"/>
    </xf>
    <xf numFmtId="0" fontId="5" fillId="12" borderId="74" xfId="10" applyFont="1" applyFill="1" applyBorder="1" applyAlignment="1" applyProtection="1">
      <alignment horizontal="left" vertical="center"/>
      <protection locked="0"/>
    </xf>
    <xf numFmtId="0" fontId="7" fillId="3" borderId="2" xfId="0" applyFont="1" applyFill="1" applyBorder="1" applyAlignment="1">
      <alignment vertical="center" wrapText="1"/>
    </xf>
    <xf numFmtId="0" fontId="7" fillId="3" borderId="1" xfId="0" applyFont="1" applyFill="1" applyBorder="1" applyAlignment="1">
      <alignment vertical="center" wrapText="1"/>
    </xf>
    <xf numFmtId="0" fontId="2" fillId="3" borderId="3" xfId="4" applyFont="1" applyFill="1" applyBorder="1" applyAlignment="1">
      <alignment horizontal="center" vertical="center"/>
    </xf>
    <xf numFmtId="0" fontId="2" fillId="3" borderId="7" xfId="4" applyFont="1" applyFill="1" applyBorder="1" applyAlignment="1">
      <alignment horizontal="center" vertical="center"/>
    </xf>
    <xf numFmtId="0" fontId="2" fillId="3" borderId="6" xfId="4" applyFont="1" applyFill="1" applyBorder="1" applyAlignment="1">
      <alignment horizontal="center" vertical="center"/>
    </xf>
    <xf numFmtId="0" fontId="10" fillId="3" borderId="25" xfId="0" applyFont="1" applyFill="1" applyBorder="1" applyAlignment="1">
      <alignment horizontal="left" vertical="center" wrapText="1"/>
    </xf>
    <xf numFmtId="0" fontId="10" fillId="3" borderId="7" xfId="0" applyFont="1" applyFill="1" applyBorder="1" applyAlignment="1">
      <alignment horizontal="left" vertical="center" wrapText="1"/>
    </xf>
    <xf numFmtId="0" fontId="5" fillId="3" borderId="18" xfId="4" applyFont="1" applyFill="1" applyBorder="1" applyAlignment="1" applyProtection="1">
      <alignment horizontal="right" vertical="center"/>
      <protection hidden="1"/>
    </xf>
    <xf numFmtId="44" fontId="1" fillId="3" borderId="1" xfId="2" applyFont="1" applyFill="1" applyBorder="1" applyAlignment="1">
      <alignment horizontal="left" vertical="center" wrapText="1"/>
    </xf>
    <xf numFmtId="2" fontId="7" fillId="13" borderId="3" xfId="4" applyNumberFormat="1" applyFont="1" applyFill="1" applyBorder="1" applyAlignment="1">
      <alignment horizontal="center" vertical="center"/>
    </xf>
    <xf numFmtId="2" fontId="7" fillId="13" borderId="6" xfId="4" applyNumberFormat="1" applyFont="1" applyFill="1" applyBorder="1" applyAlignment="1">
      <alignment horizontal="center" vertical="center"/>
    </xf>
    <xf numFmtId="2" fontId="1" fillId="3" borderId="126" xfId="4" applyNumberFormat="1" applyFont="1" applyFill="1" applyBorder="1" applyAlignment="1">
      <alignment horizontal="center" vertical="center" wrapText="1"/>
    </xf>
    <xf numFmtId="2" fontId="1" fillId="3" borderId="127" xfId="4" applyNumberFormat="1" applyFont="1" applyFill="1" applyBorder="1" applyAlignment="1">
      <alignment horizontal="center" vertical="center" wrapText="1"/>
    </xf>
    <xf numFmtId="2" fontId="1" fillId="3" borderId="128" xfId="4" applyNumberFormat="1" applyFont="1" applyFill="1" applyBorder="1" applyAlignment="1">
      <alignment horizontal="center" vertical="center" wrapText="1"/>
    </xf>
    <xf numFmtId="0" fontId="92" fillId="3" borderId="125" xfId="0" applyFont="1" applyFill="1" applyBorder="1" applyAlignment="1">
      <alignment horizontal="center" wrapText="1"/>
    </xf>
    <xf numFmtId="0" fontId="1" fillId="3" borderId="1" xfId="0" applyFont="1" applyFill="1" applyBorder="1" applyAlignment="1">
      <alignment horizontal="left" wrapText="1"/>
    </xf>
    <xf numFmtId="0" fontId="2" fillId="3" borderId="1" xfId="0" applyFont="1" applyFill="1" applyBorder="1" applyAlignment="1">
      <alignment horizontal="left" wrapText="1"/>
    </xf>
    <xf numFmtId="0" fontId="67" fillId="3" borderId="0" xfId="0" applyFont="1" applyFill="1" applyBorder="1" applyAlignment="1">
      <alignment horizontal="center" wrapText="1"/>
    </xf>
    <xf numFmtId="0" fontId="10" fillId="3" borderId="228" xfId="0" applyFont="1" applyFill="1" applyBorder="1" applyAlignment="1">
      <alignment horizontal="left" vertical="top" wrapText="1"/>
    </xf>
    <xf numFmtId="0" fontId="92" fillId="3" borderId="21" xfId="0" applyFont="1" applyFill="1" applyBorder="1" applyAlignment="1" applyProtection="1">
      <alignment horizontal="center" vertical="center" wrapText="1"/>
      <protection hidden="1"/>
    </xf>
    <xf numFmtId="0" fontId="1" fillId="3" borderId="20" xfId="0" applyFont="1" applyFill="1" applyBorder="1" applyAlignment="1">
      <alignment horizontal="left" wrapText="1"/>
    </xf>
    <xf numFmtId="0" fontId="1" fillId="3" borderId="0" xfId="0" applyFont="1" applyFill="1" applyBorder="1" applyAlignment="1">
      <alignment horizontal="left" wrapText="1"/>
    </xf>
    <xf numFmtId="0" fontId="1" fillId="3" borderId="3" xfId="0" applyFont="1" applyFill="1" applyBorder="1" applyAlignment="1">
      <alignment horizontal="left" vertical="center" wrapText="1"/>
    </xf>
    <xf numFmtId="0" fontId="1" fillId="3" borderId="6" xfId="0" applyFont="1" applyFill="1" applyBorder="1" applyAlignment="1">
      <alignment horizontal="left" vertical="center" wrapText="1"/>
    </xf>
    <xf numFmtId="0" fontId="92" fillId="3" borderId="59" xfId="0" applyFont="1" applyFill="1" applyBorder="1" applyAlignment="1" applyProtection="1">
      <alignment horizontal="center" vertical="center" wrapText="1"/>
      <protection hidden="1"/>
    </xf>
    <xf numFmtId="0" fontId="7" fillId="3" borderId="1" xfId="0" applyFont="1" applyFill="1" applyBorder="1" applyAlignment="1">
      <alignment horizontal="center" vertical="top" wrapText="1"/>
    </xf>
    <xf numFmtId="0" fontId="7" fillId="3" borderId="4" xfId="0" applyFont="1" applyFill="1" applyBorder="1" applyAlignment="1">
      <alignment horizontal="center" vertical="top" wrapText="1"/>
    </xf>
    <xf numFmtId="0" fontId="1" fillId="3" borderId="4" xfId="0" applyFont="1" applyFill="1" applyBorder="1" applyAlignment="1">
      <alignment horizontal="center" vertical="center" wrapText="1"/>
    </xf>
    <xf numFmtId="0" fontId="1" fillId="3" borderId="32" xfId="0" applyFont="1" applyFill="1" applyBorder="1" applyAlignment="1">
      <alignment horizontal="center" vertical="center" wrapText="1"/>
    </xf>
    <xf numFmtId="0" fontId="10" fillId="3" borderId="25" xfId="0" applyFont="1" applyFill="1" applyBorder="1" applyAlignment="1">
      <alignment horizontal="left" vertical="top" wrapText="1"/>
    </xf>
    <xf numFmtId="0" fontId="10" fillId="3" borderId="7" xfId="0" applyFont="1" applyFill="1" applyBorder="1" applyAlignment="1">
      <alignment horizontal="left" vertical="top" wrapText="1"/>
    </xf>
    <xf numFmtId="0" fontId="153" fillId="3" borderId="0" xfId="0" applyFont="1" applyFill="1" applyBorder="1" applyAlignment="1">
      <alignment horizontal="left" vertical="top" wrapText="1"/>
    </xf>
    <xf numFmtId="0" fontId="153" fillId="3" borderId="21" xfId="0" applyFont="1" applyFill="1" applyBorder="1" applyAlignment="1">
      <alignment horizontal="left" vertical="top" wrapText="1"/>
    </xf>
    <xf numFmtId="0" fontId="7" fillId="3" borderId="2" xfId="0" applyFont="1" applyFill="1" applyBorder="1" applyAlignment="1">
      <alignment horizontal="left" vertical="center"/>
    </xf>
    <xf numFmtId="0" fontId="7" fillId="3" borderId="12" xfId="0" applyFont="1" applyFill="1" applyBorder="1" applyAlignment="1">
      <alignment horizontal="left" vertical="center"/>
    </xf>
    <xf numFmtId="0" fontId="7" fillId="3" borderId="31" xfId="0" applyFont="1" applyFill="1" applyBorder="1" applyAlignment="1">
      <alignment horizontal="left" vertical="center" wrapText="1"/>
    </xf>
    <xf numFmtId="0" fontId="7" fillId="3" borderId="10" xfId="0" applyFont="1" applyFill="1" applyBorder="1" applyAlignment="1">
      <alignment horizontal="left" vertical="center" wrapText="1"/>
    </xf>
    <xf numFmtId="0" fontId="7" fillId="3" borderId="7" xfId="0" applyFont="1" applyFill="1" applyBorder="1" applyAlignment="1">
      <alignment horizontal="left" vertical="center"/>
    </xf>
    <xf numFmtId="164" fontId="92" fillId="3" borderId="63" xfId="0" applyNumberFormat="1" applyFont="1" applyFill="1" applyBorder="1" applyAlignment="1" applyProtection="1">
      <alignment horizontal="center" vertical="center" wrapText="1"/>
      <protection hidden="1"/>
    </xf>
    <xf numFmtId="44" fontId="1" fillId="3" borderId="20" xfId="2" applyFont="1" applyFill="1" applyBorder="1" applyAlignment="1">
      <alignment horizontal="left" vertical="center" wrapText="1"/>
    </xf>
    <xf numFmtId="44" fontId="1" fillId="3" borderId="0" xfId="2" applyFont="1" applyFill="1" applyBorder="1" applyAlignment="1">
      <alignment horizontal="left" vertical="center" wrapText="1"/>
    </xf>
    <xf numFmtId="0" fontId="7" fillId="3" borderId="29" xfId="0" applyFont="1" applyFill="1" applyBorder="1" applyAlignment="1">
      <alignment horizontal="left" vertical="center"/>
    </xf>
    <xf numFmtId="0" fontId="7" fillId="3" borderId="30" xfId="0" applyFont="1" applyFill="1" applyBorder="1" applyAlignment="1">
      <alignment horizontal="left" vertical="center"/>
    </xf>
    <xf numFmtId="44" fontId="67" fillId="3" borderId="20" xfId="2" applyFont="1" applyFill="1" applyBorder="1" applyAlignment="1">
      <alignment horizontal="left" vertical="center" wrapText="1"/>
    </xf>
    <xf numFmtId="44" fontId="67" fillId="3" borderId="0" xfId="2" applyFont="1" applyFill="1" applyBorder="1" applyAlignment="1">
      <alignment horizontal="left" vertical="center" wrapText="1"/>
    </xf>
    <xf numFmtId="0" fontId="7" fillId="3" borderId="1" xfId="0" applyFont="1" applyFill="1" applyBorder="1" applyAlignment="1">
      <alignment horizontal="left" vertical="center"/>
    </xf>
    <xf numFmtId="0" fontId="92" fillId="3" borderId="64" xfId="0" applyFont="1" applyFill="1" applyBorder="1" applyAlignment="1">
      <alignment horizontal="right" vertical="center" wrapText="1"/>
    </xf>
    <xf numFmtId="0" fontId="32" fillId="3" borderId="33" xfId="0" applyFont="1" applyFill="1" applyBorder="1" applyAlignment="1" applyProtection="1">
      <alignment horizontal="left" vertical="center" wrapText="1"/>
      <protection hidden="1"/>
    </xf>
    <xf numFmtId="167" fontId="2" fillId="3" borderId="2" xfId="6" applyNumberFormat="1" applyFont="1" applyFill="1" applyBorder="1" applyAlignment="1">
      <alignment horizontal="center" vertical="center"/>
    </xf>
    <xf numFmtId="167" fontId="2" fillId="3" borderId="1" xfId="6" applyNumberFormat="1" applyFont="1" applyFill="1" applyBorder="1" applyAlignment="1">
      <alignment horizontal="center" vertical="center"/>
    </xf>
    <xf numFmtId="0" fontId="67" fillId="3" borderId="0" xfId="0" applyFont="1" applyFill="1" applyBorder="1" applyAlignment="1" applyProtection="1">
      <alignment horizontal="center" vertical="center" wrapText="1"/>
      <protection hidden="1"/>
    </xf>
    <xf numFmtId="0" fontId="67" fillId="3" borderId="10" xfId="0" applyFont="1" applyFill="1" applyBorder="1" applyAlignment="1" applyProtection="1">
      <alignment horizontal="center" vertical="center" wrapText="1"/>
      <protection hidden="1"/>
    </xf>
    <xf numFmtId="0" fontId="7" fillId="3" borderId="29" xfId="0" applyFont="1" applyFill="1" applyBorder="1" applyAlignment="1" applyProtection="1">
      <alignment horizontal="left" vertical="center"/>
      <protection hidden="1"/>
    </xf>
    <xf numFmtId="0" fontId="7" fillId="3" borderId="2" xfId="0" applyFont="1" applyFill="1" applyBorder="1" applyAlignment="1" applyProtection="1">
      <alignment horizontal="left" vertical="center" wrapText="1"/>
      <protection hidden="1"/>
    </xf>
    <xf numFmtId="0" fontId="7" fillId="3" borderId="1" xfId="0" applyFont="1" applyFill="1" applyBorder="1" applyAlignment="1" applyProtection="1">
      <alignment horizontal="left" vertical="center" wrapText="1"/>
      <protection hidden="1"/>
    </xf>
    <xf numFmtId="0" fontId="2" fillId="3" borderId="32" xfId="0" applyFont="1" applyFill="1" applyBorder="1" applyAlignment="1">
      <alignment horizontal="left" vertical="center" wrapText="1"/>
    </xf>
    <xf numFmtId="44" fontId="1" fillId="3" borderId="3" xfId="2" applyFont="1" applyFill="1" applyBorder="1" applyAlignment="1">
      <alignment horizontal="left" vertical="center" wrapText="1"/>
    </xf>
    <xf numFmtId="44" fontId="1" fillId="3" borderId="7" xfId="2" applyFont="1" applyFill="1" applyBorder="1" applyAlignment="1">
      <alignment horizontal="left" vertical="center" wrapText="1"/>
    </xf>
    <xf numFmtId="44" fontId="1" fillId="3" borderId="6" xfId="2" applyFont="1" applyFill="1" applyBorder="1" applyAlignment="1">
      <alignment horizontal="left" vertical="center" wrapText="1"/>
    </xf>
    <xf numFmtId="0" fontId="67" fillId="3" borderId="0" xfId="0" applyFont="1" applyFill="1" applyBorder="1" applyAlignment="1">
      <alignment horizontal="center" vertical="center" wrapText="1"/>
    </xf>
    <xf numFmtId="0" fontId="67" fillId="3" borderId="10" xfId="0" applyFont="1" applyFill="1" applyBorder="1" applyAlignment="1">
      <alignment horizontal="center" vertical="center" wrapText="1"/>
    </xf>
    <xf numFmtId="0" fontId="74" fillId="3" borderId="10" xfId="0" applyFont="1" applyFill="1" applyBorder="1" applyAlignment="1">
      <alignment horizontal="left" vertical="center" wrapText="1"/>
    </xf>
    <xf numFmtId="0" fontId="10" fillId="8" borderId="3" xfId="0" applyFont="1" applyFill="1" applyBorder="1" applyAlignment="1" applyProtection="1">
      <alignment horizontal="left" vertical="center" wrapText="1"/>
      <protection locked="0"/>
    </xf>
    <xf numFmtId="0" fontId="10" fillId="8" borderId="7" xfId="0" applyFont="1" applyFill="1" applyBorder="1" applyAlignment="1" applyProtection="1">
      <alignment horizontal="left" vertical="center" wrapText="1"/>
      <protection locked="0"/>
    </xf>
    <xf numFmtId="0" fontId="10" fillId="8" borderId="6" xfId="0" applyFont="1" applyFill="1" applyBorder="1" applyAlignment="1" applyProtection="1">
      <alignment horizontal="left" vertical="center" wrapText="1"/>
      <protection locked="0"/>
    </xf>
    <xf numFmtId="0" fontId="92" fillId="3" borderId="66" xfId="0" applyFont="1" applyFill="1" applyBorder="1" applyAlignment="1" applyProtection="1">
      <alignment horizontal="center" vertical="center" wrapText="1"/>
      <protection hidden="1"/>
    </xf>
    <xf numFmtId="0" fontId="92" fillId="3" borderId="0" xfId="0" applyFont="1" applyFill="1" applyBorder="1" applyAlignment="1" applyProtection="1">
      <alignment horizontal="center" wrapText="1"/>
      <protection hidden="1"/>
    </xf>
    <xf numFmtId="0" fontId="2" fillId="3" borderId="32" xfId="0" applyFont="1" applyFill="1" applyBorder="1" applyAlignment="1">
      <alignment horizontal="center" vertical="center" wrapText="1"/>
    </xf>
    <xf numFmtId="0" fontId="103" fillId="3" borderId="0" xfId="4" applyFont="1" applyFill="1" applyBorder="1" applyAlignment="1">
      <alignment horizontal="right" vertical="top" wrapText="1"/>
    </xf>
    <xf numFmtId="0" fontId="10" fillId="3" borderId="111" xfId="4" applyFont="1" applyFill="1" applyBorder="1" applyAlignment="1">
      <alignment horizontal="left" vertical="center" wrapText="1"/>
    </xf>
    <xf numFmtId="0" fontId="10" fillId="3" borderId="0" xfId="4" applyFont="1" applyFill="1" applyBorder="1" applyAlignment="1">
      <alignment horizontal="left" vertical="center" wrapText="1"/>
    </xf>
    <xf numFmtId="0" fontId="10" fillId="3" borderId="21" xfId="4" applyFont="1" applyFill="1" applyBorder="1" applyAlignment="1">
      <alignment horizontal="left" vertical="center" wrapText="1"/>
    </xf>
    <xf numFmtId="0" fontId="159" fillId="3" borderId="0" xfId="0" applyFont="1" applyFill="1" applyAlignment="1">
      <alignment horizontal="center" vertical="top"/>
    </xf>
    <xf numFmtId="0" fontId="0" fillId="0" borderId="10" xfId="0" applyBorder="1" applyAlignment="1"/>
    <xf numFmtId="0" fontId="7" fillId="8" borderId="3" xfId="0" applyFont="1" applyFill="1" applyBorder="1" applyAlignment="1">
      <alignment horizontal="left" vertical="center"/>
    </xf>
    <xf numFmtId="0" fontId="7" fillId="8" borderId="6" xfId="0" applyFont="1" applyFill="1" applyBorder="1" applyAlignment="1">
      <alignment horizontal="left" vertical="center"/>
    </xf>
    <xf numFmtId="0" fontId="67" fillId="3" borderId="20" xfId="0" applyFont="1" applyFill="1" applyBorder="1" applyAlignment="1">
      <alignment horizontal="left" wrapText="1"/>
    </xf>
    <xf numFmtId="0" fontId="37" fillId="3" borderId="8" xfId="0" applyFont="1" applyFill="1" applyBorder="1" applyAlignment="1">
      <alignment horizontal="left"/>
    </xf>
    <xf numFmtId="0" fontId="37" fillId="3" borderId="0" xfId="0" applyFont="1" applyFill="1" applyBorder="1" applyAlignment="1">
      <alignment horizontal="left"/>
    </xf>
    <xf numFmtId="0" fontId="10" fillId="3" borderId="20" xfId="4" applyFont="1" applyFill="1" applyBorder="1" applyAlignment="1">
      <alignment horizontal="left" vertical="center" wrapText="1"/>
    </xf>
    <xf numFmtId="0" fontId="32" fillId="3" borderId="2" xfId="0" applyFont="1" applyFill="1" applyBorder="1" applyAlignment="1" applyProtection="1">
      <alignment horizontal="left" vertical="center" wrapText="1"/>
      <protection hidden="1"/>
    </xf>
    <xf numFmtId="0" fontId="7" fillId="3" borderId="32" xfId="0" applyFont="1" applyFill="1" applyBorder="1" applyAlignment="1">
      <alignment horizontal="left" vertical="center" wrapText="1"/>
    </xf>
    <xf numFmtId="0" fontId="103" fillId="3" borderId="0" xfId="0" applyFont="1" applyFill="1" applyBorder="1" applyAlignment="1">
      <alignment horizontal="center"/>
    </xf>
    <xf numFmtId="0" fontId="2" fillId="3" borderId="20" xfId="0" applyFont="1" applyFill="1" applyBorder="1" applyAlignment="1">
      <alignment horizontal="left" wrapText="1"/>
    </xf>
    <xf numFmtId="0" fontId="2" fillId="3" borderId="0" xfId="0" applyFont="1" applyFill="1" applyBorder="1" applyAlignment="1">
      <alignment horizontal="left" wrapText="1"/>
    </xf>
    <xf numFmtId="0" fontId="67" fillId="3" borderId="20" xfId="0" applyFont="1" applyFill="1" applyBorder="1" applyAlignment="1">
      <alignment horizontal="left" vertical="center" wrapText="1"/>
    </xf>
    <xf numFmtId="0" fontId="67" fillId="3" borderId="9" xfId="0" applyFont="1" applyFill="1" applyBorder="1" applyAlignment="1">
      <alignment horizontal="left" vertical="center" wrapText="1"/>
    </xf>
    <xf numFmtId="0" fontId="67" fillId="3" borderId="23" xfId="0" applyFont="1" applyFill="1" applyBorder="1" applyAlignment="1">
      <alignment horizontal="left" vertical="center" wrapText="1"/>
    </xf>
    <xf numFmtId="0" fontId="67" fillId="3" borderId="11" xfId="0" applyFont="1" applyFill="1" applyBorder="1" applyAlignment="1">
      <alignment horizontal="left" vertical="center" wrapText="1"/>
    </xf>
    <xf numFmtId="0" fontId="67" fillId="3" borderId="182" xfId="0" applyFont="1" applyFill="1" applyBorder="1" applyAlignment="1">
      <alignment horizontal="left" wrapText="1"/>
    </xf>
    <xf numFmtId="0" fontId="67" fillId="3" borderId="181" xfId="0" applyFont="1" applyFill="1" applyBorder="1" applyAlignment="1">
      <alignment horizontal="left" wrapText="1"/>
    </xf>
    <xf numFmtId="0" fontId="67" fillId="3" borderId="10" xfId="0" applyFont="1" applyFill="1" applyBorder="1" applyAlignment="1">
      <alignment horizontal="left" wrapText="1"/>
    </xf>
    <xf numFmtId="0" fontId="67" fillId="3" borderId="0" xfId="0" applyFont="1" applyFill="1" applyBorder="1" applyAlignment="1">
      <alignment horizontal="left" vertical="center" wrapText="1"/>
    </xf>
    <xf numFmtId="0" fontId="122" fillId="3" borderId="0" xfId="0" applyFont="1" applyFill="1" applyBorder="1" applyAlignment="1" applyProtection="1">
      <alignment horizontal="center" vertical="center" wrapText="1"/>
      <protection hidden="1"/>
    </xf>
    <xf numFmtId="0" fontId="122" fillId="3" borderId="10" xfId="0" applyFont="1" applyFill="1" applyBorder="1" applyAlignment="1" applyProtection="1">
      <alignment horizontal="center" vertical="center" wrapText="1"/>
      <protection hidden="1"/>
    </xf>
    <xf numFmtId="0" fontId="1" fillId="3" borderId="4" xfId="4" applyFont="1" applyFill="1" applyBorder="1" applyAlignment="1" applyProtection="1">
      <alignment horizontal="center" textRotation="90"/>
      <protection locked="0"/>
    </xf>
    <xf numFmtId="0" fontId="1" fillId="3" borderId="14" xfId="4" applyFont="1" applyFill="1" applyBorder="1" applyAlignment="1" applyProtection="1">
      <alignment horizontal="center" textRotation="90"/>
      <protection locked="0"/>
    </xf>
    <xf numFmtId="0" fontId="1" fillId="3" borderId="2" xfId="4" applyFont="1" applyFill="1" applyBorder="1" applyAlignment="1" applyProtection="1">
      <alignment horizontal="center" textRotation="90"/>
      <protection locked="0"/>
    </xf>
    <xf numFmtId="14" fontId="10" fillId="3" borderId="0" xfId="0" applyNumberFormat="1" applyFont="1" applyFill="1" applyBorder="1" applyAlignment="1">
      <alignment horizontal="left" vertical="top" wrapText="1"/>
    </xf>
    <xf numFmtId="0" fontId="180" fillId="3" borderId="0" xfId="0" applyFont="1" applyFill="1" applyAlignment="1" applyProtection="1">
      <alignment horizontal="center"/>
      <protection locked="0"/>
    </xf>
    <xf numFmtId="0" fontId="158" fillId="3" borderId="0" xfId="0" applyFont="1" applyFill="1" applyAlignment="1">
      <alignment horizontal="center"/>
    </xf>
    <xf numFmtId="0" fontId="7" fillId="3" borderId="99" xfId="4" applyFont="1" applyFill="1" applyBorder="1" applyAlignment="1" applyProtection="1">
      <alignment horizontal="center" vertical="center" textRotation="90"/>
      <protection locked="0"/>
    </xf>
    <xf numFmtId="0" fontId="7" fillId="3" borderId="101" xfId="4" applyFont="1" applyFill="1" applyBorder="1" applyAlignment="1" applyProtection="1">
      <alignment horizontal="center" vertical="center" textRotation="90"/>
      <protection locked="0"/>
    </xf>
    <xf numFmtId="0" fontId="7" fillId="3" borderId="103" xfId="4" applyFont="1" applyFill="1" applyBorder="1" applyAlignment="1" applyProtection="1">
      <alignment horizontal="center" vertical="center" textRotation="90"/>
      <protection locked="0"/>
    </xf>
    <xf numFmtId="0" fontId="25" fillId="3" borderId="0" xfId="0" applyFont="1" applyFill="1" applyBorder="1" applyAlignment="1" applyProtection="1">
      <alignment horizontal="justify" vertical="justify"/>
      <protection locked="0"/>
    </xf>
    <xf numFmtId="14" fontId="172" fillId="3" borderId="10" xfId="0" applyNumberFormat="1" applyFont="1" applyFill="1" applyBorder="1" applyAlignment="1" applyProtection="1">
      <alignment horizontal="center" vertical="center"/>
    </xf>
    <xf numFmtId="0" fontId="0" fillId="3" borderId="10" xfId="0" applyFill="1" applyBorder="1" applyAlignment="1" applyProtection="1">
      <alignment horizontal="center" vertical="center"/>
    </xf>
    <xf numFmtId="0" fontId="172" fillId="3" borderId="10" xfId="0" applyFont="1" applyFill="1" applyBorder="1" applyAlignment="1" applyProtection="1">
      <alignment horizontal="center" vertical="center"/>
    </xf>
    <xf numFmtId="0" fontId="6" fillId="3" borderId="10" xfId="0" applyFont="1" applyFill="1" applyBorder="1" applyAlignment="1" applyProtection="1">
      <alignment horizontal="center" vertical="center"/>
    </xf>
    <xf numFmtId="0" fontId="6" fillId="3" borderId="178" xfId="0" applyFont="1" applyFill="1" applyBorder="1" applyAlignment="1" applyProtection="1">
      <alignment horizontal="center"/>
    </xf>
    <xf numFmtId="0" fontId="6" fillId="3" borderId="179" xfId="0" applyFont="1" applyFill="1" applyBorder="1" applyAlignment="1" applyProtection="1">
      <alignment horizontal="center"/>
    </xf>
    <xf numFmtId="0" fontId="6" fillId="3" borderId="180" xfId="0" applyFont="1" applyFill="1" applyBorder="1" applyAlignment="1" applyProtection="1">
      <alignment horizontal="center"/>
    </xf>
    <xf numFmtId="0" fontId="7" fillId="3" borderId="0" xfId="0" applyFont="1" applyFill="1" applyBorder="1" applyAlignment="1" applyProtection="1">
      <alignment horizontal="center" vertical="center" wrapText="1"/>
    </xf>
    <xf numFmtId="0" fontId="172" fillId="3" borderId="5" xfId="0" applyFont="1" applyFill="1" applyBorder="1" applyAlignment="1" applyProtection="1">
      <alignment horizontal="left" vertical="center"/>
      <protection locked="0"/>
    </xf>
    <xf numFmtId="0" fontId="172" fillId="3" borderId="174" xfId="0" applyFont="1" applyFill="1" applyBorder="1" applyAlignment="1" applyProtection="1">
      <alignment horizontal="left" vertical="center"/>
      <protection locked="0"/>
    </xf>
    <xf numFmtId="0" fontId="172" fillId="3" borderId="13" xfId="0" applyFont="1" applyFill="1" applyBorder="1" applyAlignment="1" applyProtection="1">
      <alignment horizontal="left" vertical="center"/>
      <protection locked="0"/>
    </xf>
    <xf numFmtId="0" fontId="172" fillId="3" borderId="7" xfId="0" applyFont="1" applyFill="1" applyBorder="1" applyAlignment="1" applyProtection="1">
      <alignment horizontal="left" vertical="center"/>
      <protection locked="0"/>
    </xf>
    <xf numFmtId="0" fontId="172" fillId="3" borderId="176" xfId="0" applyFont="1" applyFill="1" applyBorder="1" applyAlignment="1" applyProtection="1">
      <alignment horizontal="left" vertical="center"/>
      <protection locked="0"/>
    </xf>
    <xf numFmtId="0" fontId="172" fillId="3" borderId="6" xfId="0" applyFont="1" applyFill="1" applyBorder="1" applyAlignment="1" applyProtection="1">
      <alignment horizontal="left" vertical="center"/>
      <protection locked="0"/>
    </xf>
    <xf numFmtId="0" fontId="172" fillId="3" borderId="170" xfId="0" applyFont="1" applyFill="1" applyBorder="1" applyAlignment="1" applyProtection="1">
      <alignment horizontal="left" vertical="center"/>
      <protection locked="0"/>
    </xf>
    <xf numFmtId="0" fontId="172" fillId="3" borderId="9" xfId="0" applyFont="1" applyFill="1" applyBorder="1" applyAlignment="1" applyProtection="1">
      <alignment horizontal="left" vertical="center"/>
      <protection locked="0"/>
    </xf>
    <xf numFmtId="0" fontId="0" fillId="3" borderId="172" xfId="0" applyFont="1" applyFill="1" applyBorder="1" applyAlignment="1" applyProtection="1">
      <alignment horizontal="left" vertical="top" wrapText="1"/>
      <protection locked="0"/>
    </xf>
    <xf numFmtId="0" fontId="0" fillId="3" borderId="168" xfId="0" applyFont="1" applyFill="1" applyBorder="1" applyAlignment="1" applyProtection="1">
      <alignment horizontal="left" vertical="top" wrapText="1"/>
      <protection locked="0"/>
    </xf>
    <xf numFmtId="0" fontId="0" fillId="3" borderId="173" xfId="0" applyFont="1" applyFill="1" applyBorder="1" applyAlignment="1" applyProtection="1">
      <alignment horizontal="left" vertical="top" wrapText="1"/>
      <protection locked="0"/>
    </xf>
    <xf numFmtId="0" fontId="172" fillId="3" borderId="171" xfId="0" applyFont="1" applyFill="1" applyBorder="1" applyAlignment="1" applyProtection="1">
      <alignment horizontal="left" vertical="center"/>
      <protection locked="0"/>
    </xf>
    <xf numFmtId="0" fontId="172" fillId="3" borderId="168" xfId="0" applyFont="1" applyFill="1" applyBorder="1" applyAlignment="1" applyProtection="1">
      <alignment horizontal="left" vertical="center"/>
      <protection locked="0"/>
    </xf>
    <xf numFmtId="2" fontId="1" fillId="3" borderId="0" xfId="4" applyNumberFormat="1" applyFont="1" applyFill="1" applyBorder="1" applyAlignment="1">
      <alignment horizontal="center" vertical="center" wrapText="1"/>
    </xf>
    <xf numFmtId="2" fontId="1" fillId="3" borderId="0" xfId="4" applyNumberFormat="1" applyFont="1" applyFill="1" applyBorder="1" applyAlignment="1">
      <alignment horizontal="right" vertical="center" wrapText="1"/>
    </xf>
    <xf numFmtId="0" fontId="1" fillId="10" borderId="1" xfId="4" applyFont="1" applyFill="1" applyBorder="1" applyAlignment="1" applyProtection="1">
      <alignment horizontal="center" vertical="center"/>
      <protection hidden="1"/>
    </xf>
    <xf numFmtId="0" fontId="1" fillId="10" borderId="3" xfId="4" applyFont="1" applyFill="1" applyBorder="1" applyAlignment="1" applyProtection="1">
      <alignment horizontal="center" vertical="center"/>
      <protection hidden="1"/>
    </xf>
    <xf numFmtId="0" fontId="1" fillId="10" borderId="7" xfId="4" applyFont="1" applyFill="1" applyBorder="1" applyAlignment="1" applyProtection="1">
      <alignment horizontal="center" vertical="center"/>
      <protection hidden="1"/>
    </xf>
    <xf numFmtId="0" fontId="1" fillId="10" borderId="6" xfId="4" applyFont="1" applyFill="1" applyBorder="1" applyAlignment="1" applyProtection="1">
      <alignment horizontal="center" vertical="center"/>
      <protection hidden="1"/>
    </xf>
    <xf numFmtId="0" fontId="69" fillId="3" borderId="49" xfId="1" applyFont="1" applyFill="1" applyBorder="1" applyAlignment="1" applyProtection="1">
      <alignment horizontal="center" vertical="center"/>
    </xf>
    <xf numFmtId="0" fontId="69" fillId="3" borderId="211" xfId="1" applyFont="1" applyFill="1" applyBorder="1" applyAlignment="1" applyProtection="1">
      <alignment horizontal="center" vertical="center"/>
    </xf>
    <xf numFmtId="0" fontId="32" fillId="10" borderId="3" xfId="0" applyFont="1" applyFill="1" applyBorder="1" applyAlignment="1">
      <alignment horizontal="center"/>
    </xf>
    <xf numFmtId="0" fontId="32" fillId="10" borderId="7" xfId="0" applyFont="1" applyFill="1" applyBorder="1" applyAlignment="1">
      <alignment horizontal="center"/>
    </xf>
    <xf numFmtId="0" fontId="32" fillId="10" borderId="6" xfId="0" applyFont="1" applyFill="1" applyBorder="1" applyAlignment="1">
      <alignment horizontal="center"/>
    </xf>
    <xf numFmtId="0" fontId="47" fillId="0" borderId="1" xfId="0" applyFont="1" applyBorder="1" applyAlignment="1">
      <alignment vertical="center" wrapText="1"/>
    </xf>
    <xf numFmtId="0" fontId="107" fillId="3" borderId="15" xfId="0" applyFont="1" applyFill="1" applyBorder="1" applyAlignment="1">
      <alignment horizontal="left" vertical="center" wrapText="1"/>
    </xf>
    <xf numFmtId="0" fontId="107" fillId="3" borderId="5" xfId="0" applyFont="1" applyFill="1" applyBorder="1" applyAlignment="1">
      <alignment horizontal="left" vertical="center" wrapText="1"/>
    </xf>
    <xf numFmtId="0" fontId="107" fillId="3" borderId="13" xfId="0" applyFont="1" applyFill="1" applyBorder="1" applyAlignment="1">
      <alignment horizontal="left" vertical="center" wrapText="1"/>
    </xf>
    <xf numFmtId="0" fontId="107" fillId="3" borderId="8" xfId="0" applyFont="1" applyFill="1" applyBorder="1" applyAlignment="1">
      <alignment horizontal="left" vertical="center" wrapText="1"/>
    </xf>
    <xf numFmtId="0" fontId="107" fillId="3" borderId="0" xfId="0" applyFont="1" applyFill="1" applyBorder="1" applyAlignment="1">
      <alignment horizontal="left" vertical="center" wrapText="1"/>
    </xf>
    <xf numFmtId="0" fontId="107" fillId="3" borderId="9" xfId="0" applyFont="1" applyFill="1" applyBorder="1" applyAlignment="1">
      <alignment horizontal="left" vertical="center" wrapText="1"/>
    </xf>
    <xf numFmtId="0" fontId="107" fillId="3" borderId="12" xfId="0" applyFont="1" applyFill="1" applyBorder="1" applyAlignment="1">
      <alignment horizontal="left" vertical="center" wrapText="1"/>
    </xf>
    <xf numFmtId="0" fontId="107" fillId="3" borderId="10" xfId="0" applyFont="1" applyFill="1" applyBorder="1" applyAlignment="1">
      <alignment horizontal="left" vertical="center" wrapText="1"/>
    </xf>
    <xf numFmtId="0" fontId="107" fillId="3" borderId="11" xfId="0" applyFont="1" applyFill="1" applyBorder="1" applyAlignment="1">
      <alignment horizontal="left" vertical="center" wrapText="1"/>
    </xf>
    <xf numFmtId="0" fontId="69" fillId="3" borderId="15" xfId="0" applyFont="1" applyFill="1" applyBorder="1" applyAlignment="1">
      <alignment horizontal="left" vertical="center" wrapText="1"/>
    </xf>
    <xf numFmtId="0" fontId="69" fillId="3" borderId="5" xfId="0" applyFont="1" applyFill="1" applyBorder="1" applyAlignment="1">
      <alignment horizontal="left" vertical="center" wrapText="1"/>
    </xf>
    <xf numFmtId="0" fontId="69" fillId="3" borderId="13" xfId="0" applyFont="1" applyFill="1" applyBorder="1" applyAlignment="1">
      <alignment horizontal="left" vertical="center" wrapText="1"/>
    </xf>
    <xf numFmtId="0" fontId="69" fillId="3" borderId="8" xfId="0" applyFont="1" applyFill="1" applyBorder="1" applyAlignment="1">
      <alignment horizontal="left" vertical="center" wrapText="1"/>
    </xf>
    <xf numFmtId="0" fontId="69" fillId="3" borderId="0" xfId="0" applyFont="1" applyFill="1" applyBorder="1" applyAlignment="1">
      <alignment horizontal="left" vertical="center" wrapText="1"/>
    </xf>
    <xf numFmtId="0" fontId="69" fillId="3" borderId="9" xfId="0" applyFont="1" applyFill="1" applyBorder="1" applyAlignment="1">
      <alignment horizontal="left" vertical="center" wrapText="1"/>
    </xf>
    <xf numFmtId="0" fontId="69" fillId="3" borderId="12" xfId="0" applyFont="1" applyFill="1" applyBorder="1" applyAlignment="1">
      <alignment horizontal="left" vertical="center" wrapText="1"/>
    </xf>
    <xf numFmtId="0" fontId="69" fillId="3" borderId="10" xfId="0" applyFont="1" applyFill="1" applyBorder="1" applyAlignment="1">
      <alignment horizontal="left" vertical="center" wrapText="1"/>
    </xf>
    <xf numFmtId="0" fontId="69" fillId="3" borderId="11" xfId="0" applyFont="1" applyFill="1" applyBorder="1" applyAlignment="1">
      <alignment horizontal="left" vertical="center" wrapText="1"/>
    </xf>
    <xf numFmtId="0" fontId="107" fillId="3" borderId="15" xfId="0" applyFont="1" applyFill="1" applyBorder="1" applyAlignment="1">
      <alignment horizontal="center" vertical="center" wrapText="1"/>
    </xf>
    <xf numFmtId="0" fontId="107" fillId="3" borderId="5" xfId="0" applyFont="1" applyFill="1" applyBorder="1" applyAlignment="1">
      <alignment horizontal="center" vertical="center" wrapText="1"/>
    </xf>
    <xf numFmtId="0" fontId="107" fillId="3" borderId="13" xfId="0" applyFont="1" applyFill="1" applyBorder="1" applyAlignment="1">
      <alignment horizontal="center" vertical="center" wrapText="1"/>
    </xf>
    <xf numFmtId="0" fontId="107" fillId="3" borderId="12" xfId="0" applyFont="1" applyFill="1" applyBorder="1" applyAlignment="1">
      <alignment horizontal="center" vertical="center" wrapText="1"/>
    </xf>
    <xf numFmtId="0" fontId="107" fillId="3" borderId="10" xfId="0" applyFont="1" applyFill="1" applyBorder="1" applyAlignment="1">
      <alignment horizontal="center" vertical="center" wrapText="1"/>
    </xf>
    <xf numFmtId="0" fontId="107" fillId="3" borderId="11" xfId="0" applyFont="1" applyFill="1" applyBorder="1" applyAlignment="1">
      <alignment horizontal="center" vertical="center" wrapText="1"/>
    </xf>
    <xf numFmtId="0" fontId="69" fillId="3" borderId="1" xfId="0" applyFont="1" applyFill="1" applyBorder="1" applyAlignment="1">
      <alignment horizontal="center" vertical="center" wrapText="1"/>
    </xf>
    <xf numFmtId="0" fontId="2" fillId="10" borderId="1" xfId="1" applyFont="1" applyFill="1" applyBorder="1" applyAlignment="1" applyProtection="1">
      <alignment horizontal="center"/>
    </xf>
    <xf numFmtId="0" fontId="1" fillId="10" borderId="3" xfId="1" applyFont="1" applyFill="1" applyBorder="1" applyAlignment="1" applyProtection="1">
      <alignment horizontal="center" vertical="center"/>
      <protection hidden="1"/>
    </xf>
    <xf numFmtId="0" fontId="1" fillId="10" borderId="7" xfId="1" applyFont="1" applyFill="1" applyBorder="1" applyAlignment="1" applyProtection="1">
      <alignment horizontal="center" vertical="center"/>
      <protection hidden="1"/>
    </xf>
    <xf numFmtId="0" fontId="1" fillId="10" borderId="6" xfId="1" applyFont="1" applyFill="1" applyBorder="1" applyAlignment="1" applyProtection="1">
      <alignment horizontal="center" vertical="center"/>
      <protection hidden="1"/>
    </xf>
    <xf numFmtId="0" fontId="5" fillId="3" borderId="1" xfId="4" applyFont="1" applyFill="1" applyBorder="1" applyAlignment="1" applyProtection="1">
      <alignment horizontal="center" vertical="center"/>
      <protection hidden="1"/>
    </xf>
    <xf numFmtId="0" fontId="10" fillId="3" borderId="1" xfId="4" applyFont="1" applyFill="1" applyBorder="1" applyAlignment="1" applyProtection="1">
      <alignment horizontal="center" vertical="center"/>
      <protection hidden="1"/>
    </xf>
    <xf numFmtId="0" fontId="58" fillId="3" borderId="0" xfId="0" applyFont="1" applyFill="1" applyAlignment="1">
      <alignment horizontal="left"/>
    </xf>
    <xf numFmtId="0" fontId="132" fillId="3" borderId="9" xfId="0" applyFont="1" applyFill="1" applyBorder="1" applyAlignment="1">
      <alignment horizontal="center" vertical="center"/>
    </xf>
    <xf numFmtId="0" fontId="39" fillId="0" borderId="15" xfId="0" applyFont="1" applyBorder="1" applyAlignment="1">
      <alignment horizontal="left" vertical="center" wrapText="1"/>
    </xf>
    <xf numFmtId="0" fontId="39" fillId="0" borderId="5" xfId="0" applyFont="1" applyBorder="1" applyAlignment="1">
      <alignment horizontal="left" vertical="center" wrapText="1"/>
    </xf>
    <xf numFmtId="0" fontId="39" fillId="0" borderId="13" xfId="0" applyFont="1" applyBorder="1" applyAlignment="1">
      <alignment horizontal="left" vertical="center" wrapText="1"/>
    </xf>
    <xf numFmtId="0" fontId="39" fillId="0" borderId="8" xfId="0" applyFont="1" applyBorder="1" applyAlignment="1">
      <alignment horizontal="left" vertical="center" wrapText="1"/>
    </xf>
    <xf numFmtId="0" fontId="39" fillId="0" borderId="0" xfId="0" applyFont="1" applyBorder="1" applyAlignment="1">
      <alignment horizontal="left" vertical="center" wrapText="1"/>
    </xf>
    <xf numFmtId="0" fontId="39" fillId="0" borderId="9" xfId="0" applyFont="1" applyBorder="1" applyAlignment="1">
      <alignment horizontal="left" vertical="center" wrapText="1"/>
    </xf>
    <xf numFmtId="0" fontId="39" fillId="0" borderId="12" xfId="0" applyFont="1" applyBorder="1" applyAlignment="1">
      <alignment horizontal="left" vertical="center" wrapText="1"/>
    </xf>
    <xf numFmtId="0" fontId="39" fillId="0" borderId="10" xfId="0" applyFont="1" applyBorder="1" applyAlignment="1">
      <alignment horizontal="left" vertical="center" wrapText="1"/>
    </xf>
    <xf numFmtId="0" fontId="39" fillId="0" borderId="11" xfId="0" applyFont="1" applyBorder="1" applyAlignment="1">
      <alignment horizontal="left" vertical="center" wrapText="1"/>
    </xf>
    <xf numFmtId="0" fontId="5" fillId="0" borderId="15" xfId="0" applyFont="1" applyBorder="1" applyAlignment="1">
      <alignment horizontal="left" vertical="center" wrapText="1"/>
    </xf>
    <xf numFmtId="0" fontId="5" fillId="0" borderId="5" xfId="0" applyFont="1" applyBorder="1" applyAlignment="1">
      <alignment horizontal="left" vertical="center" wrapText="1"/>
    </xf>
    <xf numFmtId="0" fontId="5" fillId="0" borderId="13" xfId="0" applyFont="1" applyBorder="1" applyAlignment="1">
      <alignment horizontal="left" vertical="center" wrapText="1"/>
    </xf>
    <xf numFmtId="0" fontId="5" fillId="0" borderId="8" xfId="0" applyFont="1" applyBorder="1" applyAlignment="1">
      <alignment horizontal="left" vertical="center" wrapText="1"/>
    </xf>
    <xf numFmtId="0" fontId="5" fillId="0" borderId="0" xfId="0" applyFont="1" applyBorder="1" applyAlignment="1">
      <alignment horizontal="left" vertical="center" wrapText="1"/>
    </xf>
    <xf numFmtId="0" fontId="5" fillId="0" borderId="9" xfId="0" applyFont="1" applyBorder="1" applyAlignment="1">
      <alignment horizontal="left" vertical="center" wrapText="1"/>
    </xf>
    <xf numFmtId="0" fontId="5" fillId="0" borderId="12" xfId="0" applyFont="1" applyBorder="1" applyAlignment="1">
      <alignment horizontal="left" vertical="center" wrapText="1"/>
    </xf>
    <xf numFmtId="0" fontId="5" fillId="0" borderId="10" xfId="0" applyFont="1" applyBorder="1" applyAlignment="1">
      <alignment horizontal="left" vertical="center" wrapText="1"/>
    </xf>
    <xf numFmtId="0" fontId="5" fillId="0" borderId="11" xfId="0" applyFont="1" applyBorder="1" applyAlignment="1">
      <alignment horizontal="left" vertical="center" wrapText="1"/>
    </xf>
    <xf numFmtId="0" fontId="57" fillId="3" borderId="0" xfId="0" applyFont="1" applyFill="1" applyAlignment="1">
      <alignment horizontal="left"/>
    </xf>
    <xf numFmtId="0" fontId="5" fillId="0" borderId="1" xfId="0" applyFont="1" applyBorder="1" applyAlignment="1">
      <alignment horizontal="left" vertical="center" wrapText="1"/>
    </xf>
    <xf numFmtId="0" fontId="69" fillId="3" borderId="15" xfId="4" applyFont="1" applyFill="1" applyBorder="1" applyAlignment="1">
      <alignment horizontal="left" wrapText="1"/>
    </xf>
    <xf numFmtId="0" fontId="0" fillId="0" borderId="5" xfId="0" applyBorder="1" applyAlignment="1"/>
    <xf numFmtId="0" fontId="0" fillId="0" borderId="13" xfId="0" applyBorder="1" applyAlignment="1"/>
    <xf numFmtId="0" fontId="0" fillId="0" borderId="12" xfId="0" applyBorder="1" applyAlignment="1"/>
    <xf numFmtId="0" fontId="0" fillId="0" borderId="11" xfId="0" applyBorder="1" applyAlignment="1"/>
    <xf numFmtId="0" fontId="121" fillId="3" borderId="0" xfId="0" applyFont="1" applyFill="1" applyBorder="1" applyAlignment="1">
      <alignment horizontal="left" vertical="center" wrapText="1"/>
    </xf>
    <xf numFmtId="2" fontId="5" fillId="3" borderId="1" xfId="4" applyNumberFormat="1" applyFont="1" applyFill="1" applyBorder="1" applyAlignment="1">
      <alignment horizontal="left" vertical="center" wrapText="1"/>
    </xf>
    <xf numFmtId="0" fontId="10" fillId="3" borderId="1" xfId="0" applyFont="1" applyFill="1" applyBorder="1" applyAlignment="1">
      <alignment horizontal="left"/>
    </xf>
    <xf numFmtId="0" fontId="1" fillId="10" borderId="1" xfId="4" applyFont="1" applyFill="1" applyBorder="1" applyAlignment="1" applyProtection="1">
      <alignment horizontal="center" vertical="center" wrapText="1"/>
      <protection hidden="1"/>
    </xf>
    <xf numFmtId="2" fontId="5" fillId="3" borderId="1" xfId="4" applyNumberFormat="1" applyFont="1" applyFill="1" applyBorder="1" applyAlignment="1">
      <alignment horizontal="center" vertical="center" wrapText="1"/>
    </xf>
    <xf numFmtId="0" fontId="1" fillId="3" borderId="1" xfId="0" applyFont="1" applyFill="1" applyBorder="1" applyAlignment="1">
      <alignment horizontal="center"/>
    </xf>
    <xf numFmtId="0" fontId="69" fillId="3" borderId="1" xfId="0" applyFont="1" applyFill="1" applyBorder="1" applyAlignment="1">
      <alignment horizontal="left" vertical="center" wrapText="1"/>
    </xf>
    <xf numFmtId="0" fontId="7" fillId="10" borderId="4" xfId="4" applyFont="1" applyFill="1" applyBorder="1" applyAlignment="1">
      <alignment horizontal="center"/>
    </xf>
    <xf numFmtId="2" fontId="8" fillId="3" borderId="1" xfId="4" applyNumberFormat="1" applyFont="1" applyFill="1" applyBorder="1" applyAlignment="1">
      <alignment horizontal="center" wrapText="1"/>
    </xf>
    <xf numFmtId="2" fontId="5" fillId="3" borderId="1" xfId="4" applyNumberFormat="1" applyFont="1" applyFill="1" applyBorder="1" applyAlignment="1">
      <alignment horizontal="center" wrapText="1"/>
    </xf>
    <xf numFmtId="0" fontId="1" fillId="10" borderId="1" xfId="4" applyFont="1" applyFill="1" applyBorder="1" applyAlignment="1">
      <alignment horizontal="center"/>
    </xf>
    <xf numFmtId="165" fontId="107" fillId="3" borderId="10" xfId="4" applyNumberFormat="1" applyFont="1" applyFill="1" applyBorder="1" applyAlignment="1">
      <alignment horizontal="left"/>
    </xf>
    <xf numFmtId="165" fontId="107" fillId="3" borderId="11" xfId="4" applyNumberFormat="1" applyFont="1" applyFill="1" applyBorder="1" applyAlignment="1">
      <alignment horizontal="left"/>
    </xf>
    <xf numFmtId="0" fontId="1" fillId="10" borderId="7" xfId="4" applyFont="1" applyFill="1" applyBorder="1" applyAlignment="1">
      <alignment horizontal="center"/>
    </xf>
    <xf numFmtId="0" fontId="1" fillId="10" borderId="6" xfId="4" applyFont="1" applyFill="1" applyBorder="1" applyAlignment="1">
      <alignment horizontal="center"/>
    </xf>
    <xf numFmtId="0" fontId="7" fillId="10" borderId="1" xfId="4" applyFont="1" applyFill="1" applyBorder="1" applyAlignment="1">
      <alignment horizontal="center"/>
    </xf>
    <xf numFmtId="0" fontId="1" fillId="3" borderId="1" xfId="4" applyFont="1" applyFill="1" applyBorder="1" applyAlignment="1">
      <alignment horizontal="center" vertical="center"/>
    </xf>
    <xf numFmtId="0" fontId="10" fillId="3" borderId="3" xfId="4" applyFont="1" applyFill="1" applyBorder="1" applyAlignment="1" applyProtection="1">
      <alignment horizontal="left" vertical="center" wrapText="1"/>
      <protection hidden="1"/>
    </xf>
    <xf numFmtId="0" fontId="10" fillId="3" borderId="7" xfId="4" applyFont="1" applyFill="1" applyBorder="1" applyAlignment="1" applyProtection="1">
      <alignment horizontal="left" vertical="center" wrapText="1"/>
      <protection hidden="1"/>
    </xf>
    <xf numFmtId="0" fontId="10" fillId="3" borderId="6" xfId="4" applyFont="1" applyFill="1" applyBorder="1" applyAlignment="1" applyProtection="1">
      <alignment horizontal="left" vertical="center" wrapText="1"/>
      <protection hidden="1"/>
    </xf>
    <xf numFmtId="2" fontId="7" fillId="10" borderId="1" xfId="4" applyNumberFormat="1" applyFont="1" applyFill="1" applyBorder="1" applyAlignment="1" applyProtection="1">
      <alignment horizontal="center" vertical="center"/>
      <protection hidden="1"/>
    </xf>
    <xf numFmtId="167" fontId="7" fillId="10" borderId="1" xfId="7" applyNumberFormat="1" applyFont="1" applyFill="1" applyBorder="1" applyAlignment="1" applyProtection="1">
      <alignment horizontal="center" vertical="center"/>
      <protection hidden="1"/>
    </xf>
    <xf numFmtId="0" fontId="111" fillId="3" borderId="1" xfId="0" applyFont="1" applyFill="1" applyBorder="1" applyAlignment="1">
      <alignment horizontal="left" wrapText="1"/>
    </xf>
    <xf numFmtId="0" fontId="112" fillId="3" borderId="1" xfId="0" applyFont="1" applyFill="1" applyBorder="1" applyAlignment="1">
      <alignment horizontal="left" wrapText="1"/>
    </xf>
    <xf numFmtId="0" fontId="0" fillId="0" borderId="1" xfId="0" applyBorder="1" applyAlignment="1"/>
    <xf numFmtId="0" fontId="1" fillId="3" borderId="1" xfId="0" applyFont="1" applyFill="1" applyBorder="1" applyAlignment="1">
      <alignment horizontal="left"/>
    </xf>
    <xf numFmtId="0" fontId="107" fillId="3" borderId="1" xfId="4" applyFont="1" applyFill="1" applyBorder="1" applyAlignment="1">
      <alignment horizontal="left" wrapText="1"/>
    </xf>
    <xf numFmtId="0" fontId="1" fillId="3" borderId="1" xfId="4" applyFont="1" applyFill="1" applyBorder="1" applyAlignment="1" applyProtection="1">
      <alignment horizontal="center" vertical="center" wrapText="1"/>
      <protection hidden="1"/>
    </xf>
    <xf numFmtId="165" fontId="107" fillId="3" borderId="1" xfId="4" applyNumberFormat="1" applyFont="1" applyFill="1" applyBorder="1" applyAlignment="1">
      <alignment horizontal="left" wrapText="1"/>
    </xf>
    <xf numFmtId="0" fontId="107" fillId="3" borderId="1" xfId="0" applyFont="1" applyFill="1" applyBorder="1" applyAlignment="1">
      <alignment horizontal="center" vertical="center" wrapText="1"/>
    </xf>
    <xf numFmtId="0" fontId="5" fillId="3" borderId="1" xfId="4" applyFont="1" applyFill="1" applyBorder="1" applyAlignment="1">
      <alignment horizontal="center"/>
    </xf>
    <xf numFmtId="0" fontId="2" fillId="10" borderId="4" xfId="4" applyFont="1" applyFill="1" applyBorder="1" applyAlignment="1">
      <alignment horizontal="center"/>
    </xf>
    <xf numFmtId="0" fontId="10" fillId="3" borderId="3" xfId="4" applyFont="1" applyFill="1" applyBorder="1" applyAlignment="1">
      <alignment horizontal="center" vertical="center"/>
    </xf>
    <xf numFmtId="0" fontId="10" fillId="3" borderId="7" xfId="4" applyFont="1" applyFill="1" applyBorder="1" applyAlignment="1">
      <alignment horizontal="center" vertical="center"/>
    </xf>
    <xf numFmtId="0" fontId="69" fillId="3" borderId="1" xfId="4" applyFont="1" applyFill="1" applyBorder="1" applyAlignment="1">
      <alignment horizontal="left" vertical="center" wrapText="1"/>
    </xf>
    <xf numFmtId="168" fontId="1" fillId="3" borderId="1" xfId="8" applyNumberFormat="1" applyFont="1" applyFill="1" applyBorder="1" applyAlignment="1"/>
    <xf numFmtId="167" fontId="1" fillId="3" borderId="1" xfId="7" applyNumberFormat="1" applyFont="1" applyFill="1" applyBorder="1" applyAlignment="1" applyProtection="1">
      <alignment horizontal="center" vertical="center"/>
      <protection hidden="1"/>
    </xf>
    <xf numFmtId="0" fontId="111" fillId="3" borderId="15" xfId="0" applyFont="1" applyFill="1" applyBorder="1" applyAlignment="1">
      <alignment horizontal="left" vertical="center" wrapText="1"/>
    </xf>
    <xf numFmtId="0" fontId="111" fillId="3" borderId="5" xfId="0" applyFont="1" applyFill="1" applyBorder="1" applyAlignment="1">
      <alignment horizontal="left" vertical="center" wrapText="1"/>
    </xf>
    <xf numFmtId="0" fontId="111" fillId="3" borderId="13" xfId="0" applyFont="1" applyFill="1" applyBorder="1" applyAlignment="1">
      <alignment horizontal="left" vertical="center" wrapText="1"/>
    </xf>
    <xf numFmtId="0" fontId="111" fillId="3" borderId="8" xfId="0" applyFont="1" applyFill="1" applyBorder="1" applyAlignment="1">
      <alignment horizontal="left" vertical="center" wrapText="1"/>
    </xf>
    <xf numFmtId="0" fontId="111" fillId="3" borderId="0" xfId="0" applyFont="1" applyFill="1" applyBorder="1" applyAlignment="1">
      <alignment horizontal="left" vertical="center" wrapText="1"/>
    </xf>
    <xf numFmtId="0" fontId="111" fillId="3" borderId="9" xfId="0" applyFont="1" applyFill="1" applyBorder="1" applyAlignment="1">
      <alignment horizontal="left" vertical="center" wrapText="1"/>
    </xf>
    <xf numFmtId="0" fontId="111" fillId="3" borderId="12" xfId="0" applyFont="1" applyFill="1" applyBorder="1" applyAlignment="1">
      <alignment horizontal="left" vertical="center" wrapText="1"/>
    </xf>
    <xf numFmtId="0" fontId="111" fillId="3" borderId="10" xfId="0" applyFont="1" applyFill="1" applyBorder="1" applyAlignment="1">
      <alignment horizontal="left" vertical="center" wrapText="1"/>
    </xf>
    <xf numFmtId="0" fontId="111" fillId="3" borderId="11" xfId="0" applyFont="1" applyFill="1" applyBorder="1" applyAlignment="1">
      <alignment horizontal="left" vertical="center" wrapText="1"/>
    </xf>
    <xf numFmtId="0" fontId="1" fillId="10" borderId="3" xfId="4" applyFont="1" applyFill="1" applyBorder="1" applyAlignment="1" applyProtection="1">
      <alignment horizontal="center" vertical="center" wrapText="1"/>
      <protection hidden="1"/>
    </xf>
    <xf numFmtId="0" fontId="1" fillId="10" borderId="7" xfId="4" applyFont="1" applyFill="1" applyBorder="1" applyAlignment="1" applyProtection="1">
      <alignment horizontal="center" vertical="center" wrapText="1"/>
      <protection hidden="1"/>
    </xf>
    <xf numFmtId="0" fontId="1" fillId="10" borderId="6" xfId="4" applyFont="1" applyFill="1" applyBorder="1" applyAlignment="1" applyProtection="1">
      <alignment horizontal="center" vertical="center" wrapText="1"/>
      <protection hidden="1"/>
    </xf>
    <xf numFmtId="0" fontId="2" fillId="10" borderId="1" xfId="0" applyFont="1" applyFill="1" applyBorder="1" applyAlignment="1">
      <alignment horizontal="center"/>
    </xf>
    <xf numFmtId="0" fontId="1" fillId="10" borderId="4" xfId="4" applyFont="1" applyFill="1" applyBorder="1" applyAlignment="1">
      <alignment horizontal="center"/>
    </xf>
    <xf numFmtId="2" fontId="67" fillId="3" borderId="1" xfId="4" applyNumberFormat="1" applyFont="1" applyFill="1" applyBorder="1" applyAlignment="1">
      <alignment horizontal="left" vertical="center" wrapText="1"/>
    </xf>
    <xf numFmtId="0" fontId="25" fillId="3" borderId="1" xfId="0" applyFont="1" applyFill="1" applyBorder="1" applyAlignment="1">
      <alignment horizontal="center"/>
    </xf>
    <xf numFmtId="0" fontId="10" fillId="3" borderId="1" xfId="0" applyFont="1" applyFill="1" applyBorder="1" applyAlignment="1">
      <alignment horizontal="center" vertical="center" wrapText="1"/>
    </xf>
    <xf numFmtId="0" fontId="5" fillId="3" borderId="2" xfId="4" applyFont="1" applyFill="1" applyBorder="1" applyAlignment="1" applyProtection="1">
      <alignment horizontal="center" vertical="center"/>
      <protection hidden="1"/>
    </xf>
    <xf numFmtId="0" fontId="37" fillId="3" borderId="3" xfId="0" applyFont="1" applyFill="1" applyBorder="1" applyAlignment="1">
      <alignment horizontal="center"/>
    </xf>
    <xf numFmtId="0" fontId="37" fillId="3" borderId="7" xfId="0" applyFont="1" applyFill="1" applyBorder="1" applyAlignment="1">
      <alignment horizontal="center"/>
    </xf>
    <xf numFmtId="0" fontId="10" fillId="3" borderId="1" xfId="4" applyFont="1" applyFill="1" applyBorder="1" applyAlignment="1" applyProtection="1">
      <alignment horizontal="left" vertical="center" wrapText="1"/>
      <protection hidden="1"/>
    </xf>
    <xf numFmtId="0" fontId="1" fillId="3" borderId="3" xfId="4" applyFont="1" applyFill="1" applyBorder="1" applyAlignment="1">
      <alignment horizontal="left" vertical="center"/>
    </xf>
    <xf numFmtId="0" fontId="1" fillId="3" borderId="6" xfId="4" applyFont="1" applyFill="1" applyBorder="1" applyAlignment="1">
      <alignment horizontal="left" vertical="center"/>
    </xf>
    <xf numFmtId="0" fontId="5" fillId="3" borderId="15" xfId="0" applyFont="1" applyFill="1" applyBorder="1" applyAlignment="1">
      <alignment horizontal="left" wrapText="1"/>
    </xf>
    <xf numFmtId="0" fontId="5" fillId="3" borderId="13" xfId="0" applyFont="1" applyFill="1" applyBorder="1" applyAlignment="1">
      <alignment horizontal="left" wrapText="1"/>
    </xf>
    <xf numFmtId="0" fontId="10" fillId="3" borderId="3" xfId="0" applyFont="1" applyFill="1" applyBorder="1" applyAlignment="1">
      <alignment horizontal="left" vertical="center"/>
    </xf>
    <xf numFmtId="0" fontId="10" fillId="3" borderId="6" xfId="0" applyFont="1" applyFill="1" applyBorder="1" applyAlignment="1">
      <alignment horizontal="left" vertical="center"/>
    </xf>
    <xf numFmtId="0" fontId="10" fillId="3" borderId="3" xfId="0" applyFont="1" applyFill="1" applyBorder="1" applyAlignment="1">
      <alignment horizontal="left"/>
    </xf>
    <xf numFmtId="0" fontId="42" fillId="0" borderId="6" xfId="0" applyFont="1" applyBorder="1" applyAlignment="1"/>
    <xf numFmtId="0" fontId="7" fillId="3" borderId="3" xfId="4" applyFont="1" applyFill="1" applyBorder="1" applyAlignment="1">
      <alignment horizontal="center" vertical="center"/>
    </xf>
    <xf numFmtId="0" fontId="7" fillId="3" borderId="6" xfId="4" applyFont="1" applyFill="1" applyBorder="1" applyAlignment="1">
      <alignment horizontal="center" vertical="center"/>
    </xf>
    <xf numFmtId="0" fontId="10" fillId="3" borderId="3" xfId="4" applyFont="1" applyFill="1" applyBorder="1" applyAlignment="1">
      <alignment horizontal="left" vertical="center"/>
    </xf>
    <xf numFmtId="0" fontId="10" fillId="3" borderId="6" xfId="4" applyFont="1" applyFill="1" applyBorder="1" applyAlignment="1">
      <alignment horizontal="left" vertical="center"/>
    </xf>
    <xf numFmtId="0" fontId="37" fillId="3" borderId="1" xfId="0" applyFont="1" applyFill="1" applyBorder="1" applyAlignment="1">
      <alignment horizontal="center" vertical="center"/>
    </xf>
    <xf numFmtId="0" fontId="10" fillId="3" borderId="1" xfId="0" applyFont="1" applyFill="1" applyBorder="1" applyAlignment="1">
      <alignment horizontal="center" vertical="center"/>
    </xf>
    <xf numFmtId="2" fontId="5" fillId="3" borderId="1" xfId="4" applyNumberFormat="1" applyFont="1" applyFill="1" applyBorder="1" applyAlignment="1">
      <alignment horizontal="center"/>
    </xf>
    <xf numFmtId="164" fontId="1" fillId="3" borderId="1" xfId="4" applyNumberFormat="1" applyFont="1" applyFill="1" applyBorder="1" applyAlignment="1">
      <alignment horizontal="center" vertical="center"/>
    </xf>
    <xf numFmtId="0" fontId="5" fillId="3" borderId="1" xfId="0" applyFont="1" applyFill="1" applyBorder="1" applyAlignment="1">
      <alignment horizontal="center" vertical="center" wrapText="1"/>
    </xf>
    <xf numFmtId="0" fontId="10" fillId="3" borderId="3" xfId="4" applyFont="1" applyFill="1" applyBorder="1" applyAlignment="1">
      <alignment horizontal="left" vertical="center" wrapText="1"/>
    </xf>
    <xf numFmtId="0" fontId="10" fillId="3" borderId="7" xfId="4" applyFont="1" applyFill="1" applyBorder="1" applyAlignment="1">
      <alignment horizontal="left" vertical="center" wrapText="1"/>
    </xf>
    <xf numFmtId="2" fontId="1" fillId="3" borderId="1" xfId="4" applyNumberFormat="1" applyFont="1" applyFill="1" applyBorder="1" applyAlignment="1">
      <alignment horizontal="center" vertical="center"/>
    </xf>
    <xf numFmtId="164" fontId="1" fillId="3" borderId="1" xfId="4" applyNumberFormat="1" applyFont="1" applyFill="1" applyBorder="1" applyAlignment="1">
      <alignment horizontal="center"/>
    </xf>
    <xf numFmtId="0" fontId="10" fillId="3" borderId="3" xfId="0" applyFont="1" applyFill="1" applyBorder="1" applyAlignment="1">
      <alignment horizontal="left" wrapText="1"/>
    </xf>
    <xf numFmtId="0" fontId="10" fillId="3" borderId="6" xfId="0" applyFont="1" applyFill="1" applyBorder="1" applyAlignment="1">
      <alignment horizontal="left" wrapText="1"/>
    </xf>
    <xf numFmtId="0" fontId="10" fillId="3" borderId="7" xfId="0" applyFont="1" applyFill="1" applyBorder="1" applyAlignment="1">
      <alignment horizontal="left" wrapText="1"/>
    </xf>
    <xf numFmtId="0" fontId="7" fillId="10" borderId="3" xfId="0" applyFont="1" applyFill="1" applyBorder="1" applyAlignment="1">
      <alignment horizontal="center"/>
    </xf>
    <xf numFmtId="0" fontId="7" fillId="10" borderId="6" xfId="0" applyFont="1" applyFill="1" applyBorder="1" applyAlignment="1">
      <alignment horizontal="center"/>
    </xf>
    <xf numFmtId="2" fontId="67" fillId="3" borderId="15" xfId="4" applyNumberFormat="1" applyFont="1" applyFill="1" applyBorder="1" applyAlignment="1">
      <alignment horizontal="left" vertical="center" wrapText="1"/>
    </xf>
    <xf numFmtId="2" fontId="67" fillId="3" borderId="5" xfId="4" applyNumberFormat="1" applyFont="1" applyFill="1" applyBorder="1" applyAlignment="1">
      <alignment horizontal="left" vertical="center" wrapText="1"/>
    </xf>
    <xf numFmtId="2" fontId="67" fillId="3" borderId="13" xfId="4" applyNumberFormat="1" applyFont="1" applyFill="1" applyBorder="1" applyAlignment="1">
      <alignment horizontal="left" vertical="center" wrapText="1"/>
    </xf>
    <xf numFmtId="2" fontId="67" fillId="3" borderId="12" xfId="4" applyNumberFormat="1" applyFont="1" applyFill="1" applyBorder="1" applyAlignment="1">
      <alignment horizontal="left" vertical="center" wrapText="1"/>
    </xf>
    <xf numFmtId="2" fontId="67" fillId="3" borderId="10" xfId="4" applyNumberFormat="1" applyFont="1" applyFill="1" applyBorder="1" applyAlignment="1">
      <alignment horizontal="left" vertical="center" wrapText="1"/>
    </xf>
    <xf numFmtId="2" fontId="67" fillId="3" borderId="11" xfId="4" applyNumberFormat="1" applyFont="1" applyFill="1" applyBorder="1" applyAlignment="1">
      <alignment horizontal="left" vertical="center" wrapText="1"/>
    </xf>
    <xf numFmtId="0" fontId="7" fillId="10" borderId="1" xfId="0" applyFont="1" applyFill="1" applyBorder="1" applyAlignment="1">
      <alignment horizontal="center"/>
    </xf>
    <xf numFmtId="0" fontId="10" fillId="3" borderId="6" xfId="0" applyFont="1" applyFill="1" applyBorder="1" applyAlignment="1">
      <alignment horizontal="left"/>
    </xf>
    <xf numFmtId="0" fontId="5" fillId="3" borderId="3" xfId="4" applyFont="1" applyFill="1" applyBorder="1" applyAlignment="1">
      <alignment horizontal="left" vertical="center"/>
    </xf>
    <xf numFmtId="0" fontId="5" fillId="3" borderId="6" xfId="4" applyFont="1" applyFill="1" applyBorder="1" applyAlignment="1">
      <alignment horizontal="left" vertical="center"/>
    </xf>
    <xf numFmtId="0" fontId="10" fillId="3" borderId="6" xfId="4" applyFont="1" applyFill="1" applyBorder="1" applyAlignment="1">
      <alignment horizontal="left" vertical="center" wrapText="1"/>
    </xf>
    <xf numFmtId="0" fontId="10" fillId="3" borderId="15" xfId="0" applyFont="1" applyFill="1" applyBorder="1" applyAlignment="1">
      <alignment horizontal="left" wrapText="1"/>
    </xf>
    <xf numFmtId="0" fontId="10" fillId="3" borderId="13" xfId="0" applyFont="1" applyFill="1" applyBorder="1" applyAlignment="1">
      <alignment horizontal="left" wrapText="1"/>
    </xf>
    <xf numFmtId="0" fontId="69" fillId="3" borderId="205" xfId="1" applyFont="1" applyFill="1" applyBorder="1" applyAlignment="1" applyProtection="1">
      <alignment horizontal="center" vertical="center"/>
    </xf>
    <xf numFmtId="0" fontId="69" fillId="3" borderId="5" xfId="1" applyFont="1" applyFill="1" applyBorder="1" applyAlignment="1" applyProtection="1">
      <alignment horizontal="center" vertical="center"/>
    </xf>
    <xf numFmtId="0" fontId="2" fillId="3" borderId="51" xfId="4" applyFont="1" applyFill="1" applyBorder="1" applyAlignment="1">
      <alignment horizontal="center" vertical="center" textRotation="90" wrapText="1"/>
    </xf>
    <xf numFmtId="0" fontId="2" fillId="3" borderId="58" xfId="4" applyFont="1" applyFill="1" applyBorder="1" applyAlignment="1">
      <alignment horizontal="center" vertical="center" textRotation="90" wrapText="1"/>
    </xf>
    <xf numFmtId="0" fontId="2" fillId="3" borderId="215" xfId="4" applyFont="1" applyFill="1" applyBorder="1" applyAlignment="1">
      <alignment horizontal="center" vertical="center" textRotation="90" wrapText="1"/>
    </xf>
    <xf numFmtId="0" fontId="107" fillId="3" borderId="49" xfId="1" applyFont="1" applyFill="1" applyBorder="1" applyAlignment="1" applyProtection="1">
      <alignment horizontal="center" vertical="center"/>
    </xf>
    <xf numFmtId="0" fontId="107" fillId="3" borderId="5" xfId="1" applyFont="1" applyFill="1" applyBorder="1" applyAlignment="1" applyProtection="1">
      <alignment horizontal="center" vertical="center"/>
    </xf>
    <xf numFmtId="0" fontId="37" fillId="3" borderId="1" xfId="0" applyFont="1" applyFill="1" applyBorder="1" applyAlignment="1">
      <alignment horizontal="center" vertical="center" wrapText="1"/>
    </xf>
    <xf numFmtId="0" fontId="10" fillId="3" borderId="1" xfId="0" applyFont="1" applyFill="1" applyBorder="1" applyAlignment="1">
      <alignment horizontal="left" vertical="center" wrapText="1"/>
    </xf>
    <xf numFmtId="0" fontId="7" fillId="3" borderId="3" xfId="4" applyFont="1" applyFill="1" applyBorder="1" applyAlignment="1">
      <alignment horizontal="center" vertical="center" wrapText="1"/>
    </xf>
    <xf numFmtId="0" fontId="7" fillId="3" borderId="7" xfId="4" applyFont="1" applyFill="1" applyBorder="1" applyAlignment="1">
      <alignment horizontal="center" vertical="center" wrapText="1"/>
    </xf>
    <xf numFmtId="0" fontId="7" fillId="3" borderId="6" xfId="4" applyFont="1" applyFill="1" applyBorder="1" applyAlignment="1">
      <alignment horizontal="center" vertical="center" wrapText="1"/>
    </xf>
    <xf numFmtId="0" fontId="107" fillId="3" borderId="1" xfId="4" applyFont="1" applyFill="1" applyBorder="1" applyAlignment="1" applyProtection="1">
      <alignment horizontal="left" vertical="center" wrapText="1"/>
      <protection hidden="1"/>
    </xf>
    <xf numFmtId="0" fontId="67" fillId="3" borderId="1" xfId="0" applyFont="1" applyFill="1" applyBorder="1" applyAlignment="1">
      <alignment horizontal="center" wrapText="1"/>
    </xf>
    <xf numFmtId="0" fontId="69" fillId="3" borderId="3" xfId="0" applyFont="1" applyFill="1" applyBorder="1" applyAlignment="1">
      <alignment horizontal="center" vertical="center" wrapText="1"/>
    </xf>
    <xf numFmtId="0" fontId="69" fillId="3" borderId="7" xfId="0" applyFont="1" applyFill="1" applyBorder="1" applyAlignment="1">
      <alignment horizontal="center" vertical="center" wrapText="1"/>
    </xf>
    <xf numFmtId="0" fontId="69" fillId="3" borderId="6" xfId="0" applyFont="1" applyFill="1" applyBorder="1" applyAlignment="1">
      <alignment horizontal="center" vertical="center" wrapText="1"/>
    </xf>
    <xf numFmtId="0" fontId="69" fillId="3" borderId="4" xfId="0" applyFont="1" applyFill="1" applyBorder="1" applyAlignment="1">
      <alignment horizontal="center" vertical="center" wrapText="1"/>
    </xf>
    <xf numFmtId="0" fontId="107" fillId="3" borderId="4" xfId="0" applyFont="1" applyFill="1" applyBorder="1" applyAlignment="1">
      <alignment horizontal="center" vertical="center" wrapText="1"/>
    </xf>
    <xf numFmtId="2" fontId="1" fillId="3" borderId="2" xfId="4" applyNumberFormat="1" applyFont="1" applyFill="1" applyBorder="1" applyAlignment="1">
      <alignment horizontal="center" vertical="center"/>
    </xf>
    <xf numFmtId="0" fontId="69" fillId="3" borderId="50" xfId="1" applyFont="1" applyFill="1" applyBorder="1" applyAlignment="1" applyProtection="1">
      <alignment horizontal="center" vertical="center"/>
    </xf>
    <xf numFmtId="0" fontId="1" fillId="3" borderId="204" xfId="1" applyFont="1" applyFill="1" applyBorder="1" applyAlignment="1" applyProtection="1">
      <alignment horizontal="center" vertical="center" textRotation="90"/>
    </xf>
    <xf numFmtId="0" fontId="1" fillId="3" borderId="208" xfId="1" applyFont="1" applyFill="1" applyBorder="1" applyAlignment="1" applyProtection="1">
      <alignment horizontal="center" vertical="center" textRotation="90"/>
    </xf>
    <xf numFmtId="0" fontId="1" fillId="3" borderId="207" xfId="1" applyFont="1" applyFill="1" applyBorder="1" applyAlignment="1" applyProtection="1">
      <alignment horizontal="center" vertical="center" textRotation="90"/>
    </xf>
    <xf numFmtId="0" fontId="1" fillId="3" borderId="58" xfId="1" applyFont="1" applyFill="1" applyBorder="1" applyAlignment="1" applyProtection="1">
      <alignment horizontal="center" vertical="center" textRotation="90"/>
    </xf>
    <xf numFmtId="0" fontId="1" fillId="3" borderId="210" xfId="1" applyFont="1" applyFill="1" applyBorder="1" applyAlignment="1" applyProtection="1">
      <alignment horizontal="center" vertical="center" textRotation="90"/>
    </xf>
    <xf numFmtId="0" fontId="1" fillId="3" borderId="51" xfId="1" applyFont="1" applyFill="1" applyBorder="1" applyAlignment="1" applyProtection="1">
      <alignment horizontal="center" vertical="center" textRotation="90"/>
    </xf>
    <xf numFmtId="0" fontId="107" fillId="3" borderId="13" xfId="1" applyFont="1" applyFill="1" applyBorder="1" applyAlignment="1" applyProtection="1">
      <alignment horizontal="center" vertical="center"/>
    </xf>
    <xf numFmtId="0" fontId="69" fillId="3" borderId="48" xfId="1" applyFont="1" applyFill="1" applyBorder="1" applyAlignment="1" applyProtection="1">
      <alignment horizontal="center" vertical="center"/>
    </xf>
    <xf numFmtId="0" fontId="2" fillId="3" borderId="204" xfId="4" applyFont="1" applyFill="1" applyBorder="1" applyAlignment="1">
      <alignment horizontal="center" vertical="center" textRotation="90"/>
    </xf>
    <xf numFmtId="0" fontId="2" fillId="3" borderId="208" xfId="4" applyFont="1" applyFill="1" applyBorder="1" applyAlignment="1">
      <alignment horizontal="center" vertical="center" textRotation="90"/>
    </xf>
    <xf numFmtId="0" fontId="2" fillId="3" borderId="216" xfId="4" applyFont="1" applyFill="1" applyBorder="1" applyAlignment="1">
      <alignment horizontal="center" vertical="center" textRotation="90"/>
    </xf>
    <xf numFmtId="0" fontId="107" fillId="3" borderId="206" xfId="1" applyFont="1" applyFill="1" applyBorder="1" applyAlignment="1" applyProtection="1">
      <alignment horizontal="center" vertical="center"/>
    </xf>
    <xf numFmtId="0" fontId="69" fillId="3" borderId="13" xfId="1" applyFont="1" applyFill="1" applyBorder="1" applyAlignment="1" applyProtection="1">
      <alignment horizontal="center" vertical="center"/>
    </xf>
    <xf numFmtId="0" fontId="2" fillId="3" borderId="210" xfId="4" applyFont="1" applyFill="1" applyBorder="1" applyAlignment="1">
      <alignment horizontal="center" vertical="center" textRotation="90"/>
    </xf>
    <xf numFmtId="0" fontId="2" fillId="3" borderId="212" xfId="4" applyFont="1" applyFill="1" applyBorder="1" applyAlignment="1">
      <alignment horizontal="center" vertical="center" textRotation="90"/>
    </xf>
    <xf numFmtId="0" fontId="2" fillId="3" borderId="207" xfId="4" applyFont="1" applyFill="1" applyBorder="1" applyAlignment="1">
      <alignment horizontal="center" vertical="center" textRotation="90"/>
    </xf>
    <xf numFmtId="0" fontId="2" fillId="3" borderId="58" xfId="4" applyFont="1" applyFill="1" applyBorder="1" applyAlignment="1">
      <alignment horizontal="center" vertical="center" textRotation="90"/>
    </xf>
    <xf numFmtId="0" fontId="2" fillId="3" borderId="52" xfId="4" applyFont="1" applyFill="1" applyBorder="1" applyAlignment="1">
      <alignment horizontal="center" vertical="center" textRotation="90"/>
    </xf>
    <xf numFmtId="0" fontId="107" fillId="3" borderId="205" xfId="1" applyFont="1" applyFill="1" applyBorder="1" applyAlignment="1" applyProtection="1">
      <alignment horizontal="center" vertical="center"/>
    </xf>
    <xf numFmtId="0" fontId="67" fillId="3" borderId="1" xfId="0" applyFont="1" applyFill="1" applyBorder="1" applyAlignment="1">
      <alignment horizontal="center" vertical="center" wrapText="1"/>
    </xf>
    <xf numFmtId="0" fontId="69" fillId="3" borderId="206" xfId="1" applyFont="1" applyFill="1" applyBorder="1" applyAlignment="1" applyProtection="1">
      <alignment horizontal="center" vertical="center"/>
    </xf>
    <xf numFmtId="0" fontId="10" fillId="3" borderId="1" xfId="1" applyFont="1" applyFill="1" applyBorder="1" applyAlignment="1" applyProtection="1">
      <alignment horizontal="center" vertical="center"/>
      <protection hidden="1"/>
    </xf>
    <xf numFmtId="0" fontId="1" fillId="10" borderId="1" xfId="1" applyFont="1" applyFill="1" applyBorder="1" applyAlignment="1" applyProtection="1">
      <alignment horizontal="center" vertical="center"/>
      <protection hidden="1"/>
    </xf>
    <xf numFmtId="0" fontId="1" fillId="3" borderId="1" xfId="1" applyFont="1" applyFill="1" applyBorder="1" applyAlignment="1" applyProtection="1">
      <alignment horizontal="center" vertical="center"/>
      <protection hidden="1"/>
    </xf>
    <xf numFmtId="0" fontId="67" fillId="3" borderId="15" xfId="0" applyFont="1" applyFill="1" applyBorder="1" applyAlignment="1">
      <alignment horizontal="left" vertical="center" wrapText="1"/>
    </xf>
    <xf numFmtId="0" fontId="67" fillId="3" borderId="5" xfId="0" applyFont="1" applyFill="1" applyBorder="1" applyAlignment="1">
      <alignment horizontal="left" vertical="center" wrapText="1"/>
    </xf>
    <xf numFmtId="0" fontId="67" fillId="3" borderId="13" xfId="0" applyFont="1" applyFill="1" applyBorder="1" applyAlignment="1">
      <alignment horizontal="left" vertical="center" wrapText="1"/>
    </xf>
    <xf numFmtId="0" fontId="67" fillId="3" borderId="12" xfId="0" applyFont="1" applyFill="1" applyBorder="1" applyAlignment="1">
      <alignment horizontal="left" vertical="center" wrapText="1"/>
    </xf>
    <xf numFmtId="0" fontId="67" fillId="3" borderId="10" xfId="0" applyFont="1" applyFill="1" applyBorder="1" applyAlignment="1">
      <alignment horizontal="left" vertical="center" wrapText="1"/>
    </xf>
    <xf numFmtId="44" fontId="37" fillId="3" borderId="1" xfId="2" applyFont="1" applyFill="1" applyBorder="1" applyAlignment="1" applyProtection="1">
      <alignment horizontal="center"/>
      <protection locked="0"/>
    </xf>
    <xf numFmtId="44" fontId="37" fillId="3" borderId="3" xfId="2" applyFont="1" applyFill="1" applyBorder="1" applyAlignment="1" applyProtection="1">
      <alignment horizontal="center"/>
      <protection locked="0"/>
    </xf>
    <xf numFmtId="0" fontId="42" fillId="3" borderId="6" xfId="0" applyFont="1" applyFill="1" applyBorder="1" applyAlignment="1"/>
    <xf numFmtId="44" fontId="37" fillId="3" borderId="3" xfId="2" applyFont="1" applyFill="1" applyBorder="1" applyAlignment="1">
      <alignment horizontal="center"/>
    </xf>
    <xf numFmtId="44" fontId="37" fillId="3" borderId="6" xfId="2" applyFont="1" applyFill="1" applyBorder="1" applyAlignment="1">
      <alignment horizontal="center"/>
    </xf>
    <xf numFmtId="43" fontId="5" fillId="3" borderId="1" xfId="8" applyFont="1" applyFill="1" applyBorder="1" applyAlignment="1">
      <alignment horizontal="center"/>
    </xf>
    <xf numFmtId="0" fontId="37" fillId="3" borderId="1" xfId="0" applyFont="1" applyFill="1" applyBorder="1" applyAlignment="1">
      <alignment horizontal="left"/>
    </xf>
    <xf numFmtId="0" fontId="24" fillId="3" borderId="3" xfId="0" applyFont="1" applyFill="1" applyBorder="1" applyAlignment="1">
      <alignment horizontal="center" vertical="center"/>
    </xf>
    <xf numFmtId="0" fontId="24" fillId="3" borderId="7" xfId="0" applyFont="1" applyFill="1" applyBorder="1" applyAlignment="1">
      <alignment horizontal="center" vertical="center"/>
    </xf>
    <xf numFmtId="0" fontId="24" fillId="3" borderId="6" xfId="0" applyFont="1" applyFill="1" applyBorder="1" applyAlignment="1">
      <alignment horizontal="center" vertical="center"/>
    </xf>
    <xf numFmtId="43" fontId="5" fillId="3" borderId="3" xfId="8" applyFont="1" applyFill="1" applyBorder="1" applyAlignment="1">
      <alignment horizontal="center"/>
    </xf>
    <xf numFmtId="43" fontId="5" fillId="3" borderId="6" xfId="8" applyFont="1" applyFill="1" applyBorder="1" applyAlignment="1">
      <alignment horizontal="center"/>
    </xf>
    <xf numFmtId="0" fontId="67" fillId="3" borderId="15" xfId="0" applyFont="1" applyFill="1" applyBorder="1" applyAlignment="1">
      <alignment horizontal="center" vertical="center"/>
    </xf>
    <xf numFmtId="0" fontId="67" fillId="3" borderId="5" xfId="0" applyFont="1" applyFill="1" applyBorder="1" applyAlignment="1">
      <alignment horizontal="center" vertical="center"/>
    </xf>
    <xf numFmtId="0" fontId="67" fillId="3" borderId="13" xfId="0" applyFont="1" applyFill="1" applyBorder="1" applyAlignment="1">
      <alignment horizontal="center" vertical="center"/>
    </xf>
    <xf numFmtId="0" fontId="67" fillId="3" borderId="8" xfId="0" applyFont="1" applyFill="1" applyBorder="1" applyAlignment="1">
      <alignment horizontal="center" vertical="center"/>
    </xf>
    <xf numFmtId="0" fontId="67" fillId="3" borderId="0" xfId="0" applyFont="1" applyFill="1" applyBorder="1" applyAlignment="1">
      <alignment horizontal="center" vertical="center"/>
    </xf>
    <xf numFmtId="0" fontId="67" fillId="3" borderId="9" xfId="0" applyFont="1" applyFill="1" applyBorder="1" applyAlignment="1">
      <alignment horizontal="center" vertical="center"/>
    </xf>
    <xf numFmtId="44" fontId="0" fillId="3" borderId="1" xfId="0" applyNumberFormat="1" applyFill="1" applyBorder="1" applyAlignment="1">
      <alignment horizontal="center"/>
    </xf>
    <xf numFmtId="0" fontId="0" fillId="3" borderId="1" xfId="0" applyFill="1" applyBorder="1" applyAlignment="1">
      <alignment horizontal="center"/>
    </xf>
    <xf numFmtId="2" fontId="10" fillId="3" borderId="3" xfId="0" applyNumberFormat="1" applyFont="1" applyFill="1" applyBorder="1" applyAlignment="1">
      <alignment horizontal="center"/>
    </xf>
    <xf numFmtId="2" fontId="10" fillId="3" borderId="7" xfId="0" applyNumberFormat="1" applyFont="1" applyFill="1" applyBorder="1" applyAlignment="1">
      <alignment horizontal="center"/>
    </xf>
    <xf numFmtId="0" fontId="10" fillId="3" borderId="7" xfId="4" applyFont="1" applyFill="1" applyBorder="1" applyAlignment="1">
      <alignment horizontal="left" vertical="center"/>
    </xf>
    <xf numFmtId="2" fontId="67" fillId="3" borderId="1" xfId="4" applyNumberFormat="1" applyFont="1" applyFill="1" applyBorder="1" applyAlignment="1">
      <alignment horizontal="center" wrapText="1"/>
    </xf>
    <xf numFmtId="0" fontId="69" fillId="3" borderId="15" xfId="1" applyFont="1" applyFill="1" applyBorder="1" applyAlignment="1" applyProtection="1">
      <alignment horizontal="center" vertical="center"/>
    </xf>
    <xf numFmtId="0" fontId="1" fillId="10" borderId="4" xfId="4" applyFont="1" applyFill="1" applyBorder="1" applyAlignment="1" applyProtection="1">
      <alignment horizontal="center" vertical="center"/>
      <protection hidden="1"/>
    </xf>
    <xf numFmtId="166" fontId="5" fillId="3" borderId="0" xfId="4" applyNumberFormat="1" applyFont="1" applyFill="1" applyBorder="1" applyAlignment="1">
      <alignment horizontal="center" wrapText="1"/>
    </xf>
    <xf numFmtId="0" fontId="1" fillId="10" borderId="217" xfId="4" applyFont="1" applyFill="1" applyBorder="1" applyAlignment="1" applyProtection="1">
      <alignment horizontal="center" vertical="center"/>
      <protection hidden="1"/>
    </xf>
    <xf numFmtId="0" fontId="1" fillId="10" borderId="218" xfId="4" applyFont="1" applyFill="1" applyBorder="1" applyAlignment="1" applyProtection="1">
      <alignment horizontal="center" vertical="center"/>
      <protection hidden="1"/>
    </xf>
    <xf numFmtId="0" fontId="1" fillId="10" borderId="219" xfId="4" applyFont="1" applyFill="1" applyBorder="1" applyAlignment="1" applyProtection="1">
      <alignment horizontal="center" vertical="center"/>
      <protection hidden="1"/>
    </xf>
    <xf numFmtId="0" fontId="1" fillId="10" borderId="220" xfId="4" applyFont="1" applyFill="1" applyBorder="1" applyAlignment="1" applyProtection="1">
      <alignment horizontal="center" vertical="center"/>
      <protection hidden="1"/>
    </xf>
    <xf numFmtId="0" fontId="1" fillId="10" borderId="221" xfId="4" applyFont="1" applyFill="1" applyBorder="1" applyAlignment="1" applyProtection="1">
      <alignment horizontal="center" vertical="center"/>
      <protection hidden="1"/>
    </xf>
    <xf numFmtId="0" fontId="67" fillId="3" borderId="5" xfId="1" applyFont="1" applyFill="1" applyBorder="1" applyAlignment="1" applyProtection="1">
      <alignment horizontal="center" vertical="center"/>
    </xf>
    <xf numFmtId="0" fontId="67" fillId="3" borderId="13" xfId="1" applyFont="1" applyFill="1" applyBorder="1" applyAlignment="1" applyProtection="1">
      <alignment horizontal="center" vertical="center"/>
    </xf>
    <xf numFmtId="0" fontId="37" fillId="3" borderId="1" xfId="0" applyFont="1" applyFill="1" applyBorder="1" applyAlignment="1">
      <alignment horizontal="center"/>
    </xf>
    <xf numFmtId="0" fontId="39" fillId="3" borderId="1" xfId="0" applyFont="1" applyFill="1" applyBorder="1" applyAlignment="1">
      <alignment horizontal="left" vertical="center" wrapText="1"/>
    </xf>
    <xf numFmtId="0" fontId="186" fillId="0" borderId="5" xfId="0" applyFont="1" applyBorder="1" applyAlignment="1">
      <alignment horizontal="left"/>
    </xf>
    <xf numFmtId="0" fontId="154" fillId="0" borderId="3" xfId="0" applyFont="1" applyBorder="1" applyAlignment="1">
      <alignment horizontal="left" vertical="center" wrapText="1"/>
    </xf>
    <xf numFmtId="0" fontId="154" fillId="0" borderId="7" xfId="0" applyFont="1" applyBorder="1" applyAlignment="1">
      <alignment horizontal="left" vertical="center" wrapText="1"/>
    </xf>
    <xf numFmtId="0" fontId="154" fillId="0" borderId="6" xfId="0" applyFont="1" applyBorder="1" applyAlignment="1">
      <alignment horizontal="left" vertical="center" wrapText="1"/>
    </xf>
    <xf numFmtId="0" fontId="154" fillId="0" borderId="15" xfId="0" applyFont="1" applyBorder="1" applyAlignment="1">
      <alignment horizontal="left" vertical="center" wrapText="1"/>
    </xf>
    <xf numFmtId="0" fontId="154" fillId="0" borderId="5" xfId="0" applyFont="1" applyBorder="1" applyAlignment="1">
      <alignment horizontal="left" vertical="center" wrapText="1"/>
    </xf>
    <xf numFmtId="0" fontId="154" fillId="0" borderId="13" xfId="0" applyFont="1" applyBorder="1" applyAlignment="1">
      <alignment horizontal="left" vertical="center" wrapText="1"/>
    </xf>
    <xf numFmtId="0" fontId="154" fillId="0" borderId="12" xfId="0" applyFont="1" applyBorder="1" applyAlignment="1">
      <alignment horizontal="left" vertical="center" wrapText="1"/>
    </xf>
    <xf numFmtId="0" fontId="154" fillId="0" borderId="10" xfId="0" applyFont="1" applyBorder="1" applyAlignment="1">
      <alignment horizontal="left" vertical="center" wrapText="1"/>
    </xf>
    <xf numFmtId="0" fontId="154" fillId="0" borderId="11" xfId="0" applyFont="1" applyBorder="1" applyAlignment="1">
      <alignment horizontal="left" vertical="center" wrapText="1"/>
    </xf>
    <xf numFmtId="0" fontId="25" fillId="5" borderId="0" xfId="0" applyFont="1" applyFill="1" applyBorder="1" applyAlignment="1" applyProtection="1">
      <alignment horizontal="left" vertical="center" wrapText="1"/>
      <protection locked="0"/>
    </xf>
    <xf numFmtId="43" fontId="10" fillId="3" borderId="3" xfId="8" applyFont="1" applyFill="1" applyBorder="1" applyAlignment="1">
      <alignment horizontal="center"/>
    </xf>
    <xf numFmtId="43" fontId="10" fillId="3" borderId="6" xfId="8" applyFont="1" applyFill="1" applyBorder="1" applyAlignment="1">
      <alignment horizontal="center"/>
    </xf>
    <xf numFmtId="0" fontId="103" fillId="3" borderId="7" xfId="0" applyFont="1" applyFill="1" applyBorder="1" applyAlignment="1">
      <alignment horizontal="left"/>
    </xf>
    <xf numFmtId="0" fontId="37" fillId="3" borderId="6" xfId="0" applyFont="1" applyFill="1" applyBorder="1" applyAlignment="1">
      <alignment horizontal="center"/>
    </xf>
    <xf numFmtId="0" fontId="2" fillId="3" borderId="1" xfId="0" applyFont="1" applyFill="1" applyBorder="1" applyAlignment="1">
      <alignment horizontal="center"/>
    </xf>
    <xf numFmtId="0" fontId="1" fillId="3" borderId="1" xfId="0" applyFont="1" applyFill="1" applyBorder="1" applyAlignment="1">
      <alignment horizontal="center" vertical="center"/>
    </xf>
    <xf numFmtId="0" fontId="69" fillId="3" borderId="5" xfId="1" applyFont="1" applyFill="1" applyBorder="1" applyAlignment="1" applyProtection="1">
      <alignment horizontal="right" vertical="center"/>
    </xf>
    <xf numFmtId="0" fontId="69" fillId="3" borderId="13" xfId="1" applyFont="1" applyFill="1" applyBorder="1" applyAlignment="1" applyProtection="1">
      <alignment horizontal="right" vertical="center"/>
    </xf>
    <xf numFmtId="0" fontId="5" fillId="3" borderId="1" xfId="4" applyFont="1" applyFill="1" applyBorder="1" applyAlignment="1">
      <alignment horizontal="center" vertical="center" wrapText="1"/>
    </xf>
    <xf numFmtId="0" fontId="5" fillId="3" borderId="71" xfId="0" applyFont="1" applyFill="1" applyBorder="1" applyAlignment="1" applyProtection="1">
      <alignment horizontal="center" vertical="center" wrapText="1"/>
      <protection hidden="1"/>
    </xf>
    <xf numFmtId="0" fontId="5" fillId="3" borderId="0" xfId="0" applyFont="1" applyFill="1" applyBorder="1" applyAlignment="1" applyProtection="1">
      <alignment horizontal="center" vertical="center" wrapText="1"/>
      <protection hidden="1"/>
    </xf>
    <xf numFmtId="0" fontId="5" fillId="3" borderId="1" xfId="0" applyFont="1" applyFill="1" applyBorder="1" applyAlignment="1">
      <alignment horizontal="center"/>
    </xf>
    <xf numFmtId="0" fontId="185" fillId="29" borderId="1" xfId="0" applyFont="1" applyFill="1" applyBorder="1" applyAlignment="1">
      <alignment horizontal="center" vertical="center" wrapText="1"/>
    </xf>
    <xf numFmtId="0" fontId="185" fillId="28" borderId="1" xfId="0" applyFont="1" applyFill="1" applyBorder="1" applyAlignment="1">
      <alignment horizontal="center" vertical="center" wrapText="1"/>
    </xf>
    <xf numFmtId="0" fontId="39" fillId="20" borderId="1" xfId="0" applyFont="1" applyFill="1" applyBorder="1" applyAlignment="1">
      <alignment horizontal="center" vertical="top" wrapText="1"/>
    </xf>
    <xf numFmtId="0" fontId="39" fillId="20" borderId="3" xfId="0" applyFont="1" applyFill="1" applyBorder="1" applyAlignment="1">
      <alignment horizontal="center" vertical="center" wrapText="1"/>
    </xf>
    <xf numFmtId="0" fontId="39" fillId="20" borderId="6" xfId="0" applyFont="1" applyFill="1" applyBorder="1" applyAlignment="1">
      <alignment horizontal="center" vertical="center" wrapText="1"/>
    </xf>
  </cellXfs>
  <cellStyles count="72">
    <cellStyle name="Comma" xfId="8" builtinId="3"/>
    <cellStyle name="Currency" xfId="2" builtinId="4"/>
    <cellStyle name="Excel Built-in Normal" xfId="10" xr:uid="{00000000-0005-0000-0000-000000000000}"/>
    <cellStyle name="Excel Built-in Normal 1" xfId="11" xr:uid="{00000000-0005-0000-0000-000001000000}"/>
    <cellStyle name="Excel Built-in Normal 2" xfId="12" xr:uid="{00000000-0005-0000-0000-000002000000}"/>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1" builtinId="9" hidden="1"/>
    <cellStyle name="Followed Hyperlink" xfId="69" builtinId="9" hidden="1"/>
    <cellStyle name="Followed Hyperlink" xfId="67" builtinId="9" hidden="1"/>
    <cellStyle name="Followed Hyperlink" xfId="65" builtinId="9" hidden="1"/>
    <cellStyle name="Followed Hyperlink" xfId="63" builtinId="9" hidden="1"/>
    <cellStyle name="Followed Hyperlink" xfId="61" builtinId="9" hidden="1"/>
    <cellStyle name="Followed Hyperlink" xfId="59" builtinId="9" hidden="1"/>
    <cellStyle name="Followed Hyperlink" xfId="57" builtinId="9" hidden="1"/>
    <cellStyle name="Followed Hyperlink" xfId="55" builtinId="9" hidden="1"/>
    <cellStyle name="Followed Hyperlink" xfId="53" builtinId="9" hidden="1"/>
    <cellStyle name="Followed Hyperlink" xfId="51" builtinId="9" hidden="1"/>
    <cellStyle name="Followed Hyperlink" xfId="49" builtinId="9" hidden="1"/>
    <cellStyle name="Followed Hyperlink" xfId="47" builtinId="9" hidden="1"/>
    <cellStyle name="Followed Hyperlink" xfId="24" builtinId="9" hidden="1"/>
    <cellStyle name="Followed Hyperlink" xfId="26" builtinId="9" hidden="1"/>
    <cellStyle name="Followed Hyperlink" xfId="27" builtinId="9" hidden="1"/>
    <cellStyle name="Followed Hyperlink" xfId="28" builtinId="9" hidden="1"/>
    <cellStyle name="Followed Hyperlink" xfId="30" builtinId="9" hidden="1"/>
    <cellStyle name="Followed Hyperlink" xfId="31" builtinId="9" hidden="1"/>
    <cellStyle name="Followed Hyperlink" xfId="32" builtinId="9" hidden="1"/>
    <cellStyle name="Followed Hyperlink" xfId="34" builtinId="9" hidden="1"/>
    <cellStyle name="Followed Hyperlink" xfId="35" builtinId="9" hidden="1"/>
    <cellStyle name="Followed Hyperlink" xfId="36" builtinId="9" hidden="1"/>
    <cellStyle name="Followed Hyperlink" xfId="38" builtinId="9" hidden="1"/>
    <cellStyle name="Followed Hyperlink" xfId="39" builtinId="9" hidden="1"/>
    <cellStyle name="Followed Hyperlink" xfId="40" builtinId="9" hidden="1"/>
    <cellStyle name="Followed Hyperlink" xfId="42" builtinId="9" hidden="1"/>
    <cellStyle name="Followed Hyperlink" xfId="43" builtinId="9" hidden="1"/>
    <cellStyle name="Followed Hyperlink" xfId="44" builtinId="9" hidden="1"/>
    <cellStyle name="Followed Hyperlink" xfId="46" builtinId="9" hidden="1"/>
    <cellStyle name="Followed Hyperlink" xfId="45" builtinId="9" hidden="1"/>
    <cellStyle name="Followed Hyperlink" xfId="41" builtinId="9" hidden="1"/>
    <cellStyle name="Followed Hyperlink" xfId="37" builtinId="9" hidden="1"/>
    <cellStyle name="Followed Hyperlink" xfId="33" builtinId="9" hidden="1"/>
    <cellStyle name="Followed Hyperlink" xfId="29" builtinId="9" hidden="1"/>
    <cellStyle name="Followed Hyperlink" xfId="25"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17" builtinId="9" hidden="1"/>
    <cellStyle name="Followed Hyperlink" xfId="15" builtinId="9" hidden="1"/>
    <cellStyle name="Followed Hyperlink" xfId="16" builtinId="9" hidden="1"/>
    <cellStyle name="Followed Hyperlink" xfId="14" builtinId="9" hidden="1"/>
    <cellStyle name="Followed Hyperlink" xfId="13" builtinId="9" hidden="1"/>
    <cellStyle name="Hyperlink" xfId="1" builtinId="8"/>
    <cellStyle name="Normal" xfId="0" builtinId="0"/>
    <cellStyle name="Normal 2" xfId="3" xr:uid="{00000000-0005-0000-0000-000041000000}"/>
    <cellStyle name="Normal 4" xfId="4" xr:uid="{00000000-0005-0000-0000-000042000000}"/>
    <cellStyle name="Normal 5" xfId="5" xr:uid="{00000000-0005-0000-0000-000043000000}"/>
    <cellStyle name="Normal 5 2" xfId="9" xr:uid="{00000000-0005-0000-0000-000044000000}"/>
    <cellStyle name="Percent" xfId="6" builtinId="5"/>
    <cellStyle name="Porcentagem 2" xfId="7" xr:uid="{00000000-0005-0000-0000-000046000000}"/>
  </cellStyles>
  <dxfs count="46">
    <dxf>
      <font>
        <color rgb="FFFF0000"/>
      </font>
    </dxf>
    <dxf>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FF0000"/>
      </font>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lor theme="9" tint="-0.499984740745262"/>
      </font>
      <fill>
        <patternFill>
          <bgColor theme="9" tint="0.59996337778862885"/>
        </patternFill>
      </fill>
    </dxf>
    <dxf>
      <font>
        <color theme="9" tint="-0.499984740745262"/>
      </font>
      <fill>
        <patternFill>
          <bgColor theme="9" tint="0.39994506668294322"/>
        </patternFill>
      </fill>
    </dxf>
    <dxf>
      <font>
        <color theme="0"/>
      </font>
      <fill>
        <patternFill>
          <bgColor theme="9" tint="-0.24994659260841701"/>
        </patternFill>
      </fill>
    </dxf>
    <dxf>
      <font>
        <color theme="0"/>
      </font>
      <fill>
        <patternFill>
          <bgColor theme="9" tint="-0.499984740745262"/>
        </patternFill>
      </fill>
    </dxf>
    <dxf>
      <font>
        <color theme="1" tint="0.34998626667073579"/>
      </font>
      <fill>
        <patternFill>
          <bgColor theme="0" tint="-4.9989318521683403E-2"/>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b/>
        <i val="0"/>
        <condense val="0"/>
        <extend val="0"/>
      </font>
      <fill>
        <patternFill>
          <bgColor indexed="10"/>
        </patternFill>
      </fill>
    </dxf>
    <dxf>
      <font>
        <b/>
        <i val="0"/>
        <condense val="0"/>
        <extend val="0"/>
      </font>
      <fill>
        <patternFill>
          <bgColor indexed="10"/>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FF0000"/>
      </font>
    </dxf>
  </dxfs>
  <tableStyles count="0" defaultTableStyle="TableStyleMedium9" defaultPivotStyle="PivotStyleLight16"/>
  <colors>
    <mruColors>
      <color rgb="FFFFFF99"/>
      <color rgb="FFFFCE6D"/>
      <color rgb="FFFFDC97"/>
      <color rgb="FFFFEECD"/>
      <color rgb="FFFF6600"/>
      <color rgb="FFFFFFCC"/>
      <color rgb="FF713605"/>
      <color rgb="FF009900"/>
      <color rgb="FF306631"/>
      <color rgb="FF418B4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a:pPr>
            <a:r>
              <a:rPr lang="en-US" sz="1400" b="0"/>
              <a:t>Uso do solo nas  APPs</a:t>
            </a:r>
            <a:endParaRPr lang="en-US" sz="1600" b="0" baseline="0"/>
          </a:p>
        </c:rich>
      </c:tx>
      <c:layout>
        <c:manualLayout>
          <c:xMode val="edge"/>
          <c:yMode val="edge"/>
          <c:x val="0.17725217723582801"/>
          <c:y val="3.4217402070024501E-2"/>
        </c:manualLayout>
      </c:layout>
      <c:overlay val="0"/>
    </c:title>
    <c:autoTitleDeleted val="0"/>
    <c:view3D>
      <c:rotX val="30"/>
      <c:rotY val="0"/>
      <c:rAngAx val="0"/>
    </c:view3D>
    <c:floor>
      <c:thickness val="0"/>
    </c:floor>
    <c:sideWall>
      <c:thickness val="0"/>
    </c:sideWall>
    <c:backWall>
      <c:thickness val="0"/>
    </c:backWall>
    <c:plotArea>
      <c:layout/>
      <c:pie3DChart>
        <c:varyColors val="1"/>
        <c:ser>
          <c:idx val="2"/>
          <c:order val="0"/>
          <c:tx>
            <c:strRef>
              <c:f>'1 QUESTIONÁRIO'!$E$111</c:f>
              <c:strCache>
                <c:ptCount val="1"/>
              </c:strCache>
            </c:strRef>
          </c:tx>
          <c:dPt>
            <c:idx val="0"/>
            <c:bubble3D val="0"/>
            <c:spPr>
              <a:solidFill>
                <a:srgbClr val="008000"/>
              </a:solidFill>
            </c:spPr>
            <c:extLst>
              <c:ext xmlns:c16="http://schemas.microsoft.com/office/drawing/2014/chart" uri="{C3380CC4-5D6E-409C-BE32-E72D297353CC}">
                <c16:uniqueId val="{00000001-ADC3-4B42-86C7-5877C22C5A69}"/>
              </c:ext>
            </c:extLst>
          </c:dPt>
          <c:dPt>
            <c:idx val="1"/>
            <c:bubble3D val="0"/>
            <c:spPr>
              <a:solidFill>
                <a:srgbClr val="CCFF66"/>
              </a:solidFill>
            </c:spPr>
            <c:extLst>
              <c:ext xmlns:c16="http://schemas.microsoft.com/office/drawing/2014/chart" uri="{C3380CC4-5D6E-409C-BE32-E72D297353CC}">
                <c16:uniqueId val="{00000003-ADC3-4B42-86C7-5877C22C5A69}"/>
              </c:ext>
            </c:extLst>
          </c:dPt>
          <c:dPt>
            <c:idx val="2"/>
            <c:bubble3D val="0"/>
            <c:spPr>
              <a:solidFill>
                <a:srgbClr val="FFC000"/>
              </a:solidFill>
            </c:spPr>
            <c:extLst>
              <c:ext xmlns:c16="http://schemas.microsoft.com/office/drawing/2014/chart" uri="{C3380CC4-5D6E-409C-BE32-E72D297353CC}">
                <c16:uniqueId val="{00000005-ADC3-4B42-86C7-5877C22C5A69}"/>
              </c:ext>
            </c:extLst>
          </c:dPt>
          <c:dLbls>
            <c:spPr>
              <a:noFill/>
              <a:ln>
                <a:noFill/>
              </a:ln>
              <a:effectLst/>
            </c:spPr>
            <c:txPr>
              <a:bodyPr/>
              <a:lstStyle/>
              <a:p>
                <a:pPr>
                  <a:defRPr sz="800"/>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'2 GEOPROCESSAMENTO'!$B$54:$C$56</c:f>
              <c:strCache>
                <c:ptCount val="3"/>
                <c:pt idx="0">
                  <c:v>Vegetação nativa</c:v>
                </c:pt>
                <c:pt idx="1">
                  <c:v>Área a ser recuperada*</c:v>
                </c:pt>
                <c:pt idx="2">
                  <c:v>Área de uso consolidado</c:v>
                </c:pt>
              </c:strCache>
            </c:strRef>
          </c:cat>
          <c:val>
            <c:numRef>
              <c:f>'2 GEOPROCESSAMENTO'!$I$54:$I$56</c:f>
              <c:numCache>
                <c:formatCode>0.0%</c:formatCode>
                <c:ptCount val="3"/>
                <c:pt idx="0">
                  <c:v>0</c:v>
                </c:pt>
                <c:pt idx="1">
                  <c:v>0</c:v>
                </c:pt>
                <c:pt idx="2">
                  <c:v>0</c:v>
                </c:pt>
              </c:numCache>
            </c:numRef>
          </c:val>
          <c:extLst>
            <c:ext xmlns:c16="http://schemas.microsoft.com/office/drawing/2014/chart" uri="{C3380CC4-5D6E-409C-BE32-E72D297353CC}">
              <c16:uniqueId val="{00000006-ADC3-4B42-86C7-5877C22C5A69}"/>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60719679295171902"/>
          <c:y val="0.158392932590779"/>
          <c:w val="0.36984543330724101"/>
          <c:h val="0.77039984636084402"/>
        </c:manualLayout>
      </c:layout>
      <c:overlay val="0"/>
      <c:txPr>
        <a:bodyPr/>
        <a:lstStyle/>
        <a:p>
          <a:pPr>
            <a:defRPr sz="1000" baseline="0"/>
          </a:pPr>
          <a:endParaRPr lang="en-US"/>
        </a:p>
      </c:txPr>
    </c:legend>
    <c:plotVisOnly val="1"/>
    <c:dispBlanksAs val="zero"/>
    <c:showDLblsOverMax val="0"/>
  </c:chart>
  <c:spPr>
    <a:solidFill>
      <a:schemeClr val="bg1"/>
    </a:solidFill>
    <a:ln>
      <a:noFill/>
    </a:ln>
  </c:spPr>
  <c:printSettings>
    <c:headerFooter/>
    <c:pageMargins b="0.75000000000001499" l="0.70000000000000095" r="0.70000000000000095" t="0.75000000000001499"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pt-BR" sz="1400" b="0">
                <a:latin typeface="Arial" pitchFamily="34" charset="0"/>
                <a:cs typeface="Arial" pitchFamily="34" charset="0"/>
              </a:rPr>
              <a:t>Aspectos socioeconômicos</a:t>
            </a:r>
          </a:p>
        </c:rich>
      </c:tx>
      <c:layout>
        <c:manualLayout>
          <c:xMode val="edge"/>
          <c:yMode val="edge"/>
          <c:x val="0.229651076747937"/>
          <c:y val="1.02970863283836E-2"/>
        </c:manualLayout>
      </c:layout>
      <c:overlay val="1"/>
    </c:title>
    <c:autoTitleDeleted val="0"/>
    <c:plotArea>
      <c:layout>
        <c:manualLayout>
          <c:layoutTarget val="inner"/>
          <c:xMode val="edge"/>
          <c:yMode val="edge"/>
          <c:x val="0.288862445249017"/>
          <c:y val="0.20759825184869601"/>
          <c:w val="0.45490037218016599"/>
          <c:h val="0.57538990582565197"/>
        </c:manualLayout>
      </c:layout>
      <c:radarChart>
        <c:radarStyle val="filled"/>
        <c:varyColors val="0"/>
        <c:ser>
          <c:idx val="0"/>
          <c:order val="0"/>
          <c:tx>
            <c:v>Atual</c:v>
          </c:tx>
          <c:spPr>
            <a:solidFill>
              <a:srgbClr val="CCFF66"/>
            </a:solidFill>
            <a:ln w="15875">
              <a:solidFill>
                <a:srgbClr val="006600">
                  <a:alpha val="45000"/>
                </a:srgbClr>
              </a:solidFill>
            </a:ln>
          </c:spPr>
          <c:cat>
            <c:strRef>
              <c:f>'4 RELATÓRIO'!$B$33:$B$43</c:f>
              <c:strCache>
                <c:ptCount val="11"/>
                <c:pt idx="0">
                  <c:v>1.Produtividade</c:v>
                </c:pt>
                <c:pt idx="1">
                  <c:v>2.Diversificação da renda</c:v>
                </c:pt>
                <c:pt idx="2">
                  <c:v>3.Evolução patrimonial</c:v>
                </c:pt>
                <c:pt idx="3">
                  <c:v>4.Grau de endividamento</c:v>
                </c:pt>
                <c:pt idx="4">
                  <c:v>5.Serviços básicos / Seg. alimentar</c:v>
                </c:pt>
                <c:pt idx="5">
                  <c:v>6.Escolaridade, capacitação</c:v>
                </c:pt>
                <c:pt idx="6">
                  <c:v>7.Qualidade do emprego gerado</c:v>
                </c:pt>
                <c:pt idx="7">
                  <c:v>8.Gestão do empreendimento</c:v>
                </c:pt>
                <c:pt idx="8">
                  <c:v>9.Gestão da informação</c:v>
                </c:pt>
                <c:pt idx="9">
                  <c:v>10.Gerenciamento de resíduos</c:v>
                </c:pt>
                <c:pt idx="10">
                  <c:v>11.Segurança do trabalho</c:v>
                </c:pt>
              </c:strCache>
            </c:strRef>
          </c:cat>
          <c:val>
            <c:numRef>
              <c:f>'4 RELATÓRIO'!$G$33:$G$43</c:f>
              <c:numCache>
                <c:formatCode>0.00</c:formatCode>
                <c:ptCount val="11"/>
                <c:pt idx="0">
                  <c:v>0</c:v>
                </c:pt>
                <c:pt idx="1">
                  <c:v>0</c:v>
                </c:pt>
                <c:pt idx="2">
                  <c:v>0</c:v>
                </c:pt>
                <c:pt idx="3">
                  <c:v>0</c:v>
                </c:pt>
                <c:pt idx="4">
                  <c:v>0</c:v>
                </c:pt>
                <c:pt idx="5">
                  <c:v>0</c:v>
                </c:pt>
                <c:pt idx="6">
                  <c:v>0.7</c:v>
                </c:pt>
                <c:pt idx="7">
                  <c:v>0</c:v>
                </c:pt>
                <c:pt idx="8">
                  <c:v>0</c:v>
                </c:pt>
                <c:pt idx="9">
                  <c:v>0</c:v>
                </c:pt>
                <c:pt idx="10">
                  <c:v>0.7</c:v>
                </c:pt>
              </c:numCache>
            </c:numRef>
          </c:val>
          <c:extLst>
            <c:ext xmlns:c16="http://schemas.microsoft.com/office/drawing/2014/chart" uri="{C3380CC4-5D6E-409C-BE32-E72D297353CC}">
              <c16:uniqueId val="{00000000-D19B-4886-85E2-36E6276EDF3F}"/>
            </c:ext>
          </c:extLst>
        </c:ser>
        <c:ser>
          <c:idx val="1"/>
          <c:order val="1"/>
          <c:tx>
            <c:v>Limiar de sustentabilidade</c:v>
          </c:tx>
          <c:spPr>
            <a:noFill/>
            <a:ln w="15875">
              <a:solidFill>
                <a:srgbClr val="C00000">
                  <a:alpha val="60000"/>
                </a:srgbClr>
              </a:solidFill>
            </a:ln>
          </c:spPr>
          <c:cat>
            <c:strRef>
              <c:f>'4 RELATÓRIO'!$B$33:$B$43</c:f>
              <c:strCache>
                <c:ptCount val="11"/>
                <c:pt idx="0">
                  <c:v>1.Produtividade</c:v>
                </c:pt>
                <c:pt idx="1">
                  <c:v>2.Diversificação da renda</c:v>
                </c:pt>
                <c:pt idx="2">
                  <c:v>3.Evolução patrimonial</c:v>
                </c:pt>
                <c:pt idx="3">
                  <c:v>4.Grau de endividamento</c:v>
                </c:pt>
                <c:pt idx="4">
                  <c:v>5.Serviços básicos / Seg. alimentar</c:v>
                </c:pt>
                <c:pt idx="5">
                  <c:v>6.Escolaridade, capacitação</c:v>
                </c:pt>
                <c:pt idx="6">
                  <c:v>7.Qualidade do emprego gerado</c:v>
                </c:pt>
                <c:pt idx="7">
                  <c:v>8.Gestão do empreendimento</c:v>
                </c:pt>
                <c:pt idx="8">
                  <c:v>9.Gestão da informação</c:v>
                </c:pt>
                <c:pt idx="9">
                  <c:v>10.Gerenciamento de resíduos</c:v>
                </c:pt>
                <c:pt idx="10">
                  <c:v>11.Segurança do trabalho</c:v>
                </c:pt>
              </c:strCache>
            </c:strRef>
          </c:cat>
          <c:val>
            <c:numRef>
              <c:f>'4 RELATÓRIO'!$H$33:$H$43</c:f>
              <c:numCache>
                <c:formatCode>0.0</c:formatCode>
                <c:ptCount val="11"/>
                <c:pt idx="0">
                  <c:v>0.7</c:v>
                </c:pt>
                <c:pt idx="1">
                  <c:v>0.7</c:v>
                </c:pt>
                <c:pt idx="2">
                  <c:v>0.7</c:v>
                </c:pt>
                <c:pt idx="3">
                  <c:v>0.7</c:v>
                </c:pt>
                <c:pt idx="4">
                  <c:v>0.7</c:v>
                </c:pt>
                <c:pt idx="5">
                  <c:v>0.7</c:v>
                </c:pt>
                <c:pt idx="6">
                  <c:v>0.7</c:v>
                </c:pt>
                <c:pt idx="7">
                  <c:v>0.7</c:v>
                </c:pt>
                <c:pt idx="8">
                  <c:v>0.7</c:v>
                </c:pt>
                <c:pt idx="9">
                  <c:v>0.7</c:v>
                </c:pt>
                <c:pt idx="10">
                  <c:v>0.7</c:v>
                </c:pt>
              </c:numCache>
            </c:numRef>
          </c:val>
          <c:extLst>
            <c:ext xmlns:c16="http://schemas.microsoft.com/office/drawing/2014/chart" uri="{C3380CC4-5D6E-409C-BE32-E72D297353CC}">
              <c16:uniqueId val="{00000001-D19B-4886-85E2-36E6276EDF3F}"/>
            </c:ext>
          </c:extLst>
        </c:ser>
        <c:ser>
          <c:idx val="2"/>
          <c:order val="2"/>
          <c:tx>
            <c:strRef>
              <c:f>'4 RELATÓRIO'!$I$24:$J$24</c:f>
              <c:strCache>
                <c:ptCount val="1"/>
                <c:pt idx="0">
                  <c:v>Histórico</c:v>
                </c:pt>
              </c:strCache>
            </c:strRef>
          </c:tx>
          <c:spPr>
            <a:solidFill>
              <a:srgbClr val="00B0F0">
                <a:alpha val="30000"/>
              </a:srgbClr>
            </a:solidFill>
            <a:ln w="15875">
              <a:solidFill>
                <a:srgbClr val="00B0F0"/>
              </a:solidFill>
            </a:ln>
          </c:spPr>
          <c:val>
            <c:numRef>
              <c:f>'4 RELATÓRIO'!$I$33:$I$43</c:f>
              <c:numCache>
                <c:formatCode>0.00</c:formatCode>
                <c:ptCount val="11"/>
              </c:numCache>
            </c:numRef>
          </c:val>
          <c:extLst>
            <c:ext xmlns:c16="http://schemas.microsoft.com/office/drawing/2014/chart" uri="{C3380CC4-5D6E-409C-BE32-E72D297353CC}">
              <c16:uniqueId val="{00000002-D19B-4886-85E2-36E6276EDF3F}"/>
            </c:ext>
          </c:extLst>
        </c:ser>
        <c:dLbls>
          <c:showLegendKey val="0"/>
          <c:showVal val="0"/>
          <c:showCatName val="0"/>
          <c:showSerName val="0"/>
          <c:showPercent val="0"/>
          <c:showBubbleSize val="0"/>
        </c:dLbls>
        <c:axId val="79348864"/>
        <c:axId val="79350400"/>
      </c:radarChart>
      <c:catAx>
        <c:axId val="79348864"/>
        <c:scaling>
          <c:orientation val="minMax"/>
        </c:scaling>
        <c:delete val="0"/>
        <c:axPos val="b"/>
        <c:majorGridlines>
          <c:spPr>
            <a:ln>
              <a:solidFill>
                <a:schemeClr val="bg1">
                  <a:lumMod val="85000"/>
                </a:schemeClr>
              </a:solidFill>
            </a:ln>
          </c:spPr>
        </c:majorGridlines>
        <c:numFmt formatCode="General" sourceLinked="1"/>
        <c:majorTickMark val="out"/>
        <c:minorTickMark val="none"/>
        <c:tickLblPos val="nextTo"/>
        <c:crossAx val="79350400"/>
        <c:crosses val="autoZero"/>
        <c:auto val="0"/>
        <c:lblAlgn val="ctr"/>
        <c:lblOffset val="100"/>
        <c:noMultiLvlLbl val="0"/>
      </c:catAx>
      <c:valAx>
        <c:axId val="79350400"/>
        <c:scaling>
          <c:orientation val="minMax"/>
          <c:max val="1"/>
        </c:scaling>
        <c:delete val="0"/>
        <c:axPos val="l"/>
        <c:majorGridlines/>
        <c:numFmt formatCode="0.0" sourceLinked="0"/>
        <c:majorTickMark val="cross"/>
        <c:minorTickMark val="none"/>
        <c:tickLblPos val="nextTo"/>
        <c:spPr>
          <a:ln>
            <a:solidFill>
              <a:schemeClr val="bg1">
                <a:lumMod val="85000"/>
              </a:schemeClr>
            </a:solidFill>
          </a:ln>
        </c:spPr>
        <c:crossAx val="79348864"/>
        <c:crosses val="autoZero"/>
        <c:crossBetween val="between"/>
        <c:majorUnit val="1"/>
      </c:valAx>
    </c:plotArea>
    <c:legend>
      <c:legendPos val="r"/>
      <c:layout>
        <c:manualLayout>
          <c:xMode val="edge"/>
          <c:yMode val="edge"/>
          <c:x val="3.2659772950068298E-2"/>
          <c:y val="0.88165301622355796"/>
          <c:w val="0.96183208424248201"/>
          <c:h val="0.114101315856631"/>
        </c:manualLayout>
      </c:layout>
      <c:overlay val="0"/>
    </c:legend>
    <c:plotVisOnly val="1"/>
    <c:dispBlanksAs val="gap"/>
    <c:showDLblsOverMax val="0"/>
  </c:chart>
  <c:txPr>
    <a:bodyPr/>
    <a:lstStyle/>
    <a:p>
      <a:pPr>
        <a:defRPr sz="900"/>
      </a:pPr>
      <a:endParaRPr lang="en-US"/>
    </a:p>
  </c:txPr>
  <c:printSettings>
    <c:headerFooter/>
    <c:pageMargins b="0.75000000000001499" l="0.70000000000000095" r="0.70000000000000095" t="0.75000000000001499"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solidFill>
                  <a:srgbClr val="002060"/>
                </a:solidFill>
                <a:latin typeface="Arial" pitchFamily="34" charset="0"/>
                <a:cs typeface="Arial" pitchFamily="34" charset="0"/>
              </a:defRPr>
            </a:pPr>
            <a:r>
              <a:rPr lang="pt-BR" sz="1400" b="0">
                <a:solidFill>
                  <a:sysClr val="windowText" lastClr="000000"/>
                </a:solidFill>
                <a:latin typeface="Arial" pitchFamily="34" charset="0"/>
                <a:cs typeface="Arial" pitchFamily="34" charset="0"/>
              </a:rPr>
              <a:t>Aspectos ambientais</a:t>
            </a:r>
          </a:p>
        </c:rich>
      </c:tx>
      <c:layout>
        <c:manualLayout>
          <c:xMode val="edge"/>
          <c:yMode val="edge"/>
          <c:x val="0.28083674835999001"/>
          <c:y val="3.43796203514994E-3"/>
        </c:manualLayout>
      </c:layout>
      <c:overlay val="1"/>
    </c:title>
    <c:autoTitleDeleted val="0"/>
    <c:plotArea>
      <c:layout>
        <c:manualLayout>
          <c:layoutTarget val="inner"/>
          <c:xMode val="edge"/>
          <c:yMode val="edge"/>
          <c:x val="0.25743427628462501"/>
          <c:y val="0.20145284984713599"/>
          <c:w val="0.43580623126123302"/>
          <c:h val="0.588007242044853"/>
        </c:manualLayout>
      </c:layout>
      <c:radarChart>
        <c:radarStyle val="filled"/>
        <c:varyColors val="0"/>
        <c:ser>
          <c:idx val="0"/>
          <c:order val="0"/>
          <c:tx>
            <c:v>Atual</c:v>
          </c:tx>
          <c:spPr>
            <a:solidFill>
              <a:srgbClr val="CCFF66"/>
            </a:solidFill>
            <a:ln w="15875">
              <a:solidFill>
                <a:srgbClr val="006600">
                  <a:alpha val="45000"/>
                </a:srgbClr>
              </a:solidFill>
            </a:ln>
          </c:spPr>
          <c:cat>
            <c:strRef>
              <c:f>'4 RELATÓRIO'!$B$44:$F$53</c:f>
              <c:strCache>
                <c:ptCount val="10"/>
                <c:pt idx="0">
                  <c:v>12.Fertilidade do solo</c:v>
                </c:pt>
                <c:pt idx="1">
                  <c:v>13.Qualidade da água</c:v>
                </c:pt>
                <c:pt idx="2">
                  <c:v>14.Risco de contaminação</c:v>
                </c:pt>
                <c:pt idx="3">
                  <c:v>15.Avaliação solos degradados</c:v>
                </c:pt>
                <c:pt idx="4">
                  <c:v>16.Práticas de conservação</c:v>
                </c:pt>
                <c:pt idx="5">
                  <c:v>17.Estradas</c:v>
                </c:pt>
                <c:pt idx="6">
                  <c:v>18.Vegetação nativa</c:v>
                </c:pt>
                <c:pt idx="7">
                  <c:v>19.APPs</c:v>
                </c:pt>
                <c:pt idx="8">
                  <c:v>20.Reserva Legal</c:v>
                </c:pt>
                <c:pt idx="9">
                  <c:v>21.Diversificação da paisagem</c:v>
                </c:pt>
              </c:strCache>
            </c:strRef>
          </c:cat>
          <c:val>
            <c:numRef>
              <c:f>'4 RELATÓRIO'!$G$44:$G$53</c:f>
              <c:numCache>
                <c:formatCode>0.00</c:formatCode>
                <c:ptCount val="10"/>
                <c:pt idx="0">
                  <c:v>0</c:v>
                </c:pt>
                <c:pt idx="1">
                  <c:v>0</c:v>
                </c:pt>
                <c:pt idx="2">
                  <c:v>1</c:v>
                </c:pt>
                <c:pt idx="3">
                  <c:v>0.7</c:v>
                </c:pt>
                <c:pt idx="4">
                  <c:v>0</c:v>
                </c:pt>
                <c:pt idx="5">
                  <c:v>0</c:v>
                </c:pt>
                <c:pt idx="6">
                  <c:v>0</c:v>
                </c:pt>
                <c:pt idx="7">
                  <c:v>0</c:v>
                </c:pt>
                <c:pt idx="8">
                  <c:v>0</c:v>
                </c:pt>
                <c:pt idx="9">
                  <c:v>0</c:v>
                </c:pt>
              </c:numCache>
            </c:numRef>
          </c:val>
          <c:extLst>
            <c:ext xmlns:c16="http://schemas.microsoft.com/office/drawing/2014/chart" uri="{C3380CC4-5D6E-409C-BE32-E72D297353CC}">
              <c16:uniqueId val="{00000000-0EC8-4CE9-8E83-1375C58DAD37}"/>
            </c:ext>
          </c:extLst>
        </c:ser>
        <c:ser>
          <c:idx val="1"/>
          <c:order val="1"/>
          <c:tx>
            <c:v>Limiar de sustentabilidade</c:v>
          </c:tx>
          <c:spPr>
            <a:noFill/>
            <a:ln w="15875">
              <a:solidFill>
                <a:srgbClr val="C00000">
                  <a:alpha val="45000"/>
                </a:srgbClr>
              </a:solidFill>
            </a:ln>
          </c:spPr>
          <c:cat>
            <c:strRef>
              <c:f>'4 RELATÓRIO'!$B$44:$F$53</c:f>
              <c:strCache>
                <c:ptCount val="10"/>
                <c:pt idx="0">
                  <c:v>12.Fertilidade do solo</c:v>
                </c:pt>
                <c:pt idx="1">
                  <c:v>13.Qualidade da água</c:v>
                </c:pt>
                <c:pt idx="2">
                  <c:v>14.Risco de contaminação</c:v>
                </c:pt>
                <c:pt idx="3">
                  <c:v>15.Avaliação solos degradados</c:v>
                </c:pt>
                <c:pt idx="4">
                  <c:v>16.Práticas de conservação</c:v>
                </c:pt>
                <c:pt idx="5">
                  <c:v>17.Estradas</c:v>
                </c:pt>
                <c:pt idx="6">
                  <c:v>18.Vegetação nativa</c:v>
                </c:pt>
                <c:pt idx="7">
                  <c:v>19.APPs</c:v>
                </c:pt>
                <c:pt idx="8">
                  <c:v>20.Reserva Legal</c:v>
                </c:pt>
                <c:pt idx="9">
                  <c:v>21.Diversificação da paisagem</c:v>
                </c:pt>
              </c:strCache>
            </c:strRef>
          </c:cat>
          <c:val>
            <c:numRef>
              <c:f>'4 RELATÓRIO'!$H$44:$H$53</c:f>
              <c:numCache>
                <c:formatCode>0.0</c:formatCode>
                <c:ptCount val="10"/>
                <c:pt idx="0">
                  <c:v>0.7</c:v>
                </c:pt>
                <c:pt idx="1">
                  <c:v>0.7</c:v>
                </c:pt>
                <c:pt idx="2">
                  <c:v>0.7</c:v>
                </c:pt>
                <c:pt idx="3">
                  <c:v>0.7</c:v>
                </c:pt>
                <c:pt idx="4">
                  <c:v>0.7</c:v>
                </c:pt>
                <c:pt idx="5">
                  <c:v>0.7</c:v>
                </c:pt>
                <c:pt idx="6">
                  <c:v>0.7</c:v>
                </c:pt>
                <c:pt idx="7">
                  <c:v>0.7</c:v>
                </c:pt>
                <c:pt idx="8">
                  <c:v>0.7</c:v>
                </c:pt>
                <c:pt idx="9">
                  <c:v>0.7</c:v>
                </c:pt>
              </c:numCache>
            </c:numRef>
          </c:val>
          <c:extLst>
            <c:ext xmlns:c16="http://schemas.microsoft.com/office/drawing/2014/chart" uri="{C3380CC4-5D6E-409C-BE32-E72D297353CC}">
              <c16:uniqueId val="{00000001-0EC8-4CE9-8E83-1375C58DAD37}"/>
            </c:ext>
          </c:extLst>
        </c:ser>
        <c:ser>
          <c:idx val="2"/>
          <c:order val="2"/>
          <c:tx>
            <c:strRef>
              <c:f>'4 RELATÓRIO'!$I$24:$J$24</c:f>
              <c:strCache>
                <c:ptCount val="1"/>
                <c:pt idx="0">
                  <c:v>Histórico</c:v>
                </c:pt>
              </c:strCache>
            </c:strRef>
          </c:tx>
          <c:spPr>
            <a:solidFill>
              <a:srgbClr val="00B0F0">
                <a:alpha val="30000"/>
              </a:srgbClr>
            </a:solidFill>
            <a:ln w="15875">
              <a:solidFill>
                <a:srgbClr val="00B0F0"/>
              </a:solidFill>
            </a:ln>
          </c:spPr>
          <c:val>
            <c:numRef>
              <c:f>'4 RELATÓRIO'!$I$44:$I$53</c:f>
              <c:numCache>
                <c:formatCode>0.00</c:formatCode>
                <c:ptCount val="10"/>
              </c:numCache>
            </c:numRef>
          </c:val>
          <c:extLst>
            <c:ext xmlns:c16="http://schemas.microsoft.com/office/drawing/2014/chart" uri="{C3380CC4-5D6E-409C-BE32-E72D297353CC}">
              <c16:uniqueId val="{00000002-0EC8-4CE9-8E83-1375C58DAD37}"/>
            </c:ext>
          </c:extLst>
        </c:ser>
        <c:dLbls>
          <c:showLegendKey val="0"/>
          <c:showVal val="0"/>
          <c:showCatName val="0"/>
          <c:showSerName val="0"/>
          <c:showPercent val="0"/>
          <c:showBubbleSize val="0"/>
        </c:dLbls>
        <c:axId val="90190208"/>
        <c:axId val="90191744"/>
      </c:radarChart>
      <c:catAx>
        <c:axId val="90190208"/>
        <c:scaling>
          <c:orientation val="minMax"/>
        </c:scaling>
        <c:delete val="0"/>
        <c:axPos val="b"/>
        <c:majorGridlines>
          <c:spPr>
            <a:ln>
              <a:solidFill>
                <a:schemeClr val="bg1">
                  <a:lumMod val="85000"/>
                </a:schemeClr>
              </a:solidFill>
            </a:ln>
          </c:spPr>
        </c:majorGridlines>
        <c:numFmt formatCode="General" sourceLinked="1"/>
        <c:majorTickMark val="out"/>
        <c:minorTickMark val="none"/>
        <c:tickLblPos val="nextTo"/>
        <c:txPr>
          <a:bodyPr/>
          <a:lstStyle/>
          <a:p>
            <a:pPr>
              <a:defRPr sz="800">
                <a:latin typeface="Arial" pitchFamily="34" charset="0"/>
                <a:cs typeface="Arial" pitchFamily="34" charset="0"/>
              </a:defRPr>
            </a:pPr>
            <a:endParaRPr lang="en-US"/>
          </a:p>
        </c:txPr>
        <c:crossAx val="90191744"/>
        <c:crosses val="autoZero"/>
        <c:auto val="0"/>
        <c:lblAlgn val="ctr"/>
        <c:lblOffset val="100"/>
        <c:noMultiLvlLbl val="0"/>
      </c:catAx>
      <c:valAx>
        <c:axId val="90191744"/>
        <c:scaling>
          <c:orientation val="minMax"/>
          <c:max val="1"/>
        </c:scaling>
        <c:delete val="0"/>
        <c:axPos val="l"/>
        <c:majorGridlines/>
        <c:numFmt formatCode="0.0" sourceLinked="0"/>
        <c:majorTickMark val="cross"/>
        <c:minorTickMark val="none"/>
        <c:tickLblPos val="nextTo"/>
        <c:spPr>
          <a:ln>
            <a:solidFill>
              <a:schemeClr val="bg1">
                <a:lumMod val="85000"/>
              </a:schemeClr>
            </a:solidFill>
          </a:ln>
        </c:spPr>
        <c:txPr>
          <a:bodyPr/>
          <a:lstStyle/>
          <a:p>
            <a:pPr>
              <a:defRPr sz="800"/>
            </a:pPr>
            <a:endParaRPr lang="en-US"/>
          </a:p>
        </c:txPr>
        <c:crossAx val="90190208"/>
        <c:crosses val="autoZero"/>
        <c:crossBetween val="between"/>
        <c:majorUnit val="1"/>
      </c:valAx>
    </c:plotArea>
    <c:legend>
      <c:legendPos val="r"/>
      <c:layout>
        <c:manualLayout>
          <c:xMode val="edge"/>
          <c:yMode val="edge"/>
          <c:x val="1.1612313373083299E-2"/>
          <c:y val="0.84011840462029397"/>
          <c:w val="0.96252573760910098"/>
          <c:h val="0.159881595379707"/>
        </c:manualLayout>
      </c:layout>
      <c:overlay val="0"/>
      <c:txPr>
        <a:bodyPr/>
        <a:lstStyle/>
        <a:p>
          <a:pPr>
            <a:defRPr sz="1100">
              <a:latin typeface="Arial" pitchFamily="34" charset="0"/>
              <a:cs typeface="Arial" pitchFamily="34" charset="0"/>
            </a:defRPr>
          </a:pPr>
          <a:endParaRPr lang="en-US"/>
        </a:p>
      </c:txPr>
    </c:legend>
    <c:plotVisOnly val="1"/>
    <c:dispBlanksAs val="gap"/>
    <c:showDLblsOverMax val="0"/>
  </c:chart>
  <c:printSettings>
    <c:headerFooter/>
    <c:pageMargins b="0.75000000000001499" l="0.70000000000000095" r="0.70000000000000095" t="0.75000000000001499"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solidFill>
                  <a:srgbClr val="002060"/>
                </a:solidFill>
                <a:latin typeface="Arial" pitchFamily="34" charset="0"/>
                <a:cs typeface="Arial" pitchFamily="34" charset="0"/>
              </a:defRPr>
            </a:pPr>
            <a:r>
              <a:rPr lang="pt-BR" sz="1400" b="0">
                <a:solidFill>
                  <a:sysClr val="windowText" lastClr="000000"/>
                </a:solidFill>
                <a:latin typeface="Arial" pitchFamily="34" charset="0"/>
                <a:cs typeface="Arial" pitchFamily="34" charset="0"/>
              </a:rPr>
              <a:t>Indicadores de fertilidade do solo</a:t>
            </a:r>
          </a:p>
        </c:rich>
      </c:tx>
      <c:overlay val="1"/>
      <c:spPr>
        <a:solidFill>
          <a:schemeClr val="bg1"/>
        </a:solidFill>
      </c:spPr>
    </c:title>
    <c:autoTitleDeleted val="0"/>
    <c:plotArea>
      <c:layout>
        <c:manualLayout>
          <c:layoutTarget val="inner"/>
          <c:xMode val="edge"/>
          <c:yMode val="edge"/>
          <c:x val="0.29592062540487102"/>
          <c:y val="0.21716474070230801"/>
          <c:w val="0.362975923683232"/>
          <c:h val="0.53961719472270497"/>
        </c:manualLayout>
      </c:layout>
      <c:radarChart>
        <c:radarStyle val="filled"/>
        <c:varyColors val="0"/>
        <c:ser>
          <c:idx val="0"/>
          <c:order val="0"/>
          <c:tx>
            <c:v>Atual</c:v>
          </c:tx>
          <c:spPr>
            <a:solidFill>
              <a:srgbClr val="CCFF66"/>
            </a:solidFill>
            <a:ln w="15875">
              <a:solidFill>
                <a:srgbClr val="006600">
                  <a:alpha val="45000"/>
                </a:srgbClr>
              </a:solidFill>
            </a:ln>
          </c:spPr>
          <c:cat>
            <c:strRef>
              <c:f>'4 RELATÓRIO'!$B$86:$F$94</c:f>
              <c:strCache>
                <c:ptCount val="9"/>
                <c:pt idx="0">
                  <c:v>Matéria orgânica do solo (dag kg-1)</c:v>
                </c:pt>
                <c:pt idx="1">
                  <c:v>Fósforo disponível (mg dm-3)</c:v>
                </c:pt>
                <c:pt idx="2">
                  <c:v>Cálcio trocável (cmolc dm-3)</c:v>
                </c:pt>
                <c:pt idx="3">
                  <c:v>Magnésio trocável (cmolc dm-3)</c:v>
                </c:pt>
                <c:pt idx="4">
                  <c:v>Potássio trocável (mg dm-3)</c:v>
                </c:pt>
                <c:pt idx="5">
                  <c:v>Acidez ativa (pH)</c:v>
                </c:pt>
                <c:pt idx="6">
                  <c:v>Alumínio trocável (cmolc dm-3)</c:v>
                </c:pt>
                <c:pt idx="7">
                  <c:v>CTC efetiva (cmolc dm-3)</c:v>
                </c:pt>
                <c:pt idx="8">
                  <c:v>Saturação por bases (%)</c:v>
                </c:pt>
              </c:strCache>
            </c:strRef>
          </c:cat>
          <c:val>
            <c:numRef>
              <c:f>'4 RELATÓRIO'!$I$86:$I$94</c:f>
              <c:numCache>
                <c:formatCode>0.00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9F7D-42F1-9067-6FE1C7F6BA93}"/>
            </c:ext>
          </c:extLst>
        </c:ser>
        <c:ser>
          <c:idx val="1"/>
          <c:order val="1"/>
          <c:tx>
            <c:v>Limiar de sustentabilidade</c:v>
          </c:tx>
          <c:spPr>
            <a:noFill/>
            <a:ln w="19050">
              <a:solidFill>
                <a:srgbClr val="C00000">
                  <a:alpha val="45000"/>
                </a:srgbClr>
              </a:solidFill>
            </a:ln>
          </c:spPr>
          <c:cat>
            <c:strRef>
              <c:f>'4 RELATÓRIO'!$B$86:$F$94</c:f>
              <c:strCache>
                <c:ptCount val="9"/>
                <c:pt idx="0">
                  <c:v>Matéria orgânica do solo (dag kg-1)</c:v>
                </c:pt>
                <c:pt idx="1">
                  <c:v>Fósforo disponível (mg dm-3)</c:v>
                </c:pt>
                <c:pt idx="2">
                  <c:v>Cálcio trocável (cmolc dm-3)</c:v>
                </c:pt>
                <c:pt idx="3">
                  <c:v>Magnésio trocável (cmolc dm-3)</c:v>
                </c:pt>
                <c:pt idx="4">
                  <c:v>Potássio trocável (mg dm-3)</c:v>
                </c:pt>
                <c:pt idx="5">
                  <c:v>Acidez ativa (pH)</c:v>
                </c:pt>
                <c:pt idx="6">
                  <c:v>Alumínio trocável (cmolc dm-3)</c:v>
                </c:pt>
                <c:pt idx="7">
                  <c:v>CTC efetiva (cmolc dm-3)</c:v>
                </c:pt>
                <c:pt idx="8">
                  <c:v>Saturação por bases (%)</c:v>
                </c:pt>
              </c:strCache>
            </c:strRef>
          </c:cat>
          <c:val>
            <c:numRef>
              <c:f>'4 RELATÓRIO'!$J$86:$J$94</c:f>
              <c:numCache>
                <c:formatCode>0.0</c:formatCode>
                <c:ptCount val="9"/>
                <c:pt idx="0">
                  <c:v>0.7</c:v>
                </c:pt>
                <c:pt idx="1">
                  <c:v>0.7</c:v>
                </c:pt>
                <c:pt idx="2">
                  <c:v>0.7</c:v>
                </c:pt>
                <c:pt idx="3">
                  <c:v>0.7</c:v>
                </c:pt>
                <c:pt idx="4">
                  <c:v>0.7</c:v>
                </c:pt>
                <c:pt idx="5">
                  <c:v>0.7</c:v>
                </c:pt>
                <c:pt idx="6">
                  <c:v>0.7</c:v>
                </c:pt>
                <c:pt idx="7">
                  <c:v>0.7</c:v>
                </c:pt>
                <c:pt idx="8">
                  <c:v>0.7</c:v>
                </c:pt>
              </c:numCache>
            </c:numRef>
          </c:val>
          <c:extLst>
            <c:ext xmlns:c16="http://schemas.microsoft.com/office/drawing/2014/chart" uri="{C3380CC4-5D6E-409C-BE32-E72D297353CC}">
              <c16:uniqueId val="{00000001-9F7D-42F1-9067-6FE1C7F6BA93}"/>
            </c:ext>
          </c:extLst>
        </c:ser>
        <c:dLbls>
          <c:showLegendKey val="0"/>
          <c:showVal val="0"/>
          <c:showCatName val="0"/>
          <c:showSerName val="0"/>
          <c:showPercent val="0"/>
          <c:showBubbleSize val="0"/>
        </c:dLbls>
        <c:axId val="90217088"/>
        <c:axId val="90259840"/>
      </c:radarChart>
      <c:catAx>
        <c:axId val="90217088"/>
        <c:scaling>
          <c:orientation val="minMax"/>
        </c:scaling>
        <c:delete val="0"/>
        <c:axPos val="b"/>
        <c:majorGridlines>
          <c:spPr>
            <a:ln>
              <a:solidFill>
                <a:schemeClr val="bg1">
                  <a:lumMod val="85000"/>
                </a:schemeClr>
              </a:solidFill>
            </a:ln>
          </c:spPr>
        </c:majorGridlines>
        <c:numFmt formatCode="General" sourceLinked="1"/>
        <c:majorTickMark val="out"/>
        <c:minorTickMark val="none"/>
        <c:tickLblPos val="nextTo"/>
        <c:txPr>
          <a:bodyPr/>
          <a:lstStyle/>
          <a:p>
            <a:pPr>
              <a:defRPr sz="600">
                <a:latin typeface="Arial" pitchFamily="34" charset="0"/>
                <a:cs typeface="Arial" pitchFamily="34" charset="0"/>
              </a:defRPr>
            </a:pPr>
            <a:endParaRPr lang="en-US"/>
          </a:p>
        </c:txPr>
        <c:crossAx val="90259840"/>
        <c:crosses val="autoZero"/>
        <c:auto val="0"/>
        <c:lblAlgn val="ctr"/>
        <c:lblOffset val="100"/>
        <c:noMultiLvlLbl val="0"/>
      </c:catAx>
      <c:valAx>
        <c:axId val="90259840"/>
        <c:scaling>
          <c:orientation val="minMax"/>
          <c:max val="1"/>
        </c:scaling>
        <c:delete val="0"/>
        <c:axPos val="l"/>
        <c:majorGridlines/>
        <c:numFmt formatCode="0.0" sourceLinked="0"/>
        <c:majorTickMark val="cross"/>
        <c:minorTickMark val="none"/>
        <c:tickLblPos val="nextTo"/>
        <c:spPr>
          <a:ln>
            <a:solidFill>
              <a:schemeClr val="bg1">
                <a:lumMod val="85000"/>
              </a:schemeClr>
            </a:solidFill>
          </a:ln>
        </c:spPr>
        <c:crossAx val="90217088"/>
        <c:crosses val="autoZero"/>
        <c:crossBetween val="between"/>
        <c:majorUnit val="1"/>
      </c:valAx>
    </c:plotArea>
    <c:legend>
      <c:legendPos val="r"/>
      <c:layout>
        <c:manualLayout>
          <c:xMode val="edge"/>
          <c:yMode val="edge"/>
          <c:x val="0.28425402871004302"/>
          <c:y val="0.82043026413605802"/>
          <c:w val="0.65362288744416597"/>
          <c:h val="0.10600633541497"/>
        </c:manualLayout>
      </c:layout>
      <c:overlay val="0"/>
      <c:txPr>
        <a:bodyPr/>
        <a:lstStyle/>
        <a:p>
          <a:pPr>
            <a:defRPr sz="1100">
              <a:latin typeface="Arial" pitchFamily="34" charset="0"/>
              <a:cs typeface="Arial" pitchFamily="34" charset="0"/>
            </a:defRPr>
          </a:pPr>
          <a:endParaRPr lang="en-US"/>
        </a:p>
      </c:txPr>
    </c:legend>
    <c:plotVisOnly val="1"/>
    <c:dispBlanksAs val="gap"/>
    <c:showDLblsOverMax val="0"/>
  </c:chart>
  <c:printSettings>
    <c:headerFooter/>
    <c:pageMargins b="0.75000000000001499" l="0.70000000000000095" r="0.70000000000000095" t="0.75000000000001499"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solidFill>
                  <a:srgbClr val="002060"/>
                </a:solidFill>
                <a:latin typeface="Arial" pitchFamily="34" charset="0"/>
                <a:cs typeface="Arial" pitchFamily="34" charset="0"/>
              </a:defRPr>
            </a:pPr>
            <a:r>
              <a:rPr lang="en-US" sz="1400" b="0">
                <a:solidFill>
                  <a:sysClr val="windowText" lastClr="000000"/>
                </a:solidFill>
                <a:latin typeface="Arial" pitchFamily="34" charset="0"/>
                <a:cs typeface="Arial" pitchFamily="34" charset="0"/>
              </a:rPr>
              <a:t>Subíndices de sustentabilidade </a:t>
            </a:r>
          </a:p>
        </c:rich>
      </c:tx>
      <c:layout>
        <c:manualLayout>
          <c:xMode val="edge"/>
          <c:yMode val="edge"/>
          <c:x val="0.18396803888494601"/>
          <c:y val="1.6064047859939298E-2"/>
        </c:manualLayout>
      </c:layout>
      <c:overlay val="1"/>
    </c:title>
    <c:autoTitleDeleted val="0"/>
    <c:plotArea>
      <c:layout>
        <c:manualLayout>
          <c:layoutTarget val="inner"/>
          <c:xMode val="edge"/>
          <c:yMode val="edge"/>
          <c:x val="0.306141454522942"/>
          <c:y val="0.22530160683047101"/>
          <c:w val="0.40567911887154701"/>
          <c:h val="0.57999569525272998"/>
        </c:manualLayout>
      </c:layout>
      <c:radarChart>
        <c:radarStyle val="filled"/>
        <c:varyColors val="0"/>
        <c:ser>
          <c:idx val="0"/>
          <c:order val="0"/>
          <c:tx>
            <c:v>Atual</c:v>
          </c:tx>
          <c:spPr>
            <a:solidFill>
              <a:srgbClr val="CCFF66"/>
            </a:solidFill>
            <a:ln w="15875">
              <a:solidFill>
                <a:srgbClr val="006600">
                  <a:alpha val="45000"/>
                </a:srgbClr>
              </a:solidFill>
            </a:ln>
          </c:spPr>
          <c:cat>
            <c:strRef>
              <c:f>'4 RELATÓRIO'!$B$26:$F$32</c:f>
              <c:strCache>
                <c:ptCount val="7"/>
                <c:pt idx="0">
                  <c:v>Balanço econômico</c:v>
                </c:pt>
                <c:pt idx="1">
                  <c:v>Balanço social</c:v>
                </c:pt>
                <c:pt idx="2">
                  <c:v>Gestão do estabelecimento</c:v>
                </c:pt>
                <c:pt idx="3">
                  <c:v>Capacidade produtiva do solo</c:v>
                </c:pt>
                <c:pt idx="4">
                  <c:v>Qualidade da água</c:v>
                </c:pt>
                <c:pt idx="5">
                  <c:v>Manejo dos sistemas de produção</c:v>
                </c:pt>
                <c:pt idx="6">
                  <c:v>Ecologia da paisagem agrícola</c:v>
                </c:pt>
              </c:strCache>
            </c:strRef>
          </c:cat>
          <c:val>
            <c:numRef>
              <c:f>'4 RELATÓRIO'!$G$26:$G$32</c:f>
              <c:numCache>
                <c:formatCode>0.00</c:formatCode>
                <c:ptCount val="7"/>
                <c:pt idx="0">
                  <c:v>0</c:v>
                </c:pt>
                <c:pt idx="1">
                  <c:v>0</c:v>
                </c:pt>
                <c:pt idx="2">
                  <c:v>0.17499999999999999</c:v>
                </c:pt>
                <c:pt idx="3">
                  <c:v>0</c:v>
                </c:pt>
                <c:pt idx="4">
                  <c:v>0.5</c:v>
                </c:pt>
                <c:pt idx="5">
                  <c:v>0.7</c:v>
                </c:pt>
                <c:pt idx="6">
                  <c:v>0</c:v>
                </c:pt>
              </c:numCache>
            </c:numRef>
          </c:val>
          <c:extLst>
            <c:ext xmlns:c16="http://schemas.microsoft.com/office/drawing/2014/chart" uri="{C3380CC4-5D6E-409C-BE32-E72D297353CC}">
              <c16:uniqueId val="{00000000-D4D6-4E15-9B5E-C78687722328}"/>
            </c:ext>
          </c:extLst>
        </c:ser>
        <c:ser>
          <c:idx val="1"/>
          <c:order val="1"/>
          <c:tx>
            <c:v>Limiar de sustentabilidade</c:v>
          </c:tx>
          <c:spPr>
            <a:noFill/>
            <a:ln w="15875">
              <a:solidFill>
                <a:srgbClr val="C00000">
                  <a:alpha val="60000"/>
                </a:srgbClr>
              </a:solidFill>
            </a:ln>
          </c:spPr>
          <c:cat>
            <c:strRef>
              <c:f>'4 RELATÓRIO'!$B$26:$F$32</c:f>
              <c:strCache>
                <c:ptCount val="7"/>
                <c:pt idx="0">
                  <c:v>Balanço econômico</c:v>
                </c:pt>
                <c:pt idx="1">
                  <c:v>Balanço social</c:v>
                </c:pt>
                <c:pt idx="2">
                  <c:v>Gestão do estabelecimento</c:v>
                </c:pt>
                <c:pt idx="3">
                  <c:v>Capacidade produtiva do solo</c:v>
                </c:pt>
                <c:pt idx="4">
                  <c:v>Qualidade da água</c:v>
                </c:pt>
                <c:pt idx="5">
                  <c:v>Manejo dos sistemas de produção</c:v>
                </c:pt>
                <c:pt idx="6">
                  <c:v>Ecologia da paisagem agrícola</c:v>
                </c:pt>
              </c:strCache>
            </c:strRef>
          </c:cat>
          <c:val>
            <c:numRef>
              <c:f>'4 RELATÓRIO'!$H$26:$H$32</c:f>
              <c:numCache>
                <c:formatCode>0.0</c:formatCode>
                <c:ptCount val="7"/>
                <c:pt idx="0">
                  <c:v>0.7</c:v>
                </c:pt>
                <c:pt idx="1">
                  <c:v>0.7</c:v>
                </c:pt>
                <c:pt idx="2">
                  <c:v>0.7</c:v>
                </c:pt>
                <c:pt idx="3">
                  <c:v>0.7</c:v>
                </c:pt>
                <c:pt idx="4">
                  <c:v>0.7</c:v>
                </c:pt>
                <c:pt idx="5">
                  <c:v>0.7</c:v>
                </c:pt>
                <c:pt idx="6">
                  <c:v>0.7</c:v>
                </c:pt>
              </c:numCache>
            </c:numRef>
          </c:val>
          <c:extLst>
            <c:ext xmlns:c16="http://schemas.microsoft.com/office/drawing/2014/chart" uri="{C3380CC4-5D6E-409C-BE32-E72D297353CC}">
              <c16:uniqueId val="{00000001-D4D6-4E15-9B5E-C78687722328}"/>
            </c:ext>
          </c:extLst>
        </c:ser>
        <c:ser>
          <c:idx val="2"/>
          <c:order val="2"/>
          <c:tx>
            <c:strRef>
              <c:f>'4 RELATÓRIO'!$I$24:$J$24</c:f>
              <c:strCache>
                <c:ptCount val="1"/>
                <c:pt idx="0">
                  <c:v>Histórico</c:v>
                </c:pt>
              </c:strCache>
            </c:strRef>
          </c:tx>
          <c:spPr>
            <a:solidFill>
              <a:srgbClr val="00B0F0">
                <a:alpha val="30000"/>
              </a:srgbClr>
            </a:solidFill>
            <a:ln w="15875">
              <a:solidFill>
                <a:srgbClr val="00B0F0"/>
              </a:solidFill>
            </a:ln>
          </c:spPr>
          <c:val>
            <c:numRef>
              <c:f>'4 RELATÓRIO'!$I$26:$I$32</c:f>
              <c:numCache>
                <c:formatCode>0.00</c:formatCode>
                <c:ptCount val="7"/>
              </c:numCache>
            </c:numRef>
          </c:val>
          <c:extLst>
            <c:ext xmlns:c16="http://schemas.microsoft.com/office/drawing/2014/chart" uri="{C3380CC4-5D6E-409C-BE32-E72D297353CC}">
              <c16:uniqueId val="{00000002-D4D6-4E15-9B5E-C78687722328}"/>
            </c:ext>
          </c:extLst>
        </c:ser>
        <c:dLbls>
          <c:showLegendKey val="0"/>
          <c:showVal val="0"/>
          <c:showCatName val="0"/>
          <c:showSerName val="0"/>
          <c:showPercent val="0"/>
          <c:showBubbleSize val="0"/>
        </c:dLbls>
        <c:axId val="90291584"/>
        <c:axId val="90297472"/>
      </c:radarChart>
      <c:catAx>
        <c:axId val="90291584"/>
        <c:scaling>
          <c:orientation val="minMax"/>
        </c:scaling>
        <c:delete val="0"/>
        <c:axPos val="b"/>
        <c:majorGridlines>
          <c:spPr>
            <a:ln>
              <a:solidFill>
                <a:schemeClr val="bg1">
                  <a:lumMod val="85000"/>
                </a:schemeClr>
              </a:solidFill>
            </a:ln>
          </c:spPr>
        </c:majorGridlines>
        <c:numFmt formatCode="General" sourceLinked="1"/>
        <c:majorTickMark val="out"/>
        <c:minorTickMark val="none"/>
        <c:tickLblPos val="nextTo"/>
        <c:txPr>
          <a:bodyPr/>
          <a:lstStyle/>
          <a:p>
            <a:pPr>
              <a:defRPr sz="800">
                <a:latin typeface="Arial" pitchFamily="34" charset="0"/>
                <a:cs typeface="Arial" pitchFamily="34" charset="0"/>
              </a:defRPr>
            </a:pPr>
            <a:endParaRPr lang="en-US"/>
          </a:p>
        </c:txPr>
        <c:crossAx val="90297472"/>
        <c:crosses val="autoZero"/>
        <c:auto val="0"/>
        <c:lblAlgn val="ctr"/>
        <c:lblOffset val="100"/>
        <c:noMultiLvlLbl val="0"/>
      </c:catAx>
      <c:valAx>
        <c:axId val="90297472"/>
        <c:scaling>
          <c:orientation val="minMax"/>
          <c:max val="1"/>
        </c:scaling>
        <c:delete val="0"/>
        <c:axPos val="l"/>
        <c:majorGridlines/>
        <c:numFmt formatCode="0.0" sourceLinked="0"/>
        <c:majorTickMark val="cross"/>
        <c:minorTickMark val="none"/>
        <c:tickLblPos val="nextTo"/>
        <c:spPr>
          <a:ln>
            <a:solidFill>
              <a:schemeClr val="bg1">
                <a:lumMod val="85000"/>
              </a:schemeClr>
            </a:solidFill>
          </a:ln>
        </c:spPr>
        <c:txPr>
          <a:bodyPr/>
          <a:lstStyle/>
          <a:p>
            <a:pPr>
              <a:defRPr sz="800"/>
            </a:pPr>
            <a:endParaRPr lang="en-US"/>
          </a:p>
        </c:txPr>
        <c:crossAx val="90291584"/>
        <c:crosses val="autoZero"/>
        <c:crossBetween val="between"/>
        <c:majorUnit val="1"/>
      </c:valAx>
    </c:plotArea>
    <c:legend>
      <c:legendPos val="r"/>
      <c:layout>
        <c:manualLayout>
          <c:xMode val="edge"/>
          <c:yMode val="edge"/>
          <c:x val="5.7798739804178802E-2"/>
          <c:y val="0.86975348027023502"/>
          <c:w val="0.938151334082169"/>
          <c:h val="0.130246519729766"/>
        </c:manualLayout>
      </c:layout>
      <c:overlay val="0"/>
      <c:txPr>
        <a:bodyPr/>
        <a:lstStyle/>
        <a:p>
          <a:pPr>
            <a:defRPr sz="1100">
              <a:latin typeface="Arial" pitchFamily="34" charset="0"/>
              <a:cs typeface="Arial" pitchFamily="34" charset="0"/>
            </a:defRPr>
          </a:pPr>
          <a:endParaRPr lang="en-US"/>
        </a:p>
      </c:txPr>
    </c:legend>
    <c:plotVisOnly val="1"/>
    <c:dispBlanksAs val="gap"/>
    <c:showDLblsOverMax val="0"/>
  </c:chart>
  <c:printSettings>
    <c:headerFooter/>
    <c:pageMargins b="0.75000000000001499" l="0.70000000000000095" r="0.70000000000000095" t="0.75000000000001499"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a:pPr>
            <a:r>
              <a:rPr lang="en-US" sz="1600" b="0">
                <a:latin typeface="Arial" pitchFamily="34" charset="0"/>
                <a:cs typeface="Arial" pitchFamily="34" charset="0"/>
              </a:rPr>
              <a:t>Uso</a:t>
            </a:r>
            <a:r>
              <a:rPr lang="en-US" sz="1600" b="0" baseline="0">
                <a:latin typeface="Arial" pitchFamily="34" charset="0"/>
                <a:cs typeface="Arial" pitchFamily="34" charset="0"/>
              </a:rPr>
              <a:t> e ocupação atual do solo</a:t>
            </a:r>
            <a:endParaRPr lang="en-US" sz="1800" b="0" baseline="0">
              <a:latin typeface="Arial" pitchFamily="34" charset="0"/>
              <a:cs typeface="Arial" pitchFamily="34" charset="0"/>
            </a:endParaRPr>
          </a:p>
        </c:rich>
      </c:tx>
      <c:layout>
        <c:manualLayout>
          <c:xMode val="edge"/>
          <c:yMode val="edge"/>
          <c:x val="0.16841251141131"/>
          <c:y val="4.4171832646795701E-2"/>
        </c:manualLayout>
      </c:layout>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6.8992577495037094E-2"/>
          <c:y val="0.29040155578544002"/>
          <c:w val="0.48791333505032802"/>
          <c:h val="0.65840586226522302"/>
        </c:manualLayout>
      </c:layout>
      <c:pie3DChart>
        <c:varyColors val="1"/>
        <c:ser>
          <c:idx val="2"/>
          <c:order val="0"/>
          <c:tx>
            <c:strRef>
              <c:f>'1 QUESTIONÁRIO'!$E$111</c:f>
              <c:strCache>
                <c:ptCount val="1"/>
              </c:strCache>
            </c:strRef>
          </c:tx>
          <c:dPt>
            <c:idx val="0"/>
            <c:bubble3D val="0"/>
            <c:spPr>
              <a:solidFill>
                <a:srgbClr val="FFC000"/>
              </a:solidFill>
            </c:spPr>
            <c:extLst>
              <c:ext xmlns:c16="http://schemas.microsoft.com/office/drawing/2014/chart" uri="{C3380CC4-5D6E-409C-BE32-E72D297353CC}">
                <c16:uniqueId val="{00000001-9481-4FC9-B181-0F1B3C617DC2}"/>
              </c:ext>
            </c:extLst>
          </c:dPt>
          <c:dPt>
            <c:idx val="1"/>
            <c:bubble3D val="0"/>
            <c:spPr>
              <a:solidFill>
                <a:schemeClr val="accent3">
                  <a:lumMod val="40000"/>
                  <a:lumOff val="60000"/>
                </a:schemeClr>
              </a:solidFill>
            </c:spPr>
            <c:extLst>
              <c:ext xmlns:c16="http://schemas.microsoft.com/office/drawing/2014/chart" uri="{C3380CC4-5D6E-409C-BE32-E72D297353CC}">
                <c16:uniqueId val="{00000003-9481-4FC9-B181-0F1B3C617DC2}"/>
              </c:ext>
            </c:extLst>
          </c:dPt>
          <c:dPt>
            <c:idx val="2"/>
            <c:bubble3D val="0"/>
            <c:spPr>
              <a:solidFill>
                <a:srgbClr val="00B0F0"/>
              </a:solidFill>
            </c:spPr>
            <c:extLst>
              <c:ext xmlns:c16="http://schemas.microsoft.com/office/drawing/2014/chart" uri="{C3380CC4-5D6E-409C-BE32-E72D297353CC}">
                <c16:uniqueId val="{00000005-9481-4FC9-B181-0F1B3C617DC2}"/>
              </c:ext>
            </c:extLst>
          </c:dPt>
          <c:dPt>
            <c:idx val="3"/>
            <c:bubble3D val="0"/>
            <c:spPr>
              <a:solidFill>
                <a:srgbClr val="009900"/>
              </a:solidFill>
            </c:spPr>
            <c:extLst>
              <c:ext xmlns:c16="http://schemas.microsoft.com/office/drawing/2014/chart" uri="{C3380CC4-5D6E-409C-BE32-E72D297353CC}">
                <c16:uniqueId val="{00000007-9481-4FC9-B181-0F1B3C617DC2}"/>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extLst>
          </c:dLbls>
          <c:cat>
            <c:strRef>
              <c:f>'2 GEOPROCESSAMENTO'!$B$35:$C$38</c:f>
              <c:strCache>
                <c:ptCount val="4"/>
                <c:pt idx="0">
                  <c:v>Lavouras/Pastagem/Silvicultura/área não agrícola*</c:v>
                </c:pt>
                <c:pt idx="1">
                  <c:v>Área de pousio</c:v>
                </c:pt>
                <c:pt idx="2">
                  <c:v>Espelho d'água (reservatórios) e cursos d'água</c:v>
                </c:pt>
                <c:pt idx="3">
                  <c:v>Remanescente de Vegetação Nativa</c:v>
                </c:pt>
              </c:strCache>
            </c:strRef>
          </c:cat>
          <c:val>
            <c:numRef>
              <c:f>'2 GEOPROCESSAMENTO'!$F$35:$F$38</c:f>
              <c:numCache>
                <c:formatCode>0.0%</c:formatCode>
                <c:ptCount val="4"/>
                <c:pt idx="0">
                  <c:v>0</c:v>
                </c:pt>
                <c:pt idx="1">
                  <c:v>0</c:v>
                </c:pt>
                <c:pt idx="2">
                  <c:v>0</c:v>
                </c:pt>
                <c:pt idx="3">
                  <c:v>0</c:v>
                </c:pt>
              </c:numCache>
            </c:numRef>
          </c:val>
          <c:extLst>
            <c:ext xmlns:c16="http://schemas.microsoft.com/office/drawing/2014/chart" uri="{C3380CC4-5D6E-409C-BE32-E72D297353CC}">
              <c16:uniqueId val="{00000008-9481-4FC9-B181-0F1B3C617DC2}"/>
            </c:ext>
          </c:extLst>
        </c:ser>
        <c:dLbls>
          <c:showLegendKey val="0"/>
          <c:showVal val="0"/>
          <c:showCatName val="0"/>
          <c:showSerName val="0"/>
          <c:showPercent val="0"/>
          <c:showBubbleSize val="0"/>
          <c:showLeaderLines val="0"/>
        </c:dLbls>
      </c:pie3DChart>
    </c:plotArea>
    <c:legend>
      <c:legendPos val="r"/>
      <c:layout>
        <c:manualLayout>
          <c:xMode val="edge"/>
          <c:yMode val="edge"/>
          <c:x val="0.64765831438345101"/>
          <c:y val="0.19096995101709599"/>
          <c:w val="0.326247779633632"/>
          <c:h val="0.77039984636084302"/>
        </c:manualLayout>
      </c:layout>
      <c:overlay val="0"/>
      <c:txPr>
        <a:bodyPr/>
        <a:lstStyle/>
        <a:p>
          <a:pPr>
            <a:defRPr sz="900" baseline="0"/>
          </a:pPr>
          <a:endParaRPr lang="en-US"/>
        </a:p>
      </c:txPr>
    </c:legend>
    <c:plotVisOnly val="1"/>
    <c:dispBlanksAs val="zero"/>
    <c:showDLblsOverMax val="0"/>
  </c:chart>
  <c:spPr>
    <a:solidFill>
      <a:schemeClr val="bg1"/>
    </a:solidFill>
    <a:ln>
      <a:noFill/>
    </a:ln>
  </c:spPr>
  <c:printSettings>
    <c:headerFooter/>
    <c:pageMargins b="0.75000000000001499" l="0.70000000000000095" r="0.70000000000000095" t="0.75000000000001499"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wmf"/><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5" Type="http://schemas.openxmlformats.org/officeDocument/2006/relationships/chart" Target="../charts/chart6.xml"/><Relationship Id="rId4" Type="http://schemas.openxmlformats.org/officeDocument/2006/relationships/chart" Target="../charts/chart5.xml"/></Relationships>
</file>

<file path=xl/drawings/_rels/drawing5.xml.rels><?xml version="1.0" encoding="UTF-8" standalone="yes"?>
<Relationships xmlns="http://schemas.openxmlformats.org/package/2006/relationships"><Relationship Id="rId13" Type="http://schemas.openxmlformats.org/officeDocument/2006/relationships/image" Target="../media/image19.jpeg"/><Relationship Id="rId18" Type="http://schemas.openxmlformats.org/officeDocument/2006/relationships/image" Target="../media/image24.jpeg"/><Relationship Id="rId26" Type="http://schemas.openxmlformats.org/officeDocument/2006/relationships/image" Target="../media/image32.jpeg"/><Relationship Id="rId3" Type="http://schemas.openxmlformats.org/officeDocument/2006/relationships/image" Target="../media/image9.jpeg"/><Relationship Id="rId21" Type="http://schemas.openxmlformats.org/officeDocument/2006/relationships/image" Target="../media/image27.jpeg"/><Relationship Id="rId34" Type="http://schemas.openxmlformats.org/officeDocument/2006/relationships/image" Target="../media/image39.jpeg"/><Relationship Id="rId7" Type="http://schemas.openxmlformats.org/officeDocument/2006/relationships/image" Target="../media/image13.jpeg"/><Relationship Id="rId12" Type="http://schemas.openxmlformats.org/officeDocument/2006/relationships/image" Target="../media/image18.jpeg"/><Relationship Id="rId17" Type="http://schemas.openxmlformats.org/officeDocument/2006/relationships/image" Target="../media/image23.jpeg"/><Relationship Id="rId25" Type="http://schemas.openxmlformats.org/officeDocument/2006/relationships/image" Target="../media/image31.jpeg"/><Relationship Id="rId33" Type="http://schemas.openxmlformats.org/officeDocument/2006/relationships/image" Target="../media/image38.jpeg"/><Relationship Id="rId2" Type="http://schemas.openxmlformats.org/officeDocument/2006/relationships/image" Target="../media/image8.jpeg"/><Relationship Id="rId16" Type="http://schemas.openxmlformats.org/officeDocument/2006/relationships/image" Target="../media/image22.jpeg"/><Relationship Id="rId20" Type="http://schemas.openxmlformats.org/officeDocument/2006/relationships/image" Target="../media/image26.jpeg"/><Relationship Id="rId29" Type="http://schemas.openxmlformats.org/officeDocument/2006/relationships/image" Target="../media/image35.jpeg"/><Relationship Id="rId1" Type="http://schemas.openxmlformats.org/officeDocument/2006/relationships/image" Target="../media/image7.jpeg"/><Relationship Id="rId6" Type="http://schemas.openxmlformats.org/officeDocument/2006/relationships/image" Target="../media/image12.jpeg"/><Relationship Id="rId11" Type="http://schemas.openxmlformats.org/officeDocument/2006/relationships/image" Target="../media/image17.jpeg"/><Relationship Id="rId24" Type="http://schemas.openxmlformats.org/officeDocument/2006/relationships/image" Target="../media/image30.jpeg"/><Relationship Id="rId32" Type="http://schemas.openxmlformats.org/officeDocument/2006/relationships/image" Target="../media/image37.jpeg"/><Relationship Id="rId5" Type="http://schemas.openxmlformats.org/officeDocument/2006/relationships/image" Target="../media/image11.jpeg"/><Relationship Id="rId15" Type="http://schemas.openxmlformats.org/officeDocument/2006/relationships/image" Target="../media/image21.jpeg"/><Relationship Id="rId23" Type="http://schemas.openxmlformats.org/officeDocument/2006/relationships/image" Target="../media/image29.jpeg"/><Relationship Id="rId28" Type="http://schemas.openxmlformats.org/officeDocument/2006/relationships/image" Target="../media/image34.jpeg"/><Relationship Id="rId10" Type="http://schemas.openxmlformats.org/officeDocument/2006/relationships/image" Target="../media/image16.jpeg"/><Relationship Id="rId19" Type="http://schemas.openxmlformats.org/officeDocument/2006/relationships/image" Target="../media/image25.jpeg"/><Relationship Id="rId31" Type="http://schemas.openxmlformats.org/officeDocument/2006/relationships/hyperlink" Target="#INDICADORES!A32"/><Relationship Id="rId4" Type="http://schemas.openxmlformats.org/officeDocument/2006/relationships/image" Target="../media/image10.jpeg"/><Relationship Id="rId9" Type="http://schemas.openxmlformats.org/officeDocument/2006/relationships/image" Target="../media/image15.jpeg"/><Relationship Id="rId14" Type="http://schemas.openxmlformats.org/officeDocument/2006/relationships/image" Target="../media/image20.jpeg"/><Relationship Id="rId22" Type="http://schemas.openxmlformats.org/officeDocument/2006/relationships/image" Target="../media/image28.jpeg"/><Relationship Id="rId27" Type="http://schemas.openxmlformats.org/officeDocument/2006/relationships/image" Target="../media/image33.jpeg"/><Relationship Id="rId30" Type="http://schemas.openxmlformats.org/officeDocument/2006/relationships/image" Target="../media/image36.jpeg"/><Relationship Id="rId8"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xdr:from>
      <xdr:col>7</xdr:col>
      <xdr:colOff>872735</xdr:colOff>
      <xdr:row>0</xdr:row>
      <xdr:rowOff>133594</xdr:rowOff>
    </xdr:from>
    <xdr:to>
      <xdr:col>8</xdr:col>
      <xdr:colOff>143091</xdr:colOff>
      <xdr:row>0</xdr:row>
      <xdr:rowOff>413270</xdr:rowOff>
    </xdr:to>
    <xdr:pic>
      <xdr:nvPicPr>
        <xdr:cNvPr id="12" name="Picture 2" descr="Epamig">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cstate="print">
          <a:duotone>
            <a:schemeClr val="bg2">
              <a:shade val="45000"/>
              <a:satMod val="135000"/>
            </a:schemeClr>
            <a:prstClr val="white"/>
          </a:duotone>
        </a:blip>
        <a:srcRect/>
        <a:stretch>
          <a:fillRect/>
        </a:stretch>
      </xdr:blipFill>
      <xdr:spPr bwMode="auto">
        <a:xfrm>
          <a:off x="6731668" y="133594"/>
          <a:ext cx="404890" cy="279676"/>
        </a:xfrm>
        <a:prstGeom prst="rect">
          <a:avLst/>
        </a:prstGeom>
        <a:noFill/>
        <a:ln w="9525">
          <a:noFill/>
          <a:miter lim="800000"/>
          <a:headEnd/>
          <a:tailEnd/>
        </a:ln>
      </xdr:spPr>
    </xdr:pic>
    <xdr:clientData/>
  </xdr:twoCellAnchor>
  <xdr:twoCellAnchor>
    <xdr:from>
      <xdr:col>7</xdr:col>
      <xdr:colOff>8908</xdr:colOff>
      <xdr:row>0</xdr:row>
      <xdr:rowOff>39691</xdr:rowOff>
    </xdr:from>
    <xdr:to>
      <xdr:col>7</xdr:col>
      <xdr:colOff>796713</xdr:colOff>
      <xdr:row>1</xdr:row>
      <xdr:rowOff>68998</xdr:rowOff>
    </xdr:to>
    <xdr:pic>
      <xdr:nvPicPr>
        <xdr:cNvPr id="16" name="Picture 13" descr="logo semad.jpg">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2" cstate="print">
          <a:duotone>
            <a:schemeClr val="bg2">
              <a:shade val="45000"/>
              <a:satMod val="135000"/>
            </a:schemeClr>
            <a:prstClr val="white"/>
          </a:duotone>
        </a:blip>
        <a:stretch>
          <a:fillRect/>
        </a:stretch>
      </xdr:blipFill>
      <xdr:spPr>
        <a:xfrm>
          <a:off x="5867841" y="39691"/>
          <a:ext cx="787805" cy="562707"/>
        </a:xfrm>
        <a:prstGeom prst="rect">
          <a:avLst/>
        </a:prstGeom>
      </xdr:spPr>
    </xdr:pic>
    <xdr:clientData/>
  </xdr:twoCellAnchor>
  <xdr:twoCellAnchor>
    <xdr:from>
      <xdr:col>6</xdr:col>
      <xdr:colOff>198441</xdr:colOff>
      <xdr:row>0</xdr:row>
      <xdr:rowOff>113133</xdr:rowOff>
    </xdr:from>
    <xdr:to>
      <xdr:col>6</xdr:col>
      <xdr:colOff>863980</xdr:colOff>
      <xdr:row>0</xdr:row>
      <xdr:rowOff>481484</xdr:rowOff>
    </xdr:to>
    <xdr:pic>
      <xdr:nvPicPr>
        <xdr:cNvPr id="17" name="Picture 14" descr="Agricultura.tif">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3" cstate="print">
          <a:duotone>
            <a:schemeClr val="bg2">
              <a:shade val="45000"/>
              <a:satMod val="135000"/>
            </a:schemeClr>
            <a:prstClr val="white"/>
          </a:duotone>
        </a:blip>
        <a:stretch>
          <a:fillRect/>
        </a:stretch>
      </xdr:blipFill>
      <xdr:spPr>
        <a:xfrm>
          <a:off x="5100641" y="113133"/>
          <a:ext cx="665539" cy="368351"/>
        </a:xfrm>
        <a:prstGeom prst="rect">
          <a:avLst/>
        </a:prstGeom>
      </xdr:spPr>
    </xdr:pic>
    <xdr:clientData/>
  </xdr:twoCellAnchor>
  <xdr:twoCellAnchor>
    <xdr:from>
      <xdr:col>8</xdr:col>
      <xdr:colOff>301914</xdr:colOff>
      <xdr:row>0</xdr:row>
      <xdr:rowOff>140416</xdr:rowOff>
    </xdr:from>
    <xdr:to>
      <xdr:col>8</xdr:col>
      <xdr:colOff>941692</xdr:colOff>
      <xdr:row>0</xdr:row>
      <xdr:rowOff>413269</xdr:rowOff>
    </xdr:to>
    <xdr:pic>
      <xdr:nvPicPr>
        <xdr:cNvPr id="18" name="Picture 10" descr="07062006060636emater-mglogo.jpg">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duotone>
            <a:schemeClr val="bg2">
              <a:shade val="45000"/>
              <a:satMod val="135000"/>
            </a:schemeClr>
            <a:prstClr val="white"/>
          </a:duotone>
        </a:blip>
        <a:stretch>
          <a:fillRect/>
        </a:stretch>
      </xdr:blipFill>
      <xdr:spPr>
        <a:xfrm>
          <a:off x="7295381" y="140416"/>
          <a:ext cx="639778" cy="272853"/>
        </a:xfrm>
        <a:prstGeom prst="rect">
          <a:avLst/>
        </a:prstGeom>
      </xdr:spPr>
    </xdr:pic>
    <xdr:clientData/>
  </xdr:twoCellAnchor>
  <xdr:twoCellAnchor>
    <xdr:from>
      <xdr:col>9</xdr:col>
      <xdr:colOff>46038</xdr:colOff>
      <xdr:row>0</xdr:row>
      <xdr:rowOff>142765</xdr:rowOff>
    </xdr:from>
    <xdr:to>
      <xdr:col>9</xdr:col>
      <xdr:colOff>786803</xdr:colOff>
      <xdr:row>0</xdr:row>
      <xdr:rowOff>452898</xdr:rowOff>
    </xdr:to>
    <xdr:pic>
      <xdr:nvPicPr>
        <xdr:cNvPr id="19" name="Picture 2">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5">
          <a:duotone>
            <a:schemeClr val="bg2">
              <a:shade val="45000"/>
              <a:satMod val="135000"/>
            </a:schemeClr>
            <a:prstClr val="white"/>
          </a:duotone>
        </a:blip>
        <a:srcRect/>
        <a:stretch>
          <a:fillRect/>
        </a:stretch>
      </xdr:blipFill>
      <xdr:spPr bwMode="auto">
        <a:xfrm>
          <a:off x="8030105" y="142765"/>
          <a:ext cx="740765" cy="310133"/>
        </a:xfrm>
        <a:prstGeom prst="rect">
          <a:avLst/>
        </a:prstGeom>
        <a:noFill/>
      </xdr:spPr>
    </xdr:pic>
    <xdr:clientData/>
  </xdr:twoCellAnchor>
  <xdr:twoCellAnchor>
    <xdr:from>
      <xdr:col>9</xdr:col>
      <xdr:colOff>899480</xdr:colOff>
      <xdr:row>0</xdr:row>
      <xdr:rowOff>194988</xdr:rowOff>
    </xdr:from>
    <xdr:to>
      <xdr:col>10</xdr:col>
      <xdr:colOff>433869</xdr:colOff>
      <xdr:row>0</xdr:row>
      <xdr:rowOff>365520</xdr:rowOff>
    </xdr:to>
    <xdr:pic>
      <xdr:nvPicPr>
        <xdr:cNvPr id="20" name="Picture 7">
          <a:extLst>
            <a:ext uri="{FF2B5EF4-FFF2-40B4-BE49-F238E27FC236}">
              <a16:creationId xmlns:a16="http://schemas.microsoft.com/office/drawing/2014/main" id="{00000000-0008-0000-0000-000014000000}"/>
            </a:ext>
          </a:extLst>
        </xdr:cNvPr>
        <xdr:cNvPicPr/>
      </xdr:nvPicPr>
      <xdr:blipFill>
        <a:blip xmlns:r="http://schemas.openxmlformats.org/officeDocument/2006/relationships" r:embed="rId6" cstate="print">
          <a:clrChange>
            <a:clrFrom>
              <a:srgbClr val="F9F8F6"/>
            </a:clrFrom>
            <a:clrTo>
              <a:srgbClr val="F9F8F6">
                <a:alpha val="0"/>
              </a:srgbClr>
            </a:clrTo>
          </a:clrChange>
          <a:duotone>
            <a:schemeClr val="bg2">
              <a:shade val="45000"/>
              <a:satMod val="135000"/>
            </a:schemeClr>
            <a:prstClr val="white"/>
          </a:duotone>
        </a:blip>
        <a:srcRect/>
        <a:stretch>
          <a:fillRect/>
        </a:stretch>
      </xdr:blipFill>
      <xdr:spPr bwMode="auto">
        <a:xfrm>
          <a:off x="8883547" y="194988"/>
          <a:ext cx="465722" cy="170532"/>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381000</xdr:colOff>
      <xdr:row>45</xdr:row>
      <xdr:rowOff>79374</xdr:rowOff>
    </xdr:from>
    <xdr:to>
      <xdr:col>8</xdr:col>
      <xdr:colOff>412750</xdr:colOff>
      <xdr:row>56</xdr:row>
      <xdr:rowOff>198436</xdr:rowOff>
    </xdr:to>
    <xdr:graphicFrame macro="">
      <xdr:nvGraphicFramePr>
        <xdr:cNvPr id="10" name="Chart 10">
          <a:extLst>
            <a:ext uri="{FF2B5EF4-FFF2-40B4-BE49-F238E27FC236}">
              <a16:creationId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525393</xdr:colOff>
      <xdr:row>158</xdr:row>
      <xdr:rowOff>95249</xdr:rowOff>
    </xdr:from>
    <xdr:to>
      <xdr:col>4</xdr:col>
      <xdr:colOff>579407</xdr:colOff>
      <xdr:row>158</xdr:row>
      <xdr:rowOff>160290</xdr:rowOff>
    </xdr:to>
    <xdr:sp macro="" textlink="">
      <xdr:nvSpPr>
        <xdr:cNvPr id="5" name="Down Arrow 4">
          <a:extLst>
            <a:ext uri="{FF2B5EF4-FFF2-40B4-BE49-F238E27FC236}">
              <a16:creationId xmlns:a16="http://schemas.microsoft.com/office/drawing/2014/main" id="{00000000-0008-0000-0200-000005000000}"/>
            </a:ext>
          </a:extLst>
        </xdr:cNvPr>
        <xdr:cNvSpPr/>
      </xdr:nvSpPr>
      <xdr:spPr>
        <a:xfrm>
          <a:off x="5216456" y="35750499"/>
          <a:ext cx="54014" cy="65041"/>
        </a:xfrm>
        <a:prstGeom prst="downArrow">
          <a:avLst/>
        </a:prstGeom>
        <a:solidFill>
          <a:srgbClr val="713605"/>
        </a:solidFill>
        <a:ln>
          <a:solidFill>
            <a:srgbClr val="71360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pt-BR" sz="1100"/>
            <a:t>ão</a:t>
          </a:r>
        </a:p>
      </xdr:txBody>
    </xdr:sp>
    <xdr:clientData/>
  </xdr:twoCellAnchor>
  <xdr:twoCellAnchor>
    <xdr:from>
      <xdr:col>5</xdr:col>
      <xdr:colOff>484218</xdr:colOff>
      <xdr:row>160</xdr:row>
      <xdr:rowOff>23868</xdr:rowOff>
    </xdr:from>
    <xdr:to>
      <xdr:col>5</xdr:col>
      <xdr:colOff>538232</xdr:colOff>
      <xdr:row>160</xdr:row>
      <xdr:rowOff>88909</xdr:rowOff>
    </xdr:to>
    <xdr:sp macro="" textlink="">
      <xdr:nvSpPr>
        <xdr:cNvPr id="8" name="Down Arrow 7">
          <a:extLst>
            <a:ext uri="{FF2B5EF4-FFF2-40B4-BE49-F238E27FC236}">
              <a16:creationId xmlns:a16="http://schemas.microsoft.com/office/drawing/2014/main" id="{00000000-0008-0000-0200-000008000000}"/>
            </a:ext>
          </a:extLst>
        </xdr:cNvPr>
        <xdr:cNvSpPr/>
      </xdr:nvSpPr>
      <xdr:spPr>
        <a:xfrm>
          <a:off x="6238906" y="43616618"/>
          <a:ext cx="54014" cy="65041"/>
        </a:xfrm>
        <a:prstGeom prst="downArrow">
          <a:avLst/>
        </a:prstGeom>
        <a:solidFill>
          <a:srgbClr val="713605"/>
        </a:solidFill>
        <a:ln>
          <a:solidFill>
            <a:srgbClr val="71360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pt-B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142875</xdr:colOff>
      <xdr:row>32</xdr:row>
      <xdr:rowOff>87313</xdr:rowOff>
    </xdr:from>
    <xdr:to>
      <xdr:col>16</xdr:col>
      <xdr:colOff>492125</xdr:colOff>
      <xdr:row>46</xdr:row>
      <xdr:rowOff>1</xdr:rowOff>
    </xdr:to>
    <xdr:graphicFrame macro="">
      <xdr:nvGraphicFramePr>
        <xdr:cNvPr id="6456" name="Chart 3">
          <a:extLst>
            <a:ext uri="{FF2B5EF4-FFF2-40B4-BE49-F238E27FC236}">
              <a16:creationId xmlns:a16="http://schemas.microsoft.com/office/drawing/2014/main" id="{00000000-0008-0000-0300-000038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142875</xdr:colOff>
      <xdr:row>46</xdr:row>
      <xdr:rowOff>7938</xdr:rowOff>
    </xdr:from>
    <xdr:to>
      <xdr:col>16</xdr:col>
      <xdr:colOff>492123</xdr:colOff>
      <xdr:row>60</xdr:row>
      <xdr:rowOff>182563</xdr:rowOff>
    </xdr:to>
    <xdr:graphicFrame macro="">
      <xdr:nvGraphicFramePr>
        <xdr:cNvPr id="6457" name="Chart 3">
          <a:extLst>
            <a:ext uri="{FF2B5EF4-FFF2-40B4-BE49-F238E27FC236}">
              <a16:creationId xmlns:a16="http://schemas.microsoft.com/office/drawing/2014/main" id="{00000000-0008-0000-0300-000039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63500</xdr:colOff>
      <xdr:row>80</xdr:row>
      <xdr:rowOff>47624</xdr:rowOff>
    </xdr:from>
    <xdr:to>
      <xdr:col>16</xdr:col>
      <xdr:colOff>436563</xdr:colOff>
      <xdr:row>93</xdr:row>
      <xdr:rowOff>190499</xdr:rowOff>
    </xdr:to>
    <xdr:graphicFrame macro="">
      <xdr:nvGraphicFramePr>
        <xdr:cNvPr id="6458" name="Chart 6">
          <a:extLst>
            <a:ext uri="{FF2B5EF4-FFF2-40B4-BE49-F238E27FC236}">
              <a16:creationId xmlns:a16="http://schemas.microsoft.com/office/drawing/2014/main" id="{00000000-0008-0000-0300-00003A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134937</xdr:colOff>
      <xdr:row>16</xdr:row>
      <xdr:rowOff>182563</xdr:rowOff>
    </xdr:from>
    <xdr:to>
      <xdr:col>16</xdr:col>
      <xdr:colOff>492125</xdr:colOff>
      <xdr:row>31</xdr:row>
      <xdr:rowOff>103188</xdr:rowOff>
    </xdr:to>
    <xdr:graphicFrame macro="">
      <xdr:nvGraphicFramePr>
        <xdr:cNvPr id="6459" name="Chart 3">
          <a:extLst>
            <a:ext uri="{FF2B5EF4-FFF2-40B4-BE49-F238E27FC236}">
              <a16:creationId xmlns:a16="http://schemas.microsoft.com/office/drawing/2014/main" id="{00000000-0008-0000-0300-00003B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55563</xdr:colOff>
      <xdr:row>64</xdr:row>
      <xdr:rowOff>158750</xdr:rowOff>
    </xdr:from>
    <xdr:to>
      <xdr:col>16</xdr:col>
      <xdr:colOff>501649</xdr:colOff>
      <xdr:row>79</xdr:row>
      <xdr:rowOff>85724</xdr:rowOff>
    </xdr:to>
    <xdr:graphicFrame macro="">
      <xdr:nvGraphicFramePr>
        <xdr:cNvPr id="6" name="Chart 10">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736</xdr:row>
      <xdr:rowOff>31752</xdr:rowOff>
    </xdr:from>
    <xdr:to>
      <xdr:col>3</xdr:col>
      <xdr:colOff>87314</xdr:colOff>
      <xdr:row>741</xdr:row>
      <xdr:rowOff>158643</xdr:rowOff>
    </xdr:to>
    <xdr:pic>
      <xdr:nvPicPr>
        <xdr:cNvPr id="3" name="Imagem 43" descr="MOS_are_cres.JPG">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lum bright="-20000"/>
        </a:blip>
        <a:stretch>
          <a:fillRect/>
        </a:stretch>
      </xdr:blipFill>
      <xdr:spPr>
        <a:xfrm>
          <a:off x="381000" y="31900815"/>
          <a:ext cx="1809752" cy="1079391"/>
        </a:xfrm>
        <a:prstGeom prst="rect">
          <a:avLst/>
        </a:prstGeom>
        <a:solidFill>
          <a:schemeClr val="bg1"/>
        </a:solidFill>
      </xdr:spPr>
    </xdr:pic>
    <xdr:clientData/>
  </xdr:twoCellAnchor>
  <xdr:twoCellAnchor editAs="oneCell">
    <xdr:from>
      <xdr:col>3</xdr:col>
      <xdr:colOff>23775</xdr:colOff>
      <xdr:row>736</xdr:row>
      <xdr:rowOff>31752</xdr:rowOff>
    </xdr:from>
    <xdr:to>
      <xdr:col>6</xdr:col>
      <xdr:colOff>61478</xdr:colOff>
      <xdr:row>741</xdr:row>
      <xdr:rowOff>168980</xdr:rowOff>
    </xdr:to>
    <xdr:pic>
      <xdr:nvPicPr>
        <xdr:cNvPr id="4" name="Imagem 47" descr="MOS_med_cres.JPG">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lum bright="-20000"/>
        </a:blip>
        <a:stretch>
          <a:fillRect/>
        </a:stretch>
      </xdr:blipFill>
      <xdr:spPr>
        <a:xfrm>
          <a:off x="2174838" y="31900815"/>
          <a:ext cx="1736328" cy="1089728"/>
        </a:xfrm>
        <a:prstGeom prst="rect">
          <a:avLst/>
        </a:prstGeom>
      </xdr:spPr>
    </xdr:pic>
    <xdr:clientData/>
  </xdr:twoCellAnchor>
  <xdr:twoCellAnchor editAs="oneCell">
    <xdr:from>
      <xdr:col>6</xdr:col>
      <xdr:colOff>31752</xdr:colOff>
      <xdr:row>736</xdr:row>
      <xdr:rowOff>0</xdr:rowOff>
    </xdr:from>
    <xdr:to>
      <xdr:col>9</xdr:col>
      <xdr:colOff>144008</xdr:colOff>
      <xdr:row>741</xdr:row>
      <xdr:rowOff>175687</xdr:rowOff>
    </xdr:to>
    <xdr:pic>
      <xdr:nvPicPr>
        <xdr:cNvPr id="5" name="Imagem 50" descr="MOS_arg_cres.JPG">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lum bright="-20000"/>
        </a:blip>
        <a:stretch>
          <a:fillRect/>
        </a:stretch>
      </xdr:blipFill>
      <xdr:spPr>
        <a:xfrm>
          <a:off x="3881440" y="31869063"/>
          <a:ext cx="1731506" cy="1140887"/>
        </a:xfrm>
        <a:prstGeom prst="rect">
          <a:avLst/>
        </a:prstGeom>
      </xdr:spPr>
    </xdr:pic>
    <xdr:clientData/>
  </xdr:twoCellAnchor>
  <xdr:twoCellAnchor editAs="oneCell">
    <xdr:from>
      <xdr:col>9</xdr:col>
      <xdr:colOff>31752</xdr:colOff>
      <xdr:row>736</xdr:row>
      <xdr:rowOff>47628</xdr:rowOff>
    </xdr:from>
    <xdr:to>
      <xdr:col>11</xdr:col>
      <xdr:colOff>596647</xdr:colOff>
      <xdr:row>741</xdr:row>
      <xdr:rowOff>154529</xdr:rowOff>
    </xdr:to>
    <xdr:pic>
      <xdr:nvPicPr>
        <xdr:cNvPr id="6" name="Imagem 52" descr="MOS_marg_cres.JPG">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lum bright="-20000"/>
        </a:blip>
        <a:stretch>
          <a:fillRect/>
        </a:stretch>
      </xdr:blipFill>
      <xdr:spPr>
        <a:xfrm>
          <a:off x="5500690" y="31916691"/>
          <a:ext cx="1787270" cy="1059401"/>
        </a:xfrm>
        <a:prstGeom prst="rect">
          <a:avLst/>
        </a:prstGeom>
      </xdr:spPr>
    </xdr:pic>
    <xdr:clientData/>
  </xdr:twoCellAnchor>
  <xdr:twoCellAnchor editAs="oneCell">
    <xdr:from>
      <xdr:col>1</xdr:col>
      <xdr:colOff>15876</xdr:colOff>
      <xdr:row>741</xdr:row>
      <xdr:rowOff>142872</xdr:rowOff>
    </xdr:from>
    <xdr:to>
      <xdr:col>3</xdr:col>
      <xdr:colOff>32958</xdr:colOff>
      <xdr:row>747</xdr:row>
      <xdr:rowOff>163741</xdr:rowOff>
    </xdr:to>
    <xdr:pic>
      <xdr:nvPicPr>
        <xdr:cNvPr id="7" name="Imagem 44" descr="MOS_are_dec.JPG">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5" cstate="print">
          <a:clrChange>
            <a:clrFrom>
              <a:srgbClr val="FFFFFF"/>
            </a:clrFrom>
            <a:clrTo>
              <a:srgbClr val="FFFFFF">
                <a:alpha val="0"/>
              </a:srgbClr>
            </a:clrTo>
          </a:clrChange>
          <a:lum bright="-20000"/>
        </a:blip>
        <a:stretch>
          <a:fillRect/>
        </a:stretch>
      </xdr:blipFill>
      <xdr:spPr>
        <a:xfrm>
          <a:off x="396876" y="32551685"/>
          <a:ext cx="1739520" cy="1163869"/>
        </a:xfrm>
        <a:prstGeom prst="rect">
          <a:avLst/>
        </a:prstGeom>
      </xdr:spPr>
    </xdr:pic>
    <xdr:clientData/>
  </xdr:twoCellAnchor>
  <xdr:twoCellAnchor editAs="oneCell">
    <xdr:from>
      <xdr:col>3</xdr:col>
      <xdr:colOff>23814</xdr:colOff>
      <xdr:row>741</xdr:row>
      <xdr:rowOff>126996</xdr:rowOff>
    </xdr:from>
    <xdr:to>
      <xdr:col>6</xdr:col>
      <xdr:colOff>9555</xdr:colOff>
      <xdr:row>747</xdr:row>
      <xdr:rowOff>173858</xdr:rowOff>
    </xdr:to>
    <xdr:pic>
      <xdr:nvPicPr>
        <xdr:cNvPr id="8" name="Imagem 49" descr="MOS_med_dec.JPG">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6" cstate="print">
          <a:clrChange>
            <a:clrFrom>
              <a:srgbClr val="FFFFFF"/>
            </a:clrFrom>
            <a:clrTo>
              <a:srgbClr val="FFFFFF">
                <a:alpha val="0"/>
              </a:srgbClr>
            </a:clrTo>
          </a:clrChange>
          <a:lum bright="-20000"/>
        </a:blip>
        <a:stretch>
          <a:fillRect/>
        </a:stretch>
      </xdr:blipFill>
      <xdr:spPr>
        <a:xfrm>
          <a:off x="2127252" y="32535809"/>
          <a:ext cx="1684366" cy="1189862"/>
        </a:xfrm>
        <a:prstGeom prst="rect">
          <a:avLst/>
        </a:prstGeom>
      </xdr:spPr>
    </xdr:pic>
    <xdr:clientData/>
  </xdr:twoCellAnchor>
  <xdr:twoCellAnchor editAs="oneCell">
    <xdr:from>
      <xdr:col>6</xdr:col>
      <xdr:colOff>47628</xdr:colOff>
      <xdr:row>741</xdr:row>
      <xdr:rowOff>134934</xdr:rowOff>
    </xdr:from>
    <xdr:to>
      <xdr:col>9</xdr:col>
      <xdr:colOff>99221</xdr:colOff>
      <xdr:row>747</xdr:row>
      <xdr:rowOff>140635</xdr:rowOff>
    </xdr:to>
    <xdr:pic>
      <xdr:nvPicPr>
        <xdr:cNvPr id="9" name="Imagem 51" descr="MOS_arg_dec.JPG">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7" cstate="print">
          <a:clrChange>
            <a:clrFrom>
              <a:srgbClr val="FFFFFF"/>
            </a:clrFrom>
            <a:clrTo>
              <a:srgbClr val="FFFFFF">
                <a:alpha val="0"/>
              </a:srgbClr>
            </a:clrTo>
          </a:clrChange>
          <a:lum bright="-20000"/>
        </a:blip>
        <a:stretch>
          <a:fillRect/>
        </a:stretch>
      </xdr:blipFill>
      <xdr:spPr>
        <a:xfrm>
          <a:off x="3849691" y="32543747"/>
          <a:ext cx="1670843" cy="1148701"/>
        </a:xfrm>
        <a:prstGeom prst="rect">
          <a:avLst/>
        </a:prstGeom>
      </xdr:spPr>
    </xdr:pic>
    <xdr:clientData/>
  </xdr:twoCellAnchor>
  <xdr:twoCellAnchor editAs="oneCell">
    <xdr:from>
      <xdr:col>9</xdr:col>
      <xdr:colOff>7938</xdr:colOff>
      <xdr:row>741</xdr:row>
      <xdr:rowOff>158748</xdr:rowOff>
    </xdr:from>
    <xdr:to>
      <xdr:col>11</xdr:col>
      <xdr:colOff>546833</xdr:colOff>
      <xdr:row>747</xdr:row>
      <xdr:rowOff>104212</xdr:rowOff>
    </xdr:to>
    <xdr:pic>
      <xdr:nvPicPr>
        <xdr:cNvPr id="10" name="Imagem 53" descr="MOS_marg_dec.JPG">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8" cstate="print">
          <a:clrChange>
            <a:clrFrom>
              <a:srgbClr val="FFFFFF"/>
            </a:clrFrom>
            <a:clrTo>
              <a:srgbClr val="FFFFFF">
                <a:alpha val="0"/>
              </a:srgbClr>
            </a:clrTo>
          </a:clrChange>
          <a:lum bright="-20000"/>
        </a:blip>
        <a:stretch>
          <a:fillRect/>
        </a:stretch>
      </xdr:blipFill>
      <xdr:spPr>
        <a:xfrm>
          <a:off x="5429251" y="32567561"/>
          <a:ext cx="1761270" cy="1088464"/>
        </a:xfrm>
        <a:prstGeom prst="rect">
          <a:avLst/>
        </a:prstGeom>
      </xdr:spPr>
    </xdr:pic>
    <xdr:clientData/>
  </xdr:twoCellAnchor>
  <xdr:twoCellAnchor editAs="oneCell">
    <xdr:from>
      <xdr:col>1</xdr:col>
      <xdr:colOff>0</xdr:colOff>
      <xdr:row>770</xdr:row>
      <xdr:rowOff>0</xdr:rowOff>
    </xdr:from>
    <xdr:to>
      <xdr:col>3</xdr:col>
      <xdr:colOff>130965</xdr:colOff>
      <xdr:row>776</xdr:row>
      <xdr:rowOff>94090</xdr:rowOff>
    </xdr:to>
    <xdr:pic>
      <xdr:nvPicPr>
        <xdr:cNvPr id="11" name="Imagem 73" descr="P_are_cre.JPG">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9" cstate="print">
          <a:clrChange>
            <a:clrFrom>
              <a:srgbClr val="FFFFFF"/>
            </a:clrFrom>
            <a:clrTo>
              <a:srgbClr val="FFFFFF">
                <a:alpha val="0"/>
              </a:srgbClr>
            </a:clrTo>
          </a:clrChange>
          <a:lum bright="-20000"/>
        </a:blip>
        <a:stretch>
          <a:fillRect/>
        </a:stretch>
      </xdr:blipFill>
      <xdr:spPr>
        <a:xfrm>
          <a:off x="381000" y="38933438"/>
          <a:ext cx="1853403" cy="1237090"/>
        </a:xfrm>
        <a:prstGeom prst="rect">
          <a:avLst/>
        </a:prstGeom>
      </xdr:spPr>
    </xdr:pic>
    <xdr:clientData/>
  </xdr:twoCellAnchor>
  <xdr:twoCellAnchor editAs="oneCell">
    <xdr:from>
      <xdr:col>3</xdr:col>
      <xdr:colOff>0</xdr:colOff>
      <xdr:row>770</xdr:row>
      <xdr:rowOff>0</xdr:rowOff>
    </xdr:from>
    <xdr:to>
      <xdr:col>6</xdr:col>
      <xdr:colOff>134939</xdr:colOff>
      <xdr:row>776</xdr:row>
      <xdr:rowOff>80067</xdr:rowOff>
    </xdr:to>
    <xdr:pic>
      <xdr:nvPicPr>
        <xdr:cNvPr id="12" name="Imagem 75" descr="P_med_cre.JPG">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0" cstate="print">
          <a:clrChange>
            <a:clrFrom>
              <a:srgbClr val="FFFFFF"/>
            </a:clrFrom>
            <a:clrTo>
              <a:srgbClr val="FFFFFF">
                <a:alpha val="0"/>
              </a:srgbClr>
            </a:clrTo>
          </a:clrChange>
          <a:lum bright="-20000"/>
        </a:blip>
        <a:srcRect t="5306"/>
        <a:stretch>
          <a:fillRect/>
        </a:stretch>
      </xdr:blipFill>
      <xdr:spPr>
        <a:xfrm>
          <a:off x="2151063" y="38933438"/>
          <a:ext cx="1833564" cy="1223067"/>
        </a:xfrm>
        <a:prstGeom prst="rect">
          <a:avLst/>
        </a:prstGeom>
      </xdr:spPr>
    </xdr:pic>
    <xdr:clientData/>
  </xdr:twoCellAnchor>
  <xdr:twoCellAnchor editAs="oneCell">
    <xdr:from>
      <xdr:col>6</xdr:col>
      <xdr:colOff>15876</xdr:colOff>
      <xdr:row>770</xdr:row>
      <xdr:rowOff>0</xdr:rowOff>
    </xdr:from>
    <xdr:to>
      <xdr:col>9</xdr:col>
      <xdr:colOff>308054</xdr:colOff>
      <xdr:row>776</xdr:row>
      <xdr:rowOff>104012</xdr:rowOff>
    </xdr:to>
    <xdr:pic>
      <xdr:nvPicPr>
        <xdr:cNvPr id="13" name="Imagem 77" descr="P_arg_cre.JPG">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11" cstate="print">
          <a:clrChange>
            <a:clrFrom>
              <a:srgbClr val="FFFFFF"/>
            </a:clrFrom>
            <a:clrTo>
              <a:srgbClr val="FFFFFF">
                <a:alpha val="0"/>
              </a:srgbClr>
            </a:clrTo>
          </a:clrChange>
          <a:lum bright="-20000"/>
        </a:blip>
        <a:stretch>
          <a:fillRect/>
        </a:stretch>
      </xdr:blipFill>
      <xdr:spPr>
        <a:xfrm>
          <a:off x="3865564" y="38933438"/>
          <a:ext cx="1911428" cy="1247012"/>
        </a:xfrm>
        <a:prstGeom prst="rect">
          <a:avLst/>
        </a:prstGeom>
      </xdr:spPr>
    </xdr:pic>
    <xdr:clientData/>
  </xdr:twoCellAnchor>
  <xdr:twoCellAnchor editAs="oneCell">
    <xdr:from>
      <xdr:col>9</xdr:col>
      <xdr:colOff>253977</xdr:colOff>
      <xdr:row>769</xdr:row>
      <xdr:rowOff>158748</xdr:rowOff>
    </xdr:from>
    <xdr:to>
      <xdr:col>12</xdr:col>
      <xdr:colOff>410747</xdr:colOff>
      <xdr:row>776</xdr:row>
      <xdr:rowOff>84785</xdr:rowOff>
    </xdr:to>
    <xdr:pic>
      <xdr:nvPicPr>
        <xdr:cNvPr id="14" name="Imagem 79" descr="P_marg_cre.JPG">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12" cstate="print">
          <a:clrChange>
            <a:clrFrom>
              <a:srgbClr val="FFFFFF"/>
            </a:clrFrom>
            <a:clrTo>
              <a:srgbClr val="FFFFFF">
                <a:alpha val="0"/>
              </a:srgbClr>
            </a:clrTo>
          </a:clrChange>
          <a:lum bright="-20000"/>
        </a:blip>
        <a:stretch>
          <a:fillRect/>
        </a:stretch>
      </xdr:blipFill>
      <xdr:spPr>
        <a:xfrm>
          <a:off x="5722915" y="38901686"/>
          <a:ext cx="1990332" cy="1259537"/>
        </a:xfrm>
        <a:prstGeom prst="rect">
          <a:avLst/>
        </a:prstGeom>
      </xdr:spPr>
    </xdr:pic>
    <xdr:clientData/>
  </xdr:twoCellAnchor>
  <xdr:twoCellAnchor editAs="oneCell">
    <xdr:from>
      <xdr:col>1</xdr:col>
      <xdr:colOff>0</xdr:colOff>
      <xdr:row>777</xdr:row>
      <xdr:rowOff>0</xdr:rowOff>
    </xdr:from>
    <xdr:to>
      <xdr:col>3</xdr:col>
      <xdr:colOff>194145</xdr:colOff>
      <xdr:row>784</xdr:row>
      <xdr:rowOff>23270</xdr:rowOff>
    </xdr:to>
    <xdr:pic>
      <xdr:nvPicPr>
        <xdr:cNvPr id="15" name="Imagem 74" descr="P_are_dec.JPG">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13" cstate="print">
          <a:clrChange>
            <a:clrFrom>
              <a:srgbClr val="FFFFFF"/>
            </a:clrFrom>
            <a:clrTo>
              <a:srgbClr val="FFFFFF">
                <a:alpha val="0"/>
              </a:srgbClr>
            </a:clrTo>
          </a:clrChange>
          <a:lum bright="-20000"/>
        </a:blip>
        <a:stretch>
          <a:fillRect/>
        </a:stretch>
      </xdr:blipFill>
      <xdr:spPr>
        <a:xfrm>
          <a:off x="381000" y="40266938"/>
          <a:ext cx="1916583" cy="1356770"/>
        </a:xfrm>
        <a:prstGeom prst="rect">
          <a:avLst/>
        </a:prstGeom>
      </xdr:spPr>
    </xdr:pic>
    <xdr:clientData/>
  </xdr:twoCellAnchor>
  <xdr:twoCellAnchor editAs="oneCell">
    <xdr:from>
      <xdr:col>3</xdr:col>
      <xdr:colOff>7938</xdr:colOff>
      <xdr:row>776</xdr:row>
      <xdr:rowOff>142872</xdr:rowOff>
    </xdr:from>
    <xdr:to>
      <xdr:col>6</xdr:col>
      <xdr:colOff>182564</xdr:colOff>
      <xdr:row>784</xdr:row>
      <xdr:rowOff>65610</xdr:rowOff>
    </xdr:to>
    <xdr:pic>
      <xdr:nvPicPr>
        <xdr:cNvPr id="16" name="Imagem 76" descr="P_med_dec.JPG">
          <a:extLst>
            <a:ext uri="{FF2B5EF4-FFF2-40B4-BE49-F238E27FC236}">
              <a16:creationId xmlns:a16="http://schemas.microsoft.com/office/drawing/2014/main" id="{00000000-0008-0000-0B00-000010000000}"/>
            </a:ext>
          </a:extLst>
        </xdr:cNvPr>
        <xdr:cNvPicPr>
          <a:picLocks noChangeAspect="1"/>
        </xdr:cNvPicPr>
      </xdr:nvPicPr>
      <xdr:blipFill>
        <a:blip xmlns:r="http://schemas.openxmlformats.org/officeDocument/2006/relationships" r:embed="rId14" cstate="print">
          <a:clrChange>
            <a:clrFrom>
              <a:srgbClr val="FFFFFF"/>
            </a:clrFrom>
            <a:clrTo>
              <a:srgbClr val="FFFFFF">
                <a:alpha val="0"/>
              </a:srgbClr>
            </a:clrTo>
          </a:clrChange>
          <a:lum bright="-20000"/>
        </a:blip>
        <a:stretch>
          <a:fillRect/>
        </a:stretch>
      </xdr:blipFill>
      <xdr:spPr>
        <a:xfrm>
          <a:off x="2159001" y="40219310"/>
          <a:ext cx="1873251" cy="1446738"/>
        </a:xfrm>
        <a:prstGeom prst="rect">
          <a:avLst/>
        </a:prstGeom>
      </xdr:spPr>
    </xdr:pic>
    <xdr:clientData/>
  </xdr:twoCellAnchor>
  <xdr:twoCellAnchor editAs="oneCell">
    <xdr:from>
      <xdr:col>6</xdr:col>
      <xdr:colOff>277791</xdr:colOff>
      <xdr:row>777</xdr:row>
      <xdr:rowOff>0</xdr:rowOff>
    </xdr:from>
    <xdr:to>
      <xdr:col>10</xdr:col>
      <xdr:colOff>3043</xdr:colOff>
      <xdr:row>784</xdr:row>
      <xdr:rowOff>74865</xdr:rowOff>
    </xdr:to>
    <xdr:pic>
      <xdr:nvPicPr>
        <xdr:cNvPr id="17" name="Imagem 78" descr="P_arg_dec.JPG">
          <a:extLst>
            <a:ext uri="{FF2B5EF4-FFF2-40B4-BE49-F238E27FC236}">
              <a16:creationId xmlns:a16="http://schemas.microsoft.com/office/drawing/2014/main" id="{00000000-0008-0000-0B00-000011000000}"/>
            </a:ext>
          </a:extLst>
        </xdr:cNvPr>
        <xdr:cNvPicPr>
          <a:picLocks noChangeAspect="1"/>
        </xdr:cNvPicPr>
      </xdr:nvPicPr>
      <xdr:blipFill>
        <a:blip xmlns:r="http://schemas.openxmlformats.org/officeDocument/2006/relationships" r:embed="rId15" cstate="print">
          <a:clrChange>
            <a:clrFrom>
              <a:srgbClr val="FFFFFF"/>
            </a:clrFrom>
            <a:clrTo>
              <a:srgbClr val="FFFFFF">
                <a:alpha val="0"/>
              </a:srgbClr>
            </a:clrTo>
          </a:clrChange>
          <a:lum bright="-20000"/>
        </a:blip>
        <a:stretch>
          <a:fillRect/>
        </a:stretch>
      </xdr:blipFill>
      <xdr:spPr>
        <a:xfrm>
          <a:off x="4127479" y="40266938"/>
          <a:ext cx="1950638" cy="1408365"/>
        </a:xfrm>
        <a:prstGeom prst="rect">
          <a:avLst/>
        </a:prstGeom>
      </xdr:spPr>
    </xdr:pic>
    <xdr:clientData/>
  </xdr:twoCellAnchor>
  <xdr:twoCellAnchor editAs="oneCell">
    <xdr:from>
      <xdr:col>9</xdr:col>
      <xdr:colOff>404799</xdr:colOff>
      <xdr:row>776</xdr:row>
      <xdr:rowOff>111108</xdr:rowOff>
    </xdr:from>
    <xdr:to>
      <xdr:col>12</xdr:col>
      <xdr:colOff>489339</xdr:colOff>
      <xdr:row>784</xdr:row>
      <xdr:rowOff>73403</xdr:rowOff>
    </xdr:to>
    <xdr:pic>
      <xdr:nvPicPr>
        <xdr:cNvPr id="18" name="Imagem 80" descr="P_marg_dec.JPG">
          <a:extLst>
            <a:ext uri="{FF2B5EF4-FFF2-40B4-BE49-F238E27FC236}">
              <a16:creationId xmlns:a16="http://schemas.microsoft.com/office/drawing/2014/main" id="{00000000-0008-0000-0B00-000012000000}"/>
            </a:ext>
          </a:extLst>
        </xdr:cNvPr>
        <xdr:cNvPicPr>
          <a:picLocks noChangeAspect="1"/>
        </xdr:cNvPicPr>
      </xdr:nvPicPr>
      <xdr:blipFill>
        <a:blip xmlns:r="http://schemas.openxmlformats.org/officeDocument/2006/relationships" r:embed="rId16" cstate="print">
          <a:clrChange>
            <a:clrFrom>
              <a:srgbClr val="FFFFFF"/>
            </a:clrFrom>
            <a:clrTo>
              <a:srgbClr val="FFFFFF">
                <a:alpha val="0"/>
              </a:srgbClr>
            </a:clrTo>
          </a:clrChange>
          <a:lum bright="-20000"/>
        </a:blip>
        <a:stretch>
          <a:fillRect/>
        </a:stretch>
      </xdr:blipFill>
      <xdr:spPr>
        <a:xfrm>
          <a:off x="5873737" y="40187546"/>
          <a:ext cx="1918102" cy="1486295"/>
        </a:xfrm>
        <a:prstGeom prst="rect">
          <a:avLst/>
        </a:prstGeom>
      </xdr:spPr>
    </xdr:pic>
    <xdr:clientData/>
  </xdr:twoCellAnchor>
  <xdr:twoCellAnchor editAs="oneCell">
    <xdr:from>
      <xdr:col>1</xdr:col>
      <xdr:colOff>3</xdr:colOff>
      <xdr:row>794</xdr:row>
      <xdr:rowOff>0</xdr:rowOff>
    </xdr:from>
    <xdr:to>
      <xdr:col>3</xdr:col>
      <xdr:colOff>421682</xdr:colOff>
      <xdr:row>801</xdr:row>
      <xdr:rowOff>27214</xdr:rowOff>
    </xdr:to>
    <xdr:pic>
      <xdr:nvPicPr>
        <xdr:cNvPr id="19" name="Imagem 54" descr="Ca_cre.JPG">
          <a:extLst>
            <a:ext uri="{FF2B5EF4-FFF2-40B4-BE49-F238E27FC236}">
              <a16:creationId xmlns:a16="http://schemas.microsoft.com/office/drawing/2014/main" id="{00000000-0008-0000-0B00-000013000000}"/>
            </a:ext>
          </a:extLst>
        </xdr:cNvPr>
        <xdr:cNvPicPr>
          <a:picLocks noChangeAspect="1"/>
        </xdr:cNvPicPr>
      </xdr:nvPicPr>
      <xdr:blipFill>
        <a:blip xmlns:r="http://schemas.openxmlformats.org/officeDocument/2006/relationships" r:embed="rId17" cstate="print">
          <a:clrChange>
            <a:clrFrom>
              <a:srgbClr val="FFFFFF"/>
            </a:clrFrom>
            <a:clrTo>
              <a:srgbClr val="FFFFFF">
                <a:alpha val="0"/>
              </a:srgbClr>
            </a:clrTo>
          </a:clrChange>
          <a:lum bright="-20000"/>
        </a:blip>
        <a:srcRect l="7404" t="30161" r="15121" b="26953"/>
        <a:stretch>
          <a:fillRect/>
        </a:stretch>
      </xdr:blipFill>
      <xdr:spPr>
        <a:xfrm>
          <a:off x="31842078" y="53368575"/>
          <a:ext cx="2250479" cy="1551214"/>
        </a:xfrm>
        <a:prstGeom prst="rect">
          <a:avLst/>
        </a:prstGeom>
      </xdr:spPr>
    </xdr:pic>
    <xdr:clientData/>
  </xdr:twoCellAnchor>
  <xdr:twoCellAnchor editAs="oneCell">
    <xdr:from>
      <xdr:col>3</xdr:col>
      <xdr:colOff>276962</xdr:colOff>
      <xdr:row>793</xdr:row>
      <xdr:rowOff>192879</xdr:rowOff>
    </xdr:from>
    <xdr:to>
      <xdr:col>7</xdr:col>
      <xdr:colOff>18426</xdr:colOff>
      <xdr:row>801</xdr:row>
      <xdr:rowOff>0</xdr:rowOff>
    </xdr:to>
    <xdr:pic>
      <xdr:nvPicPr>
        <xdr:cNvPr id="20" name="Imagem 55" descr="Ca_dec.JPG">
          <a:extLst>
            <a:ext uri="{FF2B5EF4-FFF2-40B4-BE49-F238E27FC236}">
              <a16:creationId xmlns:a16="http://schemas.microsoft.com/office/drawing/2014/main" id="{00000000-0008-0000-0B00-000014000000}"/>
            </a:ext>
          </a:extLst>
        </xdr:cNvPr>
        <xdr:cNvPicPr>
          <a:picLocks noChangeAspect="1"/>
        </xdr:cNvPicPr>
      </xdr:nvPicPr>
      <xdr:blipFill>
        <a:blip xmlns:r="http://schemas.openxmlformats.org/officeDocument/2006/relationships" r:embed="rId18" cstate="print">
          <a:clrChange>
            <a:clrFrom>
              <a:srgbClr val="FFFFFF"/>
            </a:clrFrom>
            <a:clrTo>
              <a:srgbClr val="FFFFFF">
                <a:alpha val="0"/>
              </a:srgbClr>
            </a:clrTo>
          </a:clrChange>
          <a:lum bright="-20000"/>
        </a:blip>
        <a:stretch>
          <a:fillRect/>
        </a:stretch>
      </xdr:blipFill>
      <xdr:spPr>
        <a:xfrm>
          <a:off x="33995462" y="53351904"/>
          <a:ext cx="2179864" cy="1540671"/>
        </a:xfrm>
        <a:prstGeom prst="rect">
          <a:avLst/>
        </a:prstGeom>
      </xdr:spPr>
    </xdr:pic>
    <xdr:clientData/>
  </xdr:twoCellAnchor>
  <xdr:twoCellAnchor editAs="oneCell">
    <xdr:from>
      <xdr:col>1</xdr:col>
      <xdr:colOff>0</xdr:colOff>
      <xdr:row>810</xdr:row>
      <xdr:rowOff>9348</xdr:rowOff>
    </xdr:from>
    <xdr:to>
      <xdr:col>3</xdr:col>
      <xdr:colOff>119062</xdr:colOff>
      <xdr:row>817</xdr:row>
      <xdr:rowOff>0</xdr:rowOff>
    </xdr:to>
    <xdr:pic>
      <xdr:nvPicPr>
        <xdr:cNvPr id="21" name="Imagem 60" descr="Mg_cre.JPG">
          <a:extLst>
            <a:ext uri="{FF2B5EF4-FFF2-40B4-BE49-F238E27FC236}">
              <a16:creationId xmlns:a16="http://schemas.microsoft.com/office/drawing/2014/main" id="{00000000-0008-0000-0B00-000015000000}"/>
            </a:ext>
          </a:extLst>
        </xdr:cNvPr>
        <xdr:cNvPicPr>
          <a:picLocks noChangeAspect="1"/>
        </xdr:cNvPicPr>
      </xdr:nvPicPr>
      <xdr:blipFill>
        <a:blip xmlns:r="http://schemas.openxmlformats.org/officeDocument/2006/relationships" r:embed="rId19" cstate="print">
          <a:clrChange>
            <a:clrFrom>
              <a:srgbClr val="FFFFFF"/>
            </a:clrFrom>
            <a:clrTo>
              <a:srgbClr val="FFFFFF">
                <a:alpha val="0"/>
              </a:srgbClr>
            </a:clrTo>
          </a:clrChange>
          <a:lum bright="-20000"/>
        </a:blip>
        <a:stretch>
          <a:fillRect/>
        </a:stretch>
      </xdr:blipFill>
      <xdr:spPr>
        <a:xfrm>
          <a:off x="43443525" y="53377923"/>
          <a:ext cx="2119312" cy="1514652"/>
        </a:xfrm>
        <a:prstGeom prst="rect">
          <a:avLst/>
        </a:prstGeom>
      </xdr:spPr>
    </xdr:pic>
    <xdr:clientData/>
  </xdr:twoCellAnchor>
  <xdr:twoCellAnchor editAs="oneCell">
    <xdr:from>
      <xdr:col>3</xdr:col>
      <xdr:colOff>302081</xdr:colOff>
      <xdr:row>809</xdr:row>
      <xdr:rowOff>208358</xdr:rowOff>
    </xdr:from>
    <xdr:to>
      <xdr:col>7</xdr:col>
      <xdr:colOff>0</xdr:colOff>
      <xdr:row>817</xdr:row>
      <xdr:rowOff>3699</xdr:rowOff>
    </xdr:to>
    <xdr:pic>
      <xdr:nvPicPr>
        <xdr:cNvPr id="22" name="Imagem 61" descr="Mg_dec.JPG">
          <a:extLst>
            <a:ext uri="{FF2B5EF4-FFF2-40B4-BE49-F238E27FC236}">
              <a16:creationId xmlns:a16="http://schemas.microsoft.com/office/drawing/2014/main" id="{00000000-0008-0000-0B00-000016000000}"/>
            </a:ext>
          </a:extLst>
        </xdr:cNvPr>
        <xdr:cNvPicPr>
          <a:picLocks noChangeAspect="1"/>
        </xdr:cNvPicPr>
      </xdr:nvPicPr>
      <xdr:blipFill>
        <a:blip xmlns:r="http://schemas.openxmlformats.org/officeDocument/2006/relationships" r:embed="rId20" cstate="print">
          <a:clrChange>
            <a:clrFrom>
              <a:srgbClr val="FFFFFF"/>
            </a:clrFrom>
            <a:clrTo>
              <a:srgbClr val="FFFFFF">
                <a:alpha val="0"/>
              </a:srgbClr>
            </a:clrTo>
          </a:clrChange>
          <a:lum bright="-20000"/>
        </a:blip>
        <a:stretch>
          <a:fillRect/>
        </a:stretch>
      </xdr:blipFill>
      <xdr:spPr>
        <a:xfrm>
          <a:off x="45793481" y="53367383"/>
          <a:ext cx="2136319" cy="1528891"/>
        </a:xfrm>
        <a:prstGeom prst="rect">
          <a:avLst/>
        </a:prstGeom>
      </xdr:spPr>
    </xdr:pic>
    <xdr:clientData/>
  </xdr:twoCellAnchor>
  <xdr:twoCellAnchor editAs="oneCell">
    <xdr:from>
      <xdr:col>1</xdr:col>
      <xdr:colOff>19844</xdr:colOff>
      <xdr:row>826</xdr:row>
      <xdr:rowOff>10968</xdr:rowOff>
    </xdr:from>
    <xdr:to>
      <xdr:col>3</xdr:col>
      <xdr:colOff>186593</xdr:colOff>
      <xdr:row>833</xdr:row>
      <xdr:rowOff>51595</xdr:rowOff>
    </xdr:to>
    <xdr:pic>
      <xdr:nvPicPr>
        <xdr:cNvPr id="23" name="Imagem 62" descr="K_cres.JPG">
          <a:extLst>
            <a:ext uri="{FF2B5EF4-FFF2-40B4-BE49-F238E27FC236}">
              <a16:creationId xmlns:a16="http://schemas.microsoft.com/office/drawing/2014/main" id="{00000000-0008-0000-0B00-000017000000}"/>
            </a:ext>
          </a:extLst>
        </xdr:cNvPr>
        <xdr:cNvPicPr>
          <a:picLocks noChangeAspect="1"/>
        </xdr:cNvPicPr>
      </xdr:nvPicPr>
      <xdr:blipFill>
        <a:blip xmlns:r="http://schemas.openxmlformats.org/officeDocument/2006/relationships" r:embed="rId21" cstate="print">
          <a:clrChange>
            <a:clrFrom>
              <a:srgbClr val="FFFFFF"/>
            </a:clrFrom>
            <a:clrTo>
              <a:srgbClr val="FFFFFF">
                <a:alpha val="0"/>
              </a:srgbClr>
            </a:clrTo>
          </a:clrChange>
          <a:lum bright="-20000"/>
        </a:blip>
        <a:stretch>
          <a:fillRect/>
        </a:stretch>
      </xdr:blipFill>
      <xdr:spPr>
        <a:xfrm>
          <a:off x="31861919" y="55341693"/>
          <a:ext cx="1995549" cy="1536052"/>
        </a:xfrm>
        <a:prstGeom prst="rect">
          <a:avLst/>
        </a:prstGeom>
      </xdr:spPr>
    </xdr:pic>
    <xdr:clientData/>
  </xdr:twoCellAnchor>
  <xdr:twoCellAnchor editAs="oneCell">
    <xdr:from>
      <xdr:col>3</xdr:col>
      <xdr:colOff>321037</xdr:colOff>
      <xdr:row>826</xdr:row>
      <xdr:rowOff>19842</xdr:rowOff>
    </xdr:from>
    <xdr:to>
      <xdr:col>6</xdr:col>
      <xdr:colOff>575469</xdr:colOff>
      <xdr:row>833</xdr:row>
      <xdr:rowOff>1984</xdr:rowOff>
    </xdr:to>
    <xdr:pic>
      <xdr:nvPicPr>
        <xdr:cNvPr id="24" name="Imagem 64" descr="K_dec.JPG">
          <a:extLst>
            <a:ext uri="{FF2B5EF4-FFF2-40B4-BE49-F238E27FC236}">
              <a16:creationId xmlns:a16="http://schemas.microsoft.com/office/drawing/2014/main" id="{00000000-0008-0000-0B00-000018000000}"/>
            </a:ext>
          </a:extLst>
        </xdr:cNvPr>
        <xdr:cNvPicPr>
          <a:picLocks noChangeAspect="1"/>
        </xdr:cNvPicPr>
      </xdr:nvPicPr>
      <xdr:blipFill>
        <a:blip xmlns:r="http://schemas.openxmlformats.org/officeDocument/2006/relationships" r:embed="rId22" cstate="print">
          <a:clrChange>
            <a:clrFrom>
              <a:srgbClr val="FFFFFF"/>
            </a:clrFrom>
            <a:clrTo>
              <a:srgbClr val="FFFFFF">
                <a:alpha val="0"/>
              </a:srgbClr>
            </a:clrTo>
          </a:clrChange>
          <a:lum bright="-20000"/>
        </a:blip>
        <a:stretch>
          <a:fillRect/>
        </a:stretch>
      </xdr:blipFill>
      <xdr:spPr>
        <a:xfrm>
          <a:off x="34039537" y="55350567"/>
          <a:ext cx="2083232" cy="1477567"/>
        </a:xfrm>
        <a:prstGeom prst="rect">
          <a:avLst/>
        </a:prstGeom>
      </xdr:spPr>
    </xdr:pic>
    <xdr:clientData/>
  </xdr:twoCellAnchor>
  <xdr:twoCellAnchor editAs="oneCell">
    <xdr:from>
      <xdr:col>1</xdr:col>
      <xdr:colOff>71439</xdr:colOff>
      <xdr:row>841</xdr:row>
      <xdr:rowOff>211053</xdr:rowOff>
    </xdr:from>
    <xdr:to>
      <xdr:col>3</xdr:col>
      <xdr:colOff>166686</xdr:colOff>
      <xdr:row>849</xdr:row>
      <xdr:rowOff>2332</xdr:rowOff>
    </xdr:to>
    <xdr:pic>
      <xdr:nvPicPr>
        <xdr:cNvPr id="25" name="Imagem 38" descr="pH_cres.JPG">
          <a:extLst>
            <a:ext uri="{FF2B5EF4-FFF2-40B4-BE49-F238E27FC236}">
              <a16:creationId xmlns:a16="http://schemas.microsoft.com/office/drawing/2014/main" id="{00000000-0008-0000-0B00-000019000000}"/>
            </a:ext>
          </a:extLst>
        </xdr:cNvPr>
        <xdr:cNvPicPr>
          <a:picLocks noChangeAspect="1"/>
        </xdr:cNvPicPr>
      </xdr:nvPicPr>
      <xdr:blipFill>
        <a:blip xmlns:r="http://schemas.openxmlformats.org/officeDocument/2006/relationships" r:embed="rId23" cstate="print">
          <a:clrChange>
            <a:clrFrom>
              <a:srgbClr val="FFFFFF"/>
            </a:clrFrom>
            <a:clrTo>
              <a:srgbClr val="FFFFFF">
                <a:alpha val="0"/>
              </a:srgbClr>
            </a:clrTo>
          </a:clrChange>
          <a:lum bright="-20000"/>
        </a:blip>
        <a:stretch>
          <a:fillRect/>
        </a:stretch>
      </xdr:blipFill>
      <xdr:spPr>
        <a:xfrm>
          <a:off x="30922914" y="57913503"/>
          <a:ext cx="1981197" cy="1534354"/>
        </a:xfrm>
        <a:prstGeom prst="rect">
          <a:avLst/>
        </a:prstGeom>
      </xdr:spPr>
    </xdr:pic>
    <xdr:clientData/>
  </xdr:twoCellAnchor>
  <xdr:twoCellAnchor editAs="oneCell">
    <xdr:from>
      <xdr:col>3</xdr:col>
      <xdr:colOff>404813</xdr:colOff>
      <xdr:row>842</xdr:row>
      <xdr:rowOff>23813</xdr:rowOff>
    </xdr:from>
    <xdr:to>
      <xdr:col>6</xdr:col>
      <xdr:colOff>440530</xdr:colOff>
      <xdr:row>848</xdr:row>
      <xdr:rowOff>166688</xdr:rowOff>
    </xdr:to>
    <xdr:pic>
      <xdr:nvPicPr>
        <xdr:cNvPr id="26" name="Imagem 37" descr="pH_dec.JPG">
          <a:extLst>
            <a:ext uri="{FF2B5EF4-FFF2-40B4-BE49-F238E27FC236}">
              <a16:creationId xmlns:a16="http://schemas.microsoft.com/office/drawing/2014/main" id="{00000000-0008-0000-0B00-00001A000000}"/>
            </a:ext>
          </a:extLst>
        </xdr:cNvPr>
        <xdr:cNvPicPr>
          <a:picLocks noChangeAspect="1"/>
        </xdr:cNvPicPr>
      </xdr:nvPicPr>
      <xdr:blipFill>
        <a:blip xmlns:r="http://schemas.openxmlformats.org/officeDocument/2006/relationships" r:embed="rId24" cstate="print">
          <a:clrChange>
            <a:clrFrom>
              <a:srgbClr val="FFFFFF"/>
            </a:clrFrom>
            <a:clrTo>
              <a:srgbClr val="FFFFFF">
                <a:alpha val="0"/>
              </a:srgbClr>
            </a:clrTo>
          </a:clrChange>
          <a:lum bright="-20000"/>
        </a:blip>
        <a:stretch>
          <a:fillRect/>
        </a:stretch>
      </xdr:blipFill>
      <xdr:spPr>
        <a:xfrm>
          <a:off x="33189863" y="57935813"/>
          <a:ext cx="2188367" cy="1476375"/>
        </a:xfrm>
        <a:prstGeom prst="rect">
          <a:avLst/>
        </a:prstGeom>
      </xdr:spPr>
    </xdr:pic>
    <xdr:clientData/>
  </xdr:twoCellAnchor>
  <xdr:twoCellAnchor editAs="oneCell">
    <xdr:from>
      <xdr:col>1</xdr:col>
      <xdr:colOff>9921</xdr:colOff>
      <xdr:row>858</xdr:row>
      <xdr:rowOff>203658</xdr:rowOff>
    </xdr:from>
    <xdr:to>
      <xdr:col>3</xdr:col>
      <xdr:colOff>355203</xdr:colOff>
      <xdr:row>866</xdr:row>
      <xdr:rowOff>2777</xdr:rowOff>
    </xdr:to>
    <xdr:pic>
      <xdr:nvPicPr>
        <xdr:cNvPr id="27" name="Imagem 91" descr="Al_parte I.JPG">
          <a:extLst>
            <a:ext uri="{FF2B5EF4-FFF2-40B4-BE49-F238E27FC236}">
              <a16:creationId xmlns:a16="http://schemas.microsoft.com/office/drawing/2014/main" id="{00000000-0008-0000-0B00-00001B000000}"/>
            </a:ext>
          </a:extLst>
        </xdr:cNvPr>
        <xdr:cNvPicPr>
          <a:picLocks noChangeAspect="1"/>
        </xdr:cNvPicPr>
      </xdr:nvPicPr>
      <xdr:blipFill>
        <a:blip xmlns:r="http://schemas.openxmlformats.org/officeDocument/2006/relationships" r:embed="rId25" cstate="print">
          <a:clrChange>
            <a:clrFrom>
              <a:srgbClr val="FFFFFF"/>
            </a:clrFrom>
            <a:clrTo>
              <a:srgbClr val="FFFFFF">
                <a:alpha val="0"/>
              </a:srgbClr>
            </a:clrTo>
          </a:clrChange>
          <a:lum bright="-20000"/>
        </a:blip>
        <a:stretch>
          <a:fillRect/>
        </a:stretch>
      </xdr:blipFill>
      <xdr:spPr>
        <a:xfrm>
          <a:off x="30861396" y="59877783"/>
          <a:ext cx="2231232" cy="1513619"/>
        </a:xfrm>
        <a:prstGeom prst="rect">
          <a:avLst/>
        </a:prstGeom>
      </xdr:spPr>
    </xdr:pic>
    <xdr:clientData/>
  </xdr:twoCellAnchor>
  <xdr:twoCellAnchor editAs="oneCell">
    <xdr:from>
      <xdr:col>3</xdr:col>
      <xdr:colOff>506069</xdr:colOff>
      <xdr:row>858</xdr:row>
      <xdr:rowOff>198437</xdr:rowOff>
    </xdr:from>
    <xdr:to>
      <xdr:col>6</xdr:col>
      <xdr:colOff>456405</xdr:colOff>
      <xdr:row>866</xdr:row>
      <xdr:rowOff>29765</xdr:rowOff>
    </xdr:to>
    <xdr:pic>
      <xdr:nvPicPr>
        <xdr:cNvPr id="28" name="Imagem 92" descr="Al_parte II.JPG">
          <a:extLst>
            <a:ext uri="{FF2B5EF4-FFF2-40B4-BE49-F238E27FC236}">
              <a16:creationId xmlns:a16="http://schemas.microsoft.com/office/drawing/2014/main" id="{00000000-0008-0000-0B00-00001C000000}"/>
            </a:ext>
          </a:extLst>
        </xdr:cNvPr>
        <xdr:cNvPicPr>
          <a:picLocks noChangeAspect="1"/>
        </xdr:cNvPicPr>
      </xdr:nvPicPr>
      <xdr:blipFill>
        <a:blip xmlns:r="http://schemas.openxmlformats.org/officeDocument/2006/relationships" r:embed="rId26" cstate="print">
          <a:clrChange>
            <a:clrFrom>
              <a:srgbClr val="FFFFFF"/>
            </a:clrFrom>
            <a:clrTo>
              <a:srgbClr val="FFFFFF">
                <a:alpha val="0"/>
              </a:srgbClr>
            </a:clrTo>
          </a:clrChange>
          <a:lum bright="-20000"/>
        </a:blip>
        <a:stretch>
          <a:fillRect/>
        </a:stretch>
      </xdr:blipFill>
      <xdr:spPr>
        <a:xfrm>
          <a:off x="33291119" y="59872562"/>
          <a:ext cx="2102986" cy="1545828"/>
        </a:xfrm>
        <a:prstGeom prst="rect">
          <a:avLst/>
        </a:prstGeom>
      </xdr:spPr>
    </xdr:pic>
    <xdr:clientData/>
  </xdr:twoCellAnchor>
  <xdr:twoCellAnchor editAs="oneCell">
    <xdr:from>
      <xdr:col>1</xdr:col>
      <xdr:colOff>4537</xdr:colOff>
      <xdr:row>876</xdr:row>
      <xdr:rowOff>9923</xdr:rowOff>
    </xdr:from>
    <xdr:to>
      <xdr:col>3</xdr:col>
      <xdr:colOff>414735</xdr:colOff>
      <xdr:row>883</xdr:row>
      <xdr:rowOff>1986</xdr:rowOff>
    </xdr:to>
    <xdr:pic>
      <xdr:nvPicPr>
        <xdr:cNvPr id="29" name="Imagem 93" descr="CTC_parteI.JPG">
          <a:extLst>
            <a:ext uri="{FF2B5EF4-FFF2-40B4-BE49-F238E27FC236}">
              <a16:creationId xmlns:a16="http://schemas.microsoft.com/office/drawing/2014/main" id="{00000000-0008-0000-0B00-00001D000000}"/>
            </a:ext>
          </a:extLst>
        </xdr:cNvPr>
        <xdr:cNvPicPr>
          <a:picLocks noChangeAspect="1"/>
        </xdr:cNvPicPr>
      </xdr:nvPicPr>
      <xdr:blipFill>
        <a:blip xmlns:r="http://schemas.openxmlformats.org/officeDocument/2006/relationships" r:embed="rId27" cstate="print">
          <a:clrChange>
            <a:clrFrom>
              <a:srgbClr val="FFFFFF"/>
            </a:clrFrom>
            <a:clrTo>
              <a:srgbClr val="FFFFFF">
                <a:alpha val="0"/>
              </a:srgbClr>
            </a:clrTo>
          </a:clrChange>
          <a:lum bright="-20000"/>
        </a:blip>
        <a:stretch>
          <a:fillRect/>
        </a:stretch>
      </xdr:blipFill>
      <xdr:spPr>
        <a:xfrm>
          <a:off x="30856012" y="61846223"/>
          <a:ext cx="2296148" cy="1487488"/>
        </a:xfrm>
        <a:prstGeom prst="rect">
          <a:avLst/>
        </a:prstGeom>
      </xdr:spPr>
    </xdr:pic>
    <xdr:clientData/>
  </xdr:twoCellAnchor>
  <xdr:twoCellAnchor editAs="oneCell">
    <xdr:from>
      <xdr:col>3</xdr:col>
      <xdr:colOff>535780</xdr:colOff>
      <xdr:row>876</xdr:row>
      <xdr:rowOff>2953</xdr:rowOff>
    </xdr:from>
    <xdr:to>
      <xdr:col>6</xdr:col>
      <xdr:colOff>565546</xdr:colOff>
      <xdr:row>883</xdr:row>
      <xdr:rowOff>2383</xdr:rowOff>
    </xdr:to>
    <xdr:pic>
      <xdr:nvPicPr>
        <xdr:cNvPr id="30" name="Imagem 94" descr="CTC_parteII.JPG">
          <a:extLst>
            <a:ext uri="{FF2B5EF4-FFF2-40B4-BE49-F238E27FC236}">
              <a16:creationId xmlns:a16="http://schemas.microsoft.com/office/drawing/2014/main" id="{00000000-0008-0000-0B00-00001E000000}"/>
            </a:ext>
          </a:extLst>
        </xdr:cNvPr>
        <xdr:cNvPicPr>
          <a:picLocks noChangeAspect="1"/>
        </xdr:cNvPicPr>
      </xdr:nvPicPr>
      <xdr:blipFill>
        <a:blip xmlns:r="http://schemas.openxmlformats.org/officeDocument/2006/relationships" r:embed="rId28" cstate="print">
          <a:clrChange>
            <a:clrFrom>
              <a:srgbClr val="FFFFFF"/>
            </a:clrFrom>
            <a:clrTo>
              <a:srgbClr val="FFFFFF">
                <a:alpha val="0"/>
              </a:srgbClr>
            </a:clrTo>
          </a:clrChange>
          <a:lum bright="-20000"/>
        </a:blip>
        <a:stretch>
          <a:fillRect/>
        </a:stretch>
      </xdr:blipFill>
      <xdr:spPr>
        <a:xfrm>
          <a:off x="33320830" y="61839253"/>
          <a:ext cx="2182416" cy="1494855"/>
        </a:xfrm>
        <a:prstGeom prst="rect">
          <a:avLst/>
        </a:prstGeom>
      </xdr:spPr>
    </xdr:pic>
    <xdr:clientData/>
  </xdr:twoCellAnchor>
  <xdr:twoCellAnchor editAs="oneCell">
    <xdr:from>
      <xdr:col>0</xdr:col>
      <xdr:colOff>1190624</xdr:colOff>
      <xdr:row>893</xdr:row>
      <xdr:rowOff>6244</xdr:rowOff>
    </xdr:from>
    <xdr:to>
      <xdr:col>3</xdr:col>
      <xdr:colOff>355203</xdr:colOff>
      <xdr:row>900</xdr:row>
      <xdr:rowOff>9921</xdr:rowOff>
    </xdr:to>
    <xdr:pic>
      <xdr:nvPicPr>
        <xdr:cNvPr id="31" name="Imagem 97" descr="SB_parteI.JPG">
          <a:extLst>
            <a:ext uri="{FF2B5EF4-FFF2-40B4-BE49-F238E27FC236}">
              <a16:creationId xmlns:a16="http://schemas.microsoft.com/office/drawing/2014/main" id="{00000000-0008-0000-0B00-00001F000000}"/>
            </a:ext>
          </a:extLst>
        </xdr:cNvPr>
        <xdr:cNvPicPr>
          <a:picLocks noChangeAspect="1"/>
        </xdr:cNvPicPr>
      </xdr:nvPicPr>
      <xdr:blipFill>
        <a:blip xmlns:r="http://schemas.openxmlformats.org/officeDocument/2006/relationships" r:embed="rId29" cstate="print">
          <a:clrChange>
            <a:clrFrom>
              <a:srgbClr val="FFFFFF"/>
            </a:clrFrom>
            <a:clrTo>
              <a:srgbClr val="FFFFFF">
                <a:alpha val="0"/>
              </a:srgbClr>
            </a:clrTo>
          </a:clrChange>
          <a:lum bright="-20000"/>
        </a:blip>
        <a:stretch>
          <a:fillRect/>
        </a:stretch>
      </xdr:blipFill>
      <xdr:spPr>
        <a:xfrm>
          <a:off x="41614724" y="61842544"/>
          <a:ext cx="1526779" cy="1499102"/>
        </a:xfrm>
        <a:prstGeom prst="rect">
          <a:avLst/>
        </a:prstGeom>
      </xdr:spPr>
    </xdr:pic>
    <xdr:clientData/>
  </xdr:twoCellAnchor>
  <xdr:twoCellAnchor editAs="oneCell">
    <xdr:from>
      <xdr:col>3</xdr:col>
      <xdr:colOff>644923</xdr:colOff>
      <xdr:row>893</xdr:row>
      <xdr:rowOff>21149</xdr:rowOff>
    </xdr:from>
    <xdr:to>
      <xdr:col>6</xdr:col>
      <xdr:colOff>525859</xdr:colOff>
      <xdr:row>899</xdr:row>
      <xdr:rowOff>175814</xdr:rowOff>
    </xdr:to>
    <xdr:pic>
      <xdr:nvPicPr>
        <xdr:cNvPr id="32" name="Imagem 98" descr="SB_parteII.JPG">
          <a:extLst>
            <a:ext uri="{FF2B5EF4-FFF2-40B4-BE49-F238E27FC236}">
              <a16:creationId xmlns:a16="http://schemas.microsoft.com/office/drawing/2014/main" id="{00000000-0008-0000-0B00-000020000000}"/>
            </a:ext>
          </a:extLst>
        </xdr:cNvPr>
        <xdr:cNvPicPr>
          <a:picLocks noChangeAspect="1"/>
        </xdr:cNvPicPr>
      </xdr:nvPicPr>
      <xdr:blipFill>
        <a:blip xmlns:r="http://schemas.openxmlformats.org/officeDocument/2006/relationships" r:embed="rId30" cstate="print">
          <a:clrChange>
            <a:clrFrom>
              <a:srgbClr val="FFFFFF"/>
            </a:clrFrom>
            <a:clrTo>
              <a:srgbClr val="FFFFFF">
                <a:alpha val="0"/>
              </a:srgbClr>
            </a:clrTo>
          </a:clrChange>
          <a:lum bright="-20000"/>
        </a:blip>
        <a:stretch>
          <a:fillRect/>
        </a:stretch>
      </xdr:blipFill>
      <xdr:spPr>
        <a:xfrm>
          <a:off x="43440748" y="61857449"/>
          <a:ext cx="2576511" cy="1453240"/>
        </a:xfrm>
        <a:prstGeom prst="rect">
          <a:avLst/>
        </a:prstGeom>
      </xdr:spPr>
    </xdr:pic>
    <xdr:clientData/>
  </xdr:twoCellAnchor>
  <xdr:twoCellAnchor editAs="oneCell">
    <xdr:from>
      <xdr:col>10</xdr:col>
      <xdr:colOff>0</xdr:colOff>
      <xdr:row>1049</xdr:row>
      <xdr:rowOff>0</xdr:rowOff>
    </xdr:from>
    <xdr:to>
      <xdr:col>10</xdr:col>
      <xdr:colOff>0</xdr:colOff>
      <xdr:row>1059</xdr:row>
      <xdr:rowOff>156110</xdr:rowOff>
    </xdr:to>
    <xdr:pic>
      <xdr:nvPicPr>
        <xdr:cNvPr id="33" name="Imagem 24" descr="valor pago - atual.JPG">
          <a:hlinkClick xmlns:r="http://schemas.openxmlformats.org/officeDocument/2006/relationships" r:id="rId31"/>
          <a:extLst>
            <a:ext uri="{FF2B5EF4-FFF2-40B4-BE49-F238E27FC236}">
              <a16:creationId xmlns:a16="http://schemas.microsoft.com/office/drawing/2014/main" id="{00000000-0008-0000-0B00-000021000000}"/>
            </a:ext>
          </a:extLst>
        </xdr:cNvPr>
        <xdr:cNvPicPr>
          <a:picLocks noChangeAspect="1"/>
        </xdr:cNvPicPr>
      </xdr:nvPicPr>
      <xdr:blipFill>
        <a:blip xmlns:r="http://schemas.openxmlformats.org/officeDocument/2006/relationships" r:embed="rId32" cstate="print">
          <a:clrChange>
            <a:clrFrom>
              <a:srgbClr val="FFFFFF"/>
            </a:clrFrom>
            <a:clrTo>
              <a:srgbClr val="FFFFFF">
                <a:alpha val="0"/>
              </a:srgbClr>
            </a:clrTo>
          </a:clrChange>
        </a:blip>
        <a:stretch>
          <a:fillRect/>
        </a:stretch>
      </xdr:blipFill>
      <xdr:spPr>
        <a:xfrm>
          <a:off x="7877175" y="3714750"/>
          <a:ext cx="0" cy="2224623"/>
        </a:xfrm>
        <a:prstGeom prst="rect">
          <a:avLst/>
        </a:prstGeom>
      </xdr:spPr>
    </xdr:pic>
    <xdr:clientData/>
  </xdr:twoCellAnchor>
  <xdr:twoCellAnchor editAs="oneCell">
    <xdr:from>
      <xdr:col>2</xdr:col>
      <xdr:colOff>0</xdr:colOff>
      <xdr:row>1057</xdr:row>
      <xdr:rowOff>0</xdr:rowOff>
    </xdr:from>
    <xdr:to>
      <xdr:col>2</xdr:col>
      <xdr:colOff>0</xdr:colOff>
      <xdr:row>1061</xdr:row>
      <xdr:rowOff>1479</xdr:rowOff>
    </xdr:to>
    <xdr:pic>
      <xdr:nvPicPr>
        <xdr:cNvPr id="34" name="Imagem 43" descr="MOS_are_cres.JPG">
          <a:extLst>
            <a:ext uri="{FF2B5EF4-FFF2-40B4-BE49-F238E27FC236}">
              <a16:creationId xmlns:a16="http://schemas.microsoft.com/office/drawing/2014/main" id="{00000000-0008-0000-0B00-000022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lum bright="-20000"/>
        </a:blip>
        <a:stretch>
          <a:fillRect/>
        </a:stretch>
      </xdr:blipFill>
      <xdr:spPr>
        <a:xfrm>
          <a:off x="381000" y="6934200"/>
          <a:ext cx="0" cy="1077804"/>
        </a:xfrm>
        <a:prstGeom prst="rect">
          <a:avLst/>
        </a:prstGeom>
        <a:solidFill>
          <a:schemeClr val="bg1"/>
        </a:solidFill>
      </xdr:spPr>
    </xdr:pic>
    <xdr:clientData/>
  </xdr:twoCellAnchor>
  <xdr:twoCellAnchor editAs="oneCell">
    <xdr:from>
      <xdr:col>4</xdr:col>
      <xdr:colOff>23775</xdr:colOff>
      <xdr:row>1057</xdr:row>
      <xdr:rowOff>0</xdr:rowOff>
    </xdr:from>
    <xdr:to>
      <xdr:col>4</xdr:col>
      <xdr:colOff>23775</xdr:colOff>
      <xdr:row>1061</xdr:row>
      <xdr:rowOff>2291</xdr:rowOff>
    </xdr:to>
    <xdr:pic>
      <xdr:nvPicPr>
        <xdr:cNvPr id="35" name="Imagem 47" descr="MOS_med_cres.JPG">
          <a:extLst>
            <a:ext uri="{FF2B5EF4-FFF2-40B4-BE49-F238E27FC236}">
              <a16:creationId xmlns:a16="http://schemas.microsoft.com/office/drawing/2014/main" id="{00000000-0008-0000-0B00-000023000000}"/>
            </a:ext>
          </a:extLst>
        </xdr:cNvPr>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lum bright="-20000"/>
        </a:blip>
        <a:stretch>
          <a:fillRect/>
        </a:stretch>
      </xdr:blipFill>
      <xdr:spPr>
        <a:xfrm>
          <a:off x="3147975" y="6934200"/>
          <a:ext cx="0" cy="1088141"/>
        </a:xfrm>
        <a:prstGeom prst="rect">
          <a:avLst/>
        </a:prstGeom>
      </xdr:spPr>
    </xdr:pic>
    <xdr:clientData/>
  </xdr:twoCellAnchor>
  <xdr:twoCellAnchor editAs="oneCell">
    <xdr:from>
      <xdr:col>7</xdr:col>
      <xdr:colOff>31752</xdr:colOff>
      <xdr:row>1057</xdr:row>
      <xdr:rowOff>0</xdr:rowOff>
    </xdr:from>
    <xdr:to>
      <xdr:col>7</xdr:col>
      <xdr:colOff>31752</xdr:colOff>
      <xdr:row>1060</xdr:row>
      <xdr:rowOff>174100</xdr:rowOff>
    </xdr:to>
    <xdr:pic>
      <xdr:nvPicPr>
        <xdr:cNvPr id="36" name="Imagem 50" descr="MOS_arg_cres.JPG">
          <a:extLst>
            <a:ext uri="{FF2B5EF4-FFF2-40B4-BE49-F238E27FC236}">
              <a16:creationId xmlns:a16="http://schemas.microsoft.com/office/drawing/2014/main" id="{00000000-0008-0000-0B00-000024000000}"/>
            </a:ext>
          </a:extLst>
        </xdr:cNvPr>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lum bright="-20000"/>
        </a:blip>
        <a:stretch>
          <a:fillRect/>
        </a:stretch>
      </xdr:blipFill>
      <xdr:spPr>
        <a:xfrm>
          <a:off x="5327652" y="6934200"/>
          <a:ext cx="0" cy="1139300"/>
        </a:xfrm>
        <a:prstGeom prst="rect">
          <a:avLst/>
        </a:prstGeom>
      </xdr:spPr>
    </xdr:pic>
    <xdr:clientData/>
  </xdr:twoCellAnchor>
  <xdr:twoCellAnchor editAs="oneCell">
    <xdr:from>
      <xdr:col>10</xdr:col>
      <xdr:colOff>31752</xdr:colOff>
      <xdr:row>1057</xdr:row>
      <xdr:rowOff>0</xdr:rowOff>
    </xdr:from>
    <xdr:to>
      <xdr:col>10</xdr:col>
      <xdr:colOff>31752</xdr:colOff>
      <xdr:row>1061</xdr:row>
      <xdr:rowOff>539</xdr:rowOff>
    </xdr:to>
    <xdr:pic>
      <xdr:nvPicPr>
        <xdr:cNvPr id="37" name="Imagem 52" descr="MOS_marg_cres.JPG">
          <a:extLst>
            <a:ext uri="{FF2B5EF4-FFF2-40B4-BE49-F238E27FC236}">
              <a16:creationId xmlns:a16="http://schemas.microsoft.com/office/drawing/2014/main" id="{00000000-0008-0000-0B00-000025000000}"/>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lum bright="-20000"/>
        </a:blip>
        <a:stretch>
          <a:fillRect/>
        </a:stretch>
      </xdr:blipFill>
      <xdr:spPr>
        <a:xfrm>
          <a:off x="7908927" y="6934200"/>
          <a:ext cx="0" cy="1057814"/>
        </a:xfrm>
        <a:prstGeom prst="rect">
          <a:avLst/>
        </a:prstGeom>
      </xdr:spPr>
    </xdr:pic>
    <xdr:clientData/>
  </xdr:twoCellAnchor>
  <xdr:twoCellAnchor editAs="oneCell">
    <xdr:from>
      <xdr:col>2</xdr:col>
      <xdr:colOff>15876</xdr:colOff>
      <xdr:row>1057</xdr:row>
      <xdr:rowOff>0</xdr:rowOff>
    </xdr:from>
    <xdr:to>
      <xdr:col>2</xdr:col>
      <xdr:colOff>15876</xdr:colOff>
      <xdr:row>1061</xdr:row>
      <xdr:rowOff>232</xdr:rowOff>
    </xdr:to>
    <xdr:pic>
      <xdr:nvPicPr>
        <xdr:cNvPr id="38" name="Imagem 44" descr="MOS_are_dec.JPG">
          <a:extLst>
            <a:ext uri="{FF2B5EF4-FFF2-40B4-BE49-F238E27FC236}">
              <a16:creationId xmlns:a16="http://schemas.microsoft.com/office/drawing/2014/main" id="{00000000-0008-0000-0B00-000026000000}"/>
            </a:ext>
          </a:extLst>
        </xdr:cNvPr>
        <xdr:cNvPicPr>
          <a:picLocks noChangeAspect="1"/>
        </xdr:cNvPicPr>
      </xdr:nvPicPr>
      <xdr:blipFill>
        <a:blip xmlns:r="http://schemas.openxmlformats.org/officeDocument/2006/relationships" r:embed="rId5" cstate="print">
          <a:clrChange>
            <a:clrFrom>
              <a:srgbClr val="FFFFFF"/>
            </a:clrFrom>
            <a:clrTo>
              <a:srgbClr val="FFFFFF">
                <a:alpha val="0"/>
              </a:srgbClr>
            </a:clrTo>
          </a:clrChange>
          <a:lum bright="-20000"/>
        </a:blip>
        <a:stretch>
          <a:fillRect/>
        </a:stretch>
      </xdr:blipFill>
      <xdr:spPr>
        <a:xfrm>
          <a:off x="396876" y="6934200"/>
          <a:ext cx="0" cy="1162282"/>
        </a:xfrm>
        <a:prstGeom prst="rect">
          <a:avLst/>
        </a:prstGeom>
      </xdr:spPr>
    </xdr:pic>
    <xdr:clientData/>
  </xdr:twoCellAnchor>
  <xdr:twoCellAnchor editAs="oneCell">
    <xdr:from>
      <xdr:col>4</xdr:col>
      <xdr:colOff>23814</xdr:colOff>
      <xdr:row>1057</xdr:row>
      <xdr:rowOff>0</xdr:rowOff>
    </xdr:from>
    <xdr:to>
      <xdr:col>4</xdr:col>
      <xdr:colOff>23814</xdr:colOff>
      <xdr:row>1060</xdr:row>
      <xdr:rowOff>175450</xdr:rowOff>
    </xdr:to>
    <xdr:pic>
      <xdr:nvPicPr>
        <xdr:cNvPr id="39" name="Imagem 49" descr="MOS_med_dec.JPG">
          <a:extLst>
            <a:ext uri="{FF2B5EF4-FFF2-40B4-BE49-F238E27FC236}">
              <a16:creationId xmlns:a16="http://schemas.microsoft.com/office/drawing/2014/main" id="{00000000-0008-0000-0B00-000027000000}"/>
            </a:ext>
          </a:extLst>
        </xdr:cNvPr>
        <xdr:cNvPicPr>
          <a:picLocks noChangeAspect="1"/>
        </xdr:cNvPicPr>
      </xdr:nvPicPr>
      <xdr:blipFill>
        <a:blip xmlns:r="http://schemas.openxmlformats.org/officeDocument/2006/relationships" r:embed="rId6" cstate="print">
          <a:clrChange>
            <a:clrFrom>
              <a:srgbClr val="FFFFFF"/>
            </a:clrFrom>
            <a:clrTo>
              <a:srgbClr val="FFFFFF">
                <a:alpha val="0"/>
              </a:srgbClr>
            </a:clrTo>
          </a:clrChange>
          <a:lum bright="-20000"/>
        </a:blip>
        <a:stretch>
          <a:fillRect/>
        </a:stretch>
      </xdr:blipFill>
      <xdr:spPr>
        <a:xfrm>
          <a:off x="3148014" y="6934200"/>
          <a:ext cx="0" cy="1188275"/>
        </a:xfrm>
        <a:prstGeom prst="rect">
          <a:avLst/>
        </a:prstGeom>
      </xdr:spPr>
    </xdr:pic>
    <xdr:clientData/>
  </xdr:twoCellAnchor>
  <xdr:twoCellAnchor editAs="oneCell">
    <xdr:from>
      <xdr:col>7</xdr:col>
      <xdr:colOff>47628</xdr:colOff>
      <xdr:row>1057</xdr:row>
      <xdr:rowOff>0</xdr:rowOff>
    </xdr:from>
    <xdr:to>
      <xdr:col>7</xdr:col>
      <xdr:colOff>47628</xdr:colOff>
      <xdr:row>1061</xdr:row>
      <xdr:rowOff>4114</xdr:rowOff>
    </xdr:to>
    <xdr:pic>
      <xdr:nvPicPr>
        <xdr:cNvPr id="40" name="Imagem 51" descr="MOS_arg_dec.JPG">
          <a:extLst>
            <a:ext uri="{FF2B5EF4-FFF2-40B4-BE49-F238E27FC236}">
              <a16:creationId xmlns:a16="http://schemas.microsoft.com/office/drawing/2014/main" id="{00000000-0008-0000-0B00-000028000000}"/>
            </a:ext>
          </a:extLst>
        </xdr:cNvPr>
        <xdr:cNvPicPr>
          <a:picLocks noChangeAspect="1"/>
        </xdr:cNvPicPr>
      </xdr:nvPicPr>
      <xdr:blipFill>
        <a:blip xmlns:r="http://schemas.openxmlformats.org/officeDocument/2006/relationships" r:embed="rId7" cstate="print">
          <a:clrChange>
            <a:clrFrom>
              <a:srgbClr val="FFFFFF"/>
            </a:clrFrom>
            <a:clrTo>
              <a:srgbClr val="FFFFFF">
                <a:alpha val="0"/>
              </a:srgbClr>
            </a:clrTo>
          </a:clrChange>
          <a:lum bright="-20000"/>
        </a:blip>
        <a:stretch>
          <a:fillRect/>
        </a:stretch>
      </xdr:blipFill>
      <xdr:spPr>
        <a:xfrm>
          <a:off x="5343528" y="6934200"/>
          <a:ext cx="0" cy="1147114"/>
        </a:xfrm>
        <a:prstGeom prst="rect">
          <a:avLst/>
        </a:prstGeom>
      </xdr:spPr>
    </xdr:pic>
    <xdr:clientData/>
  </xdr:twoCellAnchor>
  <xdr:twoCellAnchor editAs="oneCell">
    <xdr:from>
      <xdr:col>10</xdr:col>
      <xdr:colOff>7938</xdr:colOff>
      <xdr:row>1057</xdr:row>
      <xdr:rowOff>0</xdr:rowOff>
    </xdr:from>
    <xdr:to>
      <xdr:col>10</xdr:col>
      <xdr:colOff>7938</xdr:colOff>
      <xdr:row>1061</xdr:row>
      <xdr:rowOff>1027</xdr:rowOff>
    </xdr:to>
    <xdr:pic>
      <xdr:nvPicPr>
        <xdr:cNvPr id="41" name="Imagem 53" descr="MOS_marg_dec.JPG">
          <a:extLst>
            <a:ext uri="{FF2B5EF4-FFF2-40B4-BE49-F238E27FC236}">
              <a16:creationId xmlns:a16="http://schemas.microsoft.com/office/drawing/2014/main" id="{00000000-0008-0000-0B00-000029000000}"/>
            </a:ext>
          </a:extLst>
        </xdr:cNvPr>
        <xdr:cNvPicPr>
          <a:picLocks noChangeAspect="1"/>
        </xdr:cNvPicPr>
      </xdr:nvPicPr>
      <xdr:blipFill>
        <a:blip xmlns:r="http://schemas.openxmlformats.org/officeDocument/2006/relationships" r:embed="rId8" cstate="print">
          <a:clrChange>
            <a:clrFrom>
              <a:srgbClr val="FFFFFF"/>
            </a:clrFrom>
            <a:clrTo>
              <a:srgbClr val="FFFFFF">
                <a:alpha val="0"/>
              </a:srgbClr>
            </a:clrTo>
          </a:clrChange>
          <a:lum bright="-20000"/>
        </a:blip>
        <a:stretch>
          <a:fillRect/>
        </a:stretch>
      </xdr:blipFill>
      <xdr:spPr>
        <a:xfrm>
          <a:off x="7885113" y="6934200"/>
          <a:ext cx="0" cy="1086877"/>
        </a:xfrm>
        <a:prstGeom prst="rect">
          <a:avLst/>
        </a:prstGeom>
      </xdr:spPr>
    </xdr:pic>
    <xdr:clientData/>
  </xdr:twoCellAnchor>
  <xdr:twoCellAnchor editAs="oneCell">
    <xdr:from>
      <xdr:col>2</xdr:col>
      <xdr:colOff>0</xdr:colOff>
      <xdr:row>1057</xdr:row>
      <xdr:rowOff>0</xdr:rowOff>
    </xdr:from>
    <xdr:to>
      <xdr:col>2</xdr:col>
      <xdr:colOff>0</xdr:colOff>
      <xdr:row>1060</xdr:row>
      <xdr:rowOff>175053</xdr:rowOff>
    </xdr:to>
    <xdr:pic>
      <xdr:nvPicPr>
        <xdr:cNvPr id="42" name="Imagem 73" descr="P_are_cre.JPG">
          <a:extLst>
            <a:ext uri="{FF2B5EF4-FFF2-40B4-BE49-F238E27FC236}">
              <a16:creationId xmlns:a16="http://schemas.microsoft.com/office/drawing/2014/main" id="{00000000-0008-0000-0B00-00002A000000}"/>
            </a:ext>
          </a:extLst>
        </xdr:cNvPr>
        <xdr:cNvPicPr>
          <a:picLocks noChangeAspect="1"/>
        </xdr:cNvPicPr>
      </xdr:nvPicPr>
      <xdr:blipFill>
        <a:blip xmlns:r="http://schemas.openxmlformats.org/officeDocument/2006/relationships" r:embed="rId9" cstate="print">
          <a:clrChange>
            <a:clrFrom>
              <a:srgbClr val="FFFFFF"/>
            </a:clrFrom>
            <a:clrTo>
              <a:srgbClr val="FFFFFF">
                <a:alpha val="0"/>
              </a:srgbClr>
            </a:clrTo>
          </a:clrChange>
          <a:lum bright="-20000"/>
        </a:blip>
        <a:stretch>
          <a:fillRect/>
        </a:stretch>
      </xdr:blipFill>
      <xdr:spPr>
        <a:xfrm>
          <a:off x="381000" y="6934200"/>
          <a:ext cx="0" cy="1235503"/>
        </a:xfrm>
        <a:prstGeom prst="rect">
          <a:avLst/>
        </a:prstGeom>
      </xdr:spPr>
    </xdr:pic>
    <xdr:clientData/>
  </xdr:twoCellAnchor>
  <xdr:twoCellAnchor editAs="oneCell">
    <xdr:from>
      <xdr:col>4</xdr:col>
      <xdr:colOff>0</xdr:colOff>
      <xdr:row>1057</xdr:row>
      <xdr:rowOff>0</xdr:rowOff>
    </xdr:from>
    <xdr:to>
      <xdr:col>4</xdr:col>
      <xdr:colOff>0</xdr:colOff>
      <xdr:row>1061</xdr:row>
      <xdr:rowOff>2280</xdr:rowOff>
    </xdr:to>
    <xdr:pic>
      <xdr:nvPicPr>
        <xdr:cNvPr id="43" name="Imagem 75" descr="P_med_cre.JPG">
          <a:extLst>
            <a:ext uri="{FF2B5EF4-FFF2-40B4-BE49-F238E27FC236}">
              <a16:creationId xmlns:a16="http://schemas.microsoft.com/office/drawing/2014/main" id="{00000000-0008-0000-0B00-00002B000000}"/>
            </a:ext>
          </a:extLst>
        </xdr:cNvPr>
        <xdr:cNvPicPr>
          <a:picLocks noChangeAspect="1"/>
        </xdr:cNvPicPr>
      </xdr:nvPicPr>
      <xdr:blipFill>
        <a:blip xmlns:r="http://schemas.openxmlformats.org/officeDocument/2006/relationships" r:embed="rId10" cstate="print">
          <a:clrChange>
            <a:clrFrom>
              <a:srgbClr val="FFFFFF"/>
            </a:clrFrom>
            <a:clrTo>
              <a:srgbClr val="FFFFFF">
                <a:alpha val="0"/>
              </a:srgbClr>
            </a:clrTo>
          </a:clrChange>
          <a:lum bright="-20000"/>
        </a:blip>
        <a:srcRect t="5306"/>
        <a:stretch>
          <a:fillRect/>
        </a:stretch>
      </xdr:blipFill>
      <xdr:spPr>
        <a:xfrm>
          <a:off x="3124200" y="6934200"/>
          <a:ext cx="0" cy="1221480"/>
        </a:xfrm>
        <a:prstGeom prst="rect">
          <a:avLst/>
        </a:prstGeom>
      </xdr:spPr>
    </xdr:pic>
    <xdr:clientData/>
  </xdr:twoCellAnchor>
  <xdr:twoCellAnchor editAs="oneCell">
    <xdr:from>
      <xdr:col>7</xdr:col>
      <xdr:colOff>15876</xdr:colOff>
      <xdr:row>1057</xdr:row>
      <xdr:rowOff>0</xdr:rowOff>
    </xdr:from>
    <xdr:to>
      <xdr:col>7</xdr:col>
      <xdr:colOff>15876</xdr:colOff>
      <xdr:row>1061</xdr:row>
      <xdr:rowOff>8762</xdr:rowOff>
    </xdr:to>
    <xdr:pic>
      <xdr:nvPicPr>
        <xdr:cNvPr id="44" name="Imagem 77" descr="P_arg_cre.JPG">
          <a:extLst>
            <a:ext uri="{FF2B5EF4-FFF2-40B4-BE49-F238E27FC236}">
              <a16:creationId xmlns:a16="http://schemas.microsoft.com/office/drawing/2014/main" id="{00000000-0008-0000-0B00-00002C000000}"/>
            </a:ext>
          </a:extLst>
        </xdr:cNvPr>
        <xdr:cNvPicPr>
          <a:picLocks noChangeAspect="1"/>
        </xdr:cNvPicPr>
      </xdr:nvPicPr>
      <xdr:blipFill>
        <a:blip xmlns:r="http://schemas.openxmlformats.org/officeDocument/2006/relationships" r:embed="rId11" cstate="print">
          <a:clrChange>
            <a:clrFrom>
              <a:srgbClr val="FFFFFF"/>
            </a:clrFrom>
            <a:clrTo>
              <a:srgbClr val="FFFFFF">
                <a:alpha val="0"/>
              </a:srgbClr>
            </a:clrTo>
          </a:clrChange>
          <a:lum bright="-20000"/>
        </a:blip>
        <a:stretch>
          <a:fillRect/>
        </a:stretch>
      </xdr:blipFill>
      <xdr:spPr>
        <a:xfrm>
          <a:off x="5311776" y="6934200"/>
          <a:ext cx="0" cy="1247012"/>
        </a:xfrm>
        <a:prstGeom prst="rect">
          <a:avLst/>
        </a:prstGeom>
      </xdr:spPr>
    </xdr:pic>
    <xdr:clientData/>
  </xdr:twoCellAnchor>
  <xdr:twoCellAnchor editAs="oneCell">
    <xdr:from>
      <xdr:col>10</xdr:col>
      <xdr:colOff>253977</xdr:colOff>
      <xdr:row>1057</xdr:row>
      <xdr:rowOff>0</xdr:rowOff>
    </xdr:from>
    <xdr:to>
      <xdr:col>10</xdr:col>
      <xdr:colOff>253977</xdr:colOff>
      <xdr:row>1061</xdr:row>
      <xdr:rowOff>21287</xdr:rowOff>
    </xdr:to>
    <xdr:pic>
      <xdr:nvPicPr>
        <xdr:cNvPr id="45" name="Imagem 79" descr="P_marg_cre.JPG">
          <a:extLst>
            <a:ext uri="{FF2B5EF4-FFF2-40B4-BE49-F238E27FC236}">
              <a16:creationId xmlns:a16="http://schemas.microsoft.com/office/drawing/2014/main" id="{00000000-0008-0000-0B00-00002D000000}"/>
            </a:ext>
          </a:extLst>
        </xdr:cNvPr>
        <xdr:cNvPicPr>
          <a:picLocks noChangeAspect="1"/>
        </xdr:cNvPicPr>
      </xdr:nvPicPr>
      <xdr:blipFill>
        <a:blip xmlns:r="http://schemas.openxmlformats.org/officeDocument/2006/relationships" r:embed="rId12" cstate="print">
          <a:clrChange>
            <a:clrFrom>
              <a:srgbClr val="FFFFFF"/>
            </a:clrFrom>
            <a:clrTo>
              <a:srgbClr val="FFFFFF">
                <a:alpha val="0"/>
              </a:srgbClr>
            </a:clrTo>
          </a:clrChange>
          <a:lum bright="-20000"/>
        </a:blip>
        <a:stretch>
          <a:fillRect/>
        </a:stretch>
      </xdr:blipFill>
      <xdr:spPr>
        <a:xfrm>
          <a:off x="8131152" y="6934200"/>
          <a:ext cx="0" cy="1259537"/>
        </a:xfrm>
        <a:prstGeom prst="rect">
          <a:avLst/>
        </a:prstGeom>
      </xdr:spPr>
    </xdr:pic>
    <xdr:clientData/>
  </xdr:twoCellAnchor>
  <xdr:twoCellAnchor editAs="oneCell">
    <xdr:from>
      <xdr:col>2</xdr:col>
      <xdr:colOff>0</xdr:colOff>
      <xdr:row>1057</xdr:row>
      <xdr:rowOff>0</xdr:rowOff>
    </xdr:from>
    <xdr:to>
      <xdr:col>2</xdr:col>
      <xdr:colOff>0</xdr:colOff>
      <xdr:row>1061</xdr:row>
      <xdr:rowOff>118520</xdr:rowOff>
    </xdr:to>
    <xdr:pic>
      <xdr:nvPicPr>
        <xdr:cNvPr id="46" name="Imagem 74" descr="P_are_dec.JPG">
          <a:extLst>
            <a:ext uri="{FF2B5EF4-FFF2-40B4-BE49-F238E27FC236}">
              <a16:creationId xmlns:a16="http://schemas.microsoft.com/office/drawing/2014/main" id="{00000000-0008-0000-0B00-00002E000000}"/>
            </a:ext>
          </a:extLst>
        </xdr:cNvPr>
        <xdr:cNvPicPr>
          <a:picLocks noChangeAspect="1"/>
        </xdr:cNvPicPr>
      </xdr:nvPicPr>
      <xdr:blipFill>
        <a:blip xmlns:r="http://schemas.openxmlformats.org/officeDocument/2006/relationships" r:embed="rId13" cstate="print">
          <a:clrChange>
            <a:clrFrom>
              <a:srgbClr val="FFFFFF"/>
            </a:clrFrom>
            <a:clrTo>
              <a:srgbClr val="FFFFFF">
                <a:alpha val="0"/>
              </a:srgbClr>
            </a:clrTo>
          </a:clrChange>
          <a:lum bright="-20000"/>
        </a:blip>
        <a:stretch>
          <a:fillRect/>
        </a:stretch>
      </xdr:blipFill>
      <xdr:spPr>
        <a:xfrm>
          <a:off x="381000" y="6934200"/>
          <a:ext cx="0" cy="1356770"/>
        </a:xfrm>
        <a:prstGeom prst="rect">
          <a:avLst/>
        </a:prstGeom>
      </xdr:spPr>
    </xdr:pic>
    <xdr:clientData/>
  </xdr:twoCellAnchor>
  <xdr:twoCellAnchor editAs="oneCell">
    <xdr:from>
      <xdr:col>4</xdr:col>
      <xdr:colOff>7938</xdr:colOff>
      <xdr:row>1057</xdr:row>
      <xdr:rowOff>0</xdr:rowOff>
    </xdr:from>
    <xdr:to>
      <xdr:col>4</xdr:col>
      <xdr:colOff>7938</xdr:colOff>
      <xdr:row>1061</xdr:row>
      <xdr:rowOff>176738</xdr:rowOff>
    </xdr:to>
    <xdr:pic>
      <xdr:nvPicPr>
        <xdr:cNvPr id="47" name="Imagem 76" descr="P_med_dec.JPG">
          <a:extLst>
            <a:ext uri="{FF2B5EF4-FFF2-40B4-BE49-F238E27FC236}">
              <a16:creationId xmlns:a16="http://schemas.microsoft.com/office/drawing/2014/main" id="{00000000-0008-0000-0B00-00002F000000}"/>
            </a:ext>
          </a:extLst>
        </xdr:cNvPr>
        <xdr:cNvPicPr>
          <a:picLocks noChangeAspect="1"/>
        </xdr:cNvPicPr>
      </xdr:nvPicPr>
      <xdr:blipFill>
        <a:blip xmlns:r="http://schemas.openxmlformats.org/officeDocument/2006/relationships" r:embed="rId14" cstate="print">
          <a:clrChange>
            <a:clrFrom>
              <a:srgbClr val="FFFFFF"/>
            </a:clrFrom>
            <a:clrTo>
              <a:srgbClr val="FFFFFF">
                <a:alpha val="0"/>
              </a:srgbClr>
            </a:clrTo>
          </a:clrChange>
          <a:lum bright="-20000"/>
        </a:blip>
        <a:stretch>
          <a:fillRect/>
        </a:stretch>
      </xdr:blipFill>
      <xdr:spPr>
        <a:xfrm>
          <a:off x="3132138" y="6934200"/>
          <a:ext cx="0" cy="1446738"/>
        </a:xfrm>
        <a:prstGeom prst="rect">
          <a:avLst/>
        </a:prstGeom>
      </xdr:spPr>
    </xdr:pic>
    <xdr:clientData/>
  </xdr:twoCellAnchor>
  <xdr:twoCellAnchor editAs="oneCell">
    <xdr:from>
      <xdr:col>7</xdr:col>
      <xdr:colOff>277791</xdr:colOff>
      <xdr:row>1057</xdr:row>
      <xdr:rowOff>0</xdr:rowOff>
    </xdr:from>
    <xdr:to>
      <xdr:col>7</xdr:col>
      <xdr:colOff>277791</xdr:colOff>
      <xdr:row>1061</xdr:row>
      <xdr:rowOff>170115</xdr:rowOff>
    </xdr:to>
    <xdr:pic>
      <xdr:nvPicPr>
        <xdr:cNvPr id="48" name="Imagem 78" descr="P_arg_dec.JPG">
          <a:extLst>
            <a:ext uri="{FF2B5EF4-FFF2-40B4-BE49-F238E27FC236}">
              <a16:creationId xmlns:a16="http://schemas.microsoft.com/office/drawing/2014/main" id="{00000000-0008-0000-0B00-000030000000}"/>
            </a:ext>
          </a:extLst>
        </xdr:cNvPr>
        <xdr:cNvPicPr>
          <a:picLocks noChangeAspect="1"/>
        </xdr:cNvPicPr>
      </xdr:nvPicPr>
      <xdr:blipFill>
        <a:blip xmlns:r="http://schemas.openxmlformats.org/officeDocument/2006/relationships" r:embed="rId15" cstate="print">
          <a:clrChange>
            <a:clrFrom>
              <a:srgbClr val="FFFFFF"/>
            </a:clrFrom>
            <a:clrTo>
              <a:srgbClr val="FFFFFF">
                <a:alpha val="0"/>
              </a:srgbClr>
            </a:clrTo>
          </a:clrChange>
          <a:lum bright="-20000"/>
        </a:blip>
        <a:stretch>
          <a:fillRect/>
        </a:stretch>
      </xdr:blipFill>
      <xdr:spPr>
        <a:xfrm>
          <a:off x="5573691" y="6934200"/>
          <a:ext cx="0" cy="1408365"/>
        </a:xfrm>
        <a:prstGeom prst="rect">
          <a:avLst/>
        </a:prstGeom>
      </xdr:spPr>
    </xdr:pic>
    <xdr:clientData/>
  </xdr:twoCellAnchor>
  <xdr:twoCellAnchor editAs="oneCell">
    <xdr:from>
      <xdr:col>10</xdr:col>
      <xdr:colOff>404799</xdr:colOff>
      <xdr:row>1057</xdr:row>
      <xdr:rowOff>0</xdr:rowOff>
    </xdr:from>
    <xdr:to>
      <xdr:col>10</xdr:col>
      <xdr:colOff>404799</xdr:colOff>
      <xdr:row>1062</xdr:row>
      <xdr:rowOff>395</xdr:rowOff>
    </xdr:to>
    <xdr:pic>
      <xdr:nvPicPr>
        <xdr:cNvPr id="49" name="Imagem 80" descr="P_marg_dec.JPG">
          <a:extLst>
            <a:ext uri="{FF2B5EF4-FFF2-40B4-BE49-F238E27FC236}">
              <a16:creationId xmlns:a16="http://schemas.microsoft.com/office/drawing/2014/main" id="{00000000-0008-0000-0B00-000031000000}"/>
            </a:ext>
          </a:extLst>
        </xdr:cNvPr>
        <xdr:cNvPicPr>
          <a:picLocks noChangeAspect="1"/>
        </xdr:cNvPicPr>
      </xdr:nvPicPr>
      <xdr:blipFill>
        <a:blip xmlns:r="http://schemas.openxmlformats.org/officeDocument/2006/relationships" r:embed="rId16" cstate="print">
          <a:clrChange>
            <a:clrFrom>
              <a:srgbClr val="FFFFFF"/>
            </a:clrFrom>
            <a:clrTo>
              <a:srgbClr val="FFFFFF">
                <a:alpha val="0"/>
              </a:srgbClr>
            </a:clrTo>
          </a:clrChange>
          <a:lum bright="-20000"/>
        </a:blip>
        <a:stretch>
          <a:fillRect/>
        </a:stretch>
      </xdr:blipFill>
      <xdr:spPr>
        <a:xfrm>
          <a:off x="8281974" y="6934200"/>
          <a:ext cx="0" cy="1486295"/>
        </a:xfrm>
        <a:prstGeom prst="rect">
          <a:avLst/>
        </a:prstGeom>
      </xdr:spPr>
    </xdr:pic>
    <xdr:clientData/>
  </xdr:twoCellAnchor>
  <xdr:twoCellAnchor editAs="oneCell">
    <xdr:from>
      <xdr:col>2</xdr:col>
      <xdr:colOff>3</xdr:colOff>
      <xdr:row>1057</xdr:row>
      <xdr:rowOff>0</xdr:rowOff>
    </xdr:from>
    <xdr:to>
      <xdr:col>2</xdr:col>
      <xdr:colOff>3</xdr:colOff>
      <xdr:row>1061</xdr:row>
      <xdr:rowOff>122464</xdr:rowOff>
    </xdr:to>
    <xdr:pic>
      <xdr:nvPicPr>
        <xdr:cNvPr id="50" name="Imagem 54" descr="Ca_cre.JPG">
          <a:extLst>
            <a:ext uri="{FF2B5EF4-FFF2-40B4-BE49-F238E27FC236}">
              <a16:creationId xmlns:a16="http://schemas.microsoft.com/office/drawing/2014/main" id="{00000000-0008-0000-0B00-000032000000}"/>
            </a:ext>
          </a:extLst>
        </xdr:cNvPr>
        <xdr:cNvPicPr>
          <a:picLocks noChangeAspect="1"/>
        </xdr:cNvPicPr>
      </xdr:nvPicPr>
      <xdr:blipFill>
        <a:blip xmlns:r="http://schemas.openxmlformats.org/officeDocument/2006/relationships" r:embed="rId17" cstate="print">
          <a:clrChange>
            <a:clrFrom>
              <a:srgbClr val="FFFFFF"/>
            </a:clrFrom>
            <a:clrTo>
              <a:srgbClr val="FFFFFF">
                <a:alpha val="0"/>
              </a:srgbClr>
            </a:clrTo>
          </a:clrChange>
          <a:lum bright="-20000"/>
        </a:blip>
        <a:srcRect l="7404" t="30161" r="15121" b="26953"/>
        <a:stretch>
          <a:fillRect/>
        </a:stretch>
      </xdr:blipFill>
      <xdr:spPr>
        <a:xfrm>
          <a:off x="381003" y="6934200"/>
          <a:ext cx="0" cy="1360714"/>
        </a:xfrm>
        <a:prstGeom prst="rect">
          <a:avLst/>
        </a:prstGeom>
      </xdr:spPr>
    </xdr:pic>
    <xdr:clientData/>
  </xdr:twoCellAnchor>
  <xdr:twoCellAnchor editAs="oneCell">
    <xdr:from>
      <xdr:col>4</xdr:col>
      <xdr:colOff>276962</xdr:colOff>
      <xdr:row>1057</xdr:row>
      <xdr:rowOff>0</xdr:rowOff>
    </xdr:from>
    <xdr:to>
      <xdr:col>4</xdr:col>
      <xdr:colOff>276962</xdr:colOff>
      <xdr:row>1061</xdr:row>
      <xdr:rowOff>92871</xdr:rowOff>
    </xdr:to>
    <xdr:pic>
      <xdr:nvPicPr>
        <xdr:cNvPr id="51" name="Imagem 55" descr="Ca_dec.JPG">
          <a:extLst>
            <a:ext uri="{FF2B5EF4-FFF2-40B4-BE49-F238E27FC236}">
              <a16:creationId xmlns:a16="http://schemas.microsoft.com/office/drawing/2014/main" id="{00000000-0008-0000-0B00-000033000000}"/>
            </a:ext>
          </a:extLst>
        </xdr:cNvPr>
        <xdr:cNvPicPr>
          <a:picLocks noChangeAspect="1"/>
        </xdr:cNvPicPr>
      </xdr:nvPicPr>
      <xdr:blipFill>
        <a:blip xmlns:r="http://schemas.openxmlformats.org/officeDocument/2006/relationships" r:embed="rId18" cstate="print">
          <a:clrChange>
            <a:clrFrom>
              <a:srgbClr val="FFFFFF"/>
            </a:clrFrom>
            <a:clrTo>
              <a:srgbClr val="FFFFFF">
                <a:alpha val="0"/>
              </a:srgbClr>
            </a:clrTo>
          </a:clrChange>
          <a:lum bright="-20000"/>
        </a:blip>
        <a:stretch>
          <a:fillRect/>
        </a:stretch>
      </xdr:blipFill>
      <xdr:spPr>
        <a:xfrm>
          <a:off x="3401162" y="6934200"/>
          <a:ext cx="0" cy="1331121"/>
        </a:xfrm>
        <a:prstGeom prst="rect">
          <a:avLst/>
        </a:prstGeom>
      </xdr:spPr>
    </xdr:pic>
    <xdr:clientData/>
  </xdr:twoCellAnchor>
  <xdr:twoCellAnchor editAs="oneCell">
    <xdr:from>
      <xdr:col>2</xdr:col>
      <xdr:colOff>0</xdr:colOff>
      <xdr:row>1057</xdr:row>
      <xdr:rowOff>0</xdr:rowOff>
    </xdr:from>
    <xdr:to>
      <xdr:col>2</xdr:col>
      <xdr:colOff>0</xdr:colOff>
      <xdr:row>1061</xdr:row>
      <xdr:rowOff>85902</xdr:rowOff>
    </xdr:to>
    <xdr:pic>
      <xdr:nvPicPr>
        <xdr:cNvPr id="52" name="Imagem 60" descr="Mg_cre.JPG">
          <a:extLst>
            <a:ext uri="{FF2B5EF4-FFF2-40B4-BE49-F238E27FC236}">
              <a16:creationId xmlns:a16="http://schemas.microsoft.com/office/drawing/2014/main" id="{00000000-0008-0000-0B00-000034000000}"/>
            </a:ext>
          </a:extLst>
        </xdr:cNvPr>
        <xdr:cNvPicPr>
          <a:picLocks noChangeAspect="1"/>
        </xdr:cNvPicPr>
      </xdr:nvPicPr>
      <xdr:blipFill>
        <a:blip xmlns:r="http://schemas.openxmlformats.org/officeDocument/2006/relationships" r:embed="rId19" cstate="print">
          <a:clrChange>
            <a:clrFrom>
              <a:srgbClr val="FFFFFF"/>
            </a:clrFrom>
            <a:clrTo>
              <a:srgbClr val="FFFFFF">
                <a:alpha val="0"/>
              </a:srgbClr>
            </a:clrTo>
          </a:clrChange>
          <a:lum bright="-20000"/>
        </a:blip>
        <a:stretch>
          <a:fillRect/>
        </a:stretch>
      </xdr:blipFill>
      <xdr:spPr>
        <a:xfrm>
          <a:off x="381000" y="6934200"/>
          <a:ext cx="0" cy="1324152"/>
        </a:xfrm>
        <a:prstGeom prst="rect">
          <a:avLst/>
        </a:prstGeom>
      </xdr:spPr>
    </xdr:pic>
    <xdr:clientData/>
  </xdr:twoCellAnchor>
  <xdr:twoCellAnchor editAs="oneCell">
    <xdr:from>
      <xdr:col>4</xdr:col>
      <xdr:colOff>312664</xdr:colOff>
      <xdr:row>1057</xdr:row>
      <xdr:rowOff>0</xdr:rowOff>
    </xdr:from>
    <xdr:to>
      <xdr:col>4</xdr:col>
      <xdr:colOff>312664</xdr:colOff>
      <xdr:row>1061</xdr:row>
      <xdr:rowOff>100141</xdr:rowOff>
    </xdr:to>
    <xdr:pic>
      <xdr:nvPicPr>
        <xdr:cNvPr id="53" name="Imagem 61" descr="Mg_dec.JPG">
          <a:extLst>
            <a:ext uri="{FF2B5EF4-FFF2-40B4-BE49-F238E27FC236}">
              <a16:creationId xmlns:a16="http://schemas.microsoft.com/office/drawing/2014/main" id="{00000000-0008-0000-0B00-000035000000}"/>
            </a:ext>
          </a:extLst>
        </xdr:cNvPr>
        <xdr:cNvPicPr>
          <a:picLocks noChangeAspect="1"/>
        </xdr:cNvPicPr>
      </xdr:nvPicPr>
      <xdr:blipFill>
        <a:blip xmlns:r="http://schemas.openxmlformats.org/officeDocument/2006/relationships" r:embed="rId20" cstate="print">
          <a:clrChange>
            <a:clrFrom>
              <a:srgbClr val="FFFFFF"/>
            </a:clrFrom>
            <a:clrTo>
              <a:srgbClr val="FFFFFF">
                <a:alpha val="0"/>
              </a:srgbClr>
            </a:clrTo>
          </a:clrChange>
          <a:lum bright="-20000"/>
        </a:blip>
        <a:stretch>
          <a:fillRect/>
        </a:stretch>
      </xdr:blipFill>
      <xdr:spPr>
        <a:xfrm>
          <a:off x="3413581" y="234336167"/>
          <a:ext cx="0" cy="819807"/>
        </a:xfrm>
        <a:prstGeom prst="rect">
          <a:avLst/>
        </a:prstGeom>
      </xdr:spPr>
    </xdr:pic>
    <xdr:clientData/>
  </xdr:twoCellAnchor>
  <xdr:twoCellAnchor editAs="oneCell">
    <xdr:from>
      <xdr:col>2</xdr:col>
      <xdr:colOff>19844</xdr:colOff>
      <xdr:row>1057</xdr:row>
      <xdr:rowOff>0</xdr:rowOff>
    </xdr:from>
    <xdr:to>
      <xdr:col>2</xdr:col>
      <xdr:colOff>19844</xdr:colOff>
      <xdr:row>1061</xdr:row>
      <xdr:rowOff>135877</xdr:rowOff>
    </xdr:to>
    <xdr:pic>
      <xdr:nvPicPr>
        <xdr:cNvPr id="54" name="Imagem 62" descr="K_cres.JPG">
          <a:extLst>
            <a:ext uri="{FF2B5EF4-FFF2-40B4-BE49-F238E27FC236}">
              <a16:creationId xmlns:a16="http://schemas.microsoft.com/office/drawing/2014/main" id="{00000000-0008-0000-0B00-000036000000}"/>
            </a:ext>
          </a:extLst>
        </xdr:cNvPr>
        <xdr:cNvPicPr>
          <a:picLocks noChangeAspect="1"/>
        </xdr:cNvPicPr>
      </xdr:nvPicPr>
      <xdr:blipFill>
        <a:blip xmlns:r="http://schemas.openxmlformats.org/officeDocument/2006/relationships" r:embed="rId33" cstate="print">
          <a:clrChange>
            <a:clrFrom>
              <a:srgbClr val="FFFFFF"/>
            </a:clrFrom>
            <a:clrTo>
              <a:srgbClr val="FFFFFF">
                <a:alpha val="0"/>
              </a:srgbClr>
            </a:clrTo>
          </a:clrChange>
          <a:lum bright="-20000"/>
        </a:blip>
        <a:stretch>
          <a:fillRect/>
        </a:stretch>
      </xdr:blipFill>
      <xdr:spPr>
        <a:xfrm>
          <a:off x="400844" y="6934200"/>
          <a:ext cx="0" cy="1374127"/>
        </a:xfrm>
        <a:prstGeom prst="rect">
          <a:avLst/>
        </a:prstGeom>
      </xdr:spPr>
    </xdr:pic>
    <xdr:clientData/>
  </xdr:twoCellAnchor>
  <xdr:twoCellAnchor editAs="oneCell">
    <xdr:from>
      <xdr:col>4</xdr:col>
      <xdr:colOff>321037</xdr:colOff>
      <xdr:row>1057</xdr:row>
      <xdr:rowOff>0</xdr:rowOff>
    </xdr:from>
    <xdr:to>
      <xdr:col>4</xdr:col>
      <xdr:colOff>321037</xdr:colOff>
      <xdr:row>1061</xdr:row>
      <xdr:rowOff>77392</xdr:rowOff>
    </xdr:to>
    <xdr:pic>
      <xdr:nvPicPr>
        <xdr:cNvPr id="55" name="Imagem 64" descr="K_dec.JPG">
          <a:extLst>
            <a:ext uri="{FF2B5EF4-FFF2-40B4-BE49-F238E27FC236}">
              <a16:creationId xmlns:a16="http://schemas.microsoft.com/office/drawing/2014/main" id="{00000000-0008-0000-0B00-000037000000}"/>
            </a:ext>
          </a:extLst>
        </xdr:cNvPr>
        <xdr:cNvPicPr>
          <a:picLocks noChangeAspect="1"/>
        </xdr:cNvPicPr>
      </xdr:nvPicPr>
      <xdr:blipFill>
        <a:blip xmlns:r="http://schemas.openxmlformats.org/officeDocument/2006/relationships" r:embed="rId22" cstate="print">
          <a:clrChange>
            <a:clrFrom>
              <a:srgbClr val="FFFFFF"/>
            </a:clrFrom>
            <a:clrTo>
              <a:srgbClr val="FFFFFF">
                <a:alpha val="0"/>
              </a:srgbClr>
            </a:clrTo>
          </a:clrChange>
          <a:lum bright="-20000"/>
        </a:blip>
        <a:stretch>
          <a:fillRect/>
        </a:stretch>
      </xdr:blipFill>
      <xdr:spPr>
        <a:xfrm>
          <a:off x="3445237" y="6934200"/>
          <a:ext cx="0" cy="1315642"/>
        </a:xfrm>
        <a:prstGeom prst="rect">
          <a:avLst/>
        </a:prstGeom>
      </xdr:spPr>
    </xdr:pic>
    <xdr:clientData/>
  </xdr:twoCellAnchor>
  <xdr:twoCellAnchor editAs="oneCell">
    <xdr:from>
      <xdr:col>2</xdr:col>
      <xdr:colOff>71439</xdr:colOff>
      <xdr:row>1057</xdr:row>
      <xdr:rowOff>0</xdr:rowOff>
    </xdr:from>
    <xdr:to>
      <xdr:col>2</xdr:col>
      <xdr:colOff>71439</xdr:colOff>
      <xdr:row>1061</xdr:row>
      <xdr:rowOff>96079</xdr:rowOff>
    </xdr:to>
    <xdr:pic>
      <xdr:nvPicPr>
        <xdr:cNvPr id="56" name="Imagem 38" descr="pH_cres.JPG">
          <a:extLst>
            <a:ext uri="{FF2B5EF4-FFF2-40B4-BE49-F238E27FC236}">
              <a16:creationId xmlns:a16="http://schemas.microsoft.com/office/drawing/2014/main" id="{00000000-0008-0000-0B00-000038000000}"/>
            </a:ext>
          </a:extLst>
        </xdr:cNvPr>
        <xdr:cNvPicPr>
          <a:picLocks noChangeAspect="1"/>
        </xdr:cNvPicPr>
      </xdr:nvPicPr>
      <xdr:blipFill>
        <a:blip xmlns:r="http://schemas.openxmlformats.org/officeDocument/2006/relationships" r:embed="rId23" cstate="print">
          <a:clrChange>
            <a:clrFrom>
              <a:srgbClr val="FFFFFF"/>
            </a:clrFrom>
            <a:clrTo>
              <a:srgbClr val="FFFFFF">
                <a:alpha val="0"/>
              </a:srgbClr>
            </a:clrTo>
          </a:clrChange>
          <a:lum bright="-20000"/>
        </a:blip>
        <a:stretch>
          <a:fillRect/>
        </a:stretch>
      </xdr:blipFill>
      <xdr:spPr>
        <a:xfrm>
          <a:off x="452439" y="6934200"/>
          <a:ext cx="0" cy="1334329"/>
        </a:xfrm>
        <a:prstGeom prst="rect">
          <a:avLst/>
        </a:prstGeom>
      </xdr:spPr>
    </xdr:pic>
    <xdr:clientData/>
  </xdr:twoCellAnchor>
  <xdr:twoCellAnchor editAs="oneCell">
    <xdr:from>
      <xdr:col>4</xdr:col>
      <xdr:colOff>404813</xdr:colOff>
      <xdr:row>1057</xdr:row>
      <xdr:rowOff>0</xdr:rowOff>
    </xdr:from>
    <xdr:to>
      <xdr:col>4</xdr:col>
      <xdr:colOff>404813</xdr:colOff>
      <xdr:row>1061</xdr:row>
      <xdr:rowOff>47625</xdr:rowOff>
    </xdr:to>
    <xdr:pic>
      <xdr:nvPicPr>
        <xdr:cNvPr id="57" name="Imagem 37" descr="pH_dec.JPG">
          <a:extLst>
            <a:ext uri="{FF2B5EF4-FFF2-40B4-BE49-F238E27FC236}">
              <a16:creationId xmlns:a16="http://schemas.microsoft.com/office/drawing/2014/main" id="{00000000-0008-0000-0B00-000039000000}"/>
            </a:ext>
          </a:extLst>
        </xdr:cNvPr>
        <xdr:cNvPicPr>
          <a:picLocks noChangeAspect="1"/>
        </xdr:cNvPicPr>
      </xdr:nvPicPr>
      <xdr:blipFill>
        <a:blip xmlns:r="http://schemas.openxmlformats.org/officeDocument/2006/relationships" r:embed="rId24" cstate="print">
          <a:clrChange>
            <a:clrFrom>
              <a:srgbClr val="FFFFFF"/>
            </a:clrFrom>
            <a:clrTo>
              <a:srgbClr val="FFFFFF">
                <a:alpha val="0"/>
              </a:srgbClr>
            </a:clrTo>
          </a:clrChange>
          <a:lum bright="-20000"/>
        </a:blip>
        <a:stretch>
          <a:fillRect/>
        </a:stretch>
      </xdr:blipFill>
      <xdr:spPr>
        <a:xfrm>
          <a:off x="3529013" y="6934200"/>
          <a:ext cx="0" cy="1285875"/>
        </a:xfrm>
        <a:prstGeom prst="rect">
          <a:avLst/>
        </a:prstGeom>
      </xdr:spPr>
    </xdr:pic>
    <xdr:clientData/>
  </xdr:twoCellAnchor>
  <xdr:twoCellAnchor editAs="oneCell">
    <xdr:from>
      <xdr:col>2</xdr:col>
      <xdr:colOff>9921</xdr:colOff>
      <xdr:row>1057</xdr:row>
      <xdr:rowOff>0</xdr:rowOff>
    </xdr:from>
    <xdr:to>
      <xdr:col>2</xdr:col>
      <xdr:colOff>9921</xdr:colOff>
      <xdr:row>1061</xdr:row>
      <xdr:rowOff>94394</xdr:rowOff>
    </xdr:to>
    <xdr:pic>
      <xdr:nvPicPr>
        <xdr:cNvPr id="58" name="Imagem 91" descr="Al_parte I.JPG">
          <a:extLst>
            <a:ext uri="{FF2B5EF4-FFF2-40B4-BE49-F238E27FC236}">
              <a16:creationId xmlns:a16="http://schemas.microsoft.com/office/drawing/2014/main" id="{00000000-0008-0000-0B00-00003A000000}"/>
            </a:ext>
          </a:extLst>
        </xdr:cNvPr>
        <xdr:cNvPicPr>
          <a:picLocks noChangeAspect="1"/>
        </xdr:cNvPicPr>
      </xdr:nvPicPr>
      <xdr:blipFill>
        <a:blip xmlns:r="http://schemas.openxmlformats.org/officeDocument/2006/relationships" r:embed="rId25" cstate="print">
          <a:clrChange>
            <a:clrFrom>
              <a:srgbClr val="FFFFFF"/>
            </a:clrFrom>
            <a:clrTo>
              <a:srgbClr val="FFFFFF">
                <a:alpha val="0"/>
              </a:srgbClr>
            </a:clrTo>
          </a:clrChange>
          <a:lum bright="-20000"/>
        </a:blip>
        <a:stretch>
          <a:fillRect/>
        </a:stretch>
      </xdr:blipFill>
      <xdr:spPr>
        <a:xfrm>
          <a:off x="390921" y="6934200"/>
          <a:ext cx="0" cy="1332644"/>
        </a:xfrm>
        <a:prstGeom prst="rect">
          <a:avLst/>
        </a:prstGeom>
      </xdr:spPr>
    </xdr:pic>
    <xdr:clientData/>
  </xdr:twoCellAnchor>
  <xdr:twoCellAnchor editAs="oneCell">
    <xdr:from>
      <xdr:col>4</xdr:col>
      <xdr:colOff>506069</xdr:colOff>
      <xdr:row>1057</xdr:row>
      <xdr:rowOff>0</xdr:rowOff>
    </xdr:from>
    <xdr:to>
      <xdr:col>5</xdr:col>
      <xdr:colOff>1244</xdr:colOff>
      <xdr:row>1061</xdr:row>
      <xdr:rowOff>126603</xdr:rowOff>
    </xdr:to>
    <xdr:pic>
      <xdr:nvPicPr>
        <xdr:cNvPr id="59" name="Imagem 92" descr="Al_parte II.JPG">
          <a:extLst>
            <a:ext uri="{FF2B5EF4-FFF2-40B4-BE49-F238E27FC236}">
              <a16:creationId xmlns:a16="http://schemas.microsoft.com/office/drawing/2014/main" id="{00000000-0008-0000-0B00-00003B000000}"/>
            </a:ext>
          </a:extLst>
        </xdr:cNvPr>
        <xdr:cNvPicPr>
          <a:picLocks noChangeAspect="1"/>
        </xdr:cNvPicPr>
      </xdr:nvPicPr>
      <xdr:blipFill>
        <a:blip xmlns:r="http://schemas.openxmlformats.org/officeDocument/2006/relationships" r:embed="rId26" cstate="print">
          <a:clrChange>
            <a:clrFrom>
              <a:srgbClr val="FFFFFF"/>
            </a:clrFrom>
            <a:clrTo>
              <a:srgbClr val="FFFFFF">
                <a:alpha val="0"/>
              </a:srgbClr>
            </a:clrTo>
          </a:clrChange>
          <a:lum bright="-20000"/>
        </a:blip>
        <a:stretch>
          <a:fillRect/>
        </a:stretch>
      </xdr:blipFill>
      <xdr:spPr>
        <a:xfrm>
          <a:off x="3630269" y="6934200"/>
          <a:ext cx="0" cy="1364853"/>
        </a:xfrm>
        <a:prstGeom prst="rect">
          <a:avLst/>
        </a:prstGeom>
      </xdr:spPr>
    </xdr:pic>
    <xdr:clientData/>
  </xdr:twoCellAnchor>
  <xdr:twoCellAnchor editAs="oneCell">
    <xdr:from>
      <xdr:col>2</xdr:col>
      <xdr:colOff>4537</xdr:colOff>
      <xdr:row>1057</xdr:row>
      <xdr:rowOff>0</xdr:rowOff>
    </xdr:from>
    <xdr:to>
      <xdr:col>2</xdr:col>
      <xdr:colOff>4537</xdr:colOff>
      <xdr:row>1061</xdr:row>
      <xdr:rowOff>87313</xdr:rowOff>
    </xdr:to>
    <xdr:pic>
      <xdr:nvPicPr>
        <xdr:cNvPr id="60" name="Imagem 93" descr="CTC_parteI.JPG">
          <a:extLst>
            <a:ext uri="{FF2B5EF4-FFF2-40B4-BE49-F238E27FC236}">
              <a16:creationId xmlns:a16="http://schemas.microsoft.com/office/drawing/2014/main" id="{00000000-0008-0000-0B00-00003C000000}"/>
            </a:ext>
          </a:extLst>
        </xdr:cNvPr>
        <xdr:cNvPicPr>
          <a:picLocks noChangeAspect="1"/>
        </xdr:cNvPicPr>
      </xdr:nvPicPr>
      <xdr:blipFill>
        <a:blip xmlns:r="http://schemas.openxmlformats.org/officeDocument/2006/relationships" r:embed="rId27" cstate="print">
          <a:clrChange>
            <a:clrFrom>
              <a:srgbClr val="FFFFFF"/>
            </a:clrFrom>
            <a:clrTo>
              <a:srgbClr val="FFFFFF">
                <a:alpha val="0"/>
              </a:srgbClr>
            </a:clrTo>
          </a:clrChange>
          <a:lum bright="-20000"/>
        </a:blip>
        <a:stretch>
          <a:fillRect/>
        </a:stretch>
      </xdr:blipFill>
      <xdr:spPr>
        <a:xfrm>
          <a:off x="385537" y="6934200"/>
          <a:ext cx="0" cy="1325563"/>
        </a:xfrm>
        <a:prstGeom prst="rect">
          <a:avLst/>
        </a:prstGeom>
      </xdr:spPr>
    </xdr:pic>
    <xdr:clientData/>
  </xdr:twoCellAnchor>
  <xdr:twoCellAnchor editAs="oneCell">
    <xdr:from>
      <xdr:col>4</xdr:col>
      <xdr:colOff>535780</xdr:colOff>
      <xdr:row>1057</xdr:row>
      <xdr:rowOff>0</xdr:rowOff>
    </xdr:from>
    <xdr:to>
      <xdr:col>5</xdr:col>
      <xdr:colOff>2380</xdr:colOff>
      <xdr:row>1061</xdr:row>
      <xdr:rowOff>94680</xdr:rowOff>
    </xdr:to>
    <xdr:pic>
      <xdr:nvPicPr>
        <xdr:cNvPr id="61" name="Imagem 94" descr="CTC_parteII.JPG">
          <a:extLst>
            <a:ext uri="{FF2B5EF4-FFF2-40B4-BE49-F238E27FC236}">
              <a16:creationId xmlns:a16="http://schemas.microsoft.com/office/drawing/2014/main" id="{00000000-0008-0000-0B00-00003D000000}"/>
            </a:ext>
          </a:extLst>
        </xdr:cNvPr>
        <xdr:cNvPicPr>
          <a:picLocks noChangeAspect="1"/>
        </xdr:cNvPicPr>
      </xdr:nvPicPr>
      <xdr:blipFill>
        <a:blip xmlns:r="http://schemas.openxmlformats.org/officeDocument/2006/relationships" r:embed="rId34" cstate="print">
          <a:clrChange>
            <a:clrFrom>
              <a:srgbClr val="FFFFFF"/>
            </a:clrFrom>
            <a:clrTo>
              <a:srgbClr val="FFFFFF">
                <a:alpha val="0"/>
              </a:srgbClr>
            </a:clrTo>
          </a:clrChange>
          <a:lum bright="-20000"/>
        </a:blip>
        <a:stretch>
          <a:fillRect/>
        </a:stretch>
      </xdr:blipFill>
      <xdr:spPr>
        <a:xfrm>
          <a:off x="3659980" y="6934200"/>
          <a:ext cx="0" cy="1332930"/>
        </a:xfrm>
        <a:prstGeom prst="rect">
          <a:avLst/>
        </a:prstGeom>
      </xdr:spPr>
    </xdr:pic>
    <xdr:clientData/>
  </xdr:twoCellAnchor>
  <xdr:twoCellAnchor editAs="oneCell">
    <xdr:from>
      <xdr:col>4</xdr:col>
      <xdr:colOff>644923</xdr:colOff>
      <xdr:row>1057</xdr:row>
      <xdr:rowOff>0</xdr:rowOff>
    </xdr:from>
    <xdr:to>
      <xdr:col>5</xdr:col>
      <xdr:colOff>62840</xdr:colOff>
      <xdr:row>1061</xdr:row>
      <xdr:rowOff>72115</xdr:rowOff>
    </xdr:to>
    <xdr:pic>
      <xdr:nvPicPr>
        <xdr:cNvPr id="63" name="Imagem 98" descr="SB_parteII.JPG">
          <a:extLst>
            <a:ext uri="{FF2B5EF4-FFF2-40B4-BE49-F238E27FC236}">
              <a16:creationId xmlns:a16="http://schemas.microsoft.com/office/drawing/2014/main" id="{00000000-0008-0000-0B00-00003F000000}"/>
            </a:ext>
          </a:extLst>
        </xdr:cNvPr>
        <xdr:cNvPicPr>
          <a:picLocks noChangeAspect="1"/>
        </xdr:cNvPicPr>
      </xdr:nvPicPr>
      <xdr:blipFill>
        <a:blip xmlns:r="http://schemas.openxmlformats.org/officeDocument/2006/relationships" r:embed="rId30" cstate="print">
          <a:clrChange>
            <a:clrFrom>
              <a:srgbClr val="FFFFFF"/>
            </a:clrFrom>
            <a:clrTo>
              <a:srgbClr val="FFFFFF">
                <a:alpha val="0"/>
              </a:srgbClr>
            </a:clrTo>
          </a:clrChange>
          <a:lum bright="-20000"/>
        </a:blip>
        <a:stretch>
          <a:fillRect/>
        </a:stretch>
      </xdr:blipFill>
      <xdr:spPr>
        <a:xfrm>
          <a:off x="3731023" y="6934200"/>
          <a:ext cx="0" cy="1310365"/>
        </a:xfrm>
        <a:prstGeom prst="rect">
          <a:avLst/>
        </a:prstGeom>
      </xdr:spPr>
    </xdr:pic>
    <xdr:clientData/>
  </xdr:twoCellAnchor>
  <xdr:twoCellAnchor editAs="oneCell">
    <xdr:from>
      <xdr:col>2</xdr:col>
      <xdr:colOff>0</xdr:colOff>
      <xdr:row>1079</xdr:row>
      <xdr:rowOff>0</xdr:rowOff>
    </xdr:from>
    <xdr:to>
      <xdr:col>2</xdr:col>
      <xdr:colOff>0</xdr:colOff>
      <xdr:row>1083</xdr:row>
      <xdr:rowOff>3066</xdr:rowOff>
    </xdr:to>
    <xdr:pic>
      <xdr:nvPicPr>
        <xdr:cNvPr id="64" name="Imagem 43" descr="MOS_are_cres.JPG">
          <a:extLst>
            <a:ext uri="{FF2B5EF4-FFF2-40B4-BE49-F238E27FC236}">
              <a16:creationId xmlns:a16="http://schemas.microsoft.com/office/drawing/2014/main" id="{00000000-0008-0000-0B00-000040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lum bright="-20000"/>
        </a:blip>
        <a:stretch>
          <a:fillRect/>
        </a:stretch>
      </xdr:blipFill>
      <xdr:spPr>
        <a:xfrm>
          <a:off x="381000" y="12782550"/>
          <a:ext cx="0" cy="1079391"/>
        </a:xfrm>
        <a:prstGeom prst="rect">
          <a:avLst/>
        </a:prstGeom>
        <a:solidFill>
          <a:schemeClr val="bg1"/>
        </a:solidFill>
      </xdr:spPr>
    </xdr:pic>
    <xdr:clientData/>
  </xdr:twoCellAnchor>
  <xdr:twoCellAnchor editAs="oneCell">
    <xdr:from>
      <xdr:col>2</xdr:col>
      <xdr:colOff>15876</xdr:colOff>
      <xdr:row>1079</xdr:row>
      <xdr:rowOff>0</xdr:rowOff>
    </xdr:from>
    <xdr:to>
      <xdr:col>2</xdr:col>
      <xdr:colOff>15876</xdr:colOff>
      <xdr:row>1083</xdr:row>
      <xdr:rowOff>1819</xdr:rowOff>
    </xdr:to>
    <xdr:pic>
      <xdr:nvPicPr>
        <xdr:cNvPr id="65" name="Imagem 44" descr="MOS_are_dec.JPG">
          <a:extLst>
            <a:ext uri="{FF2B5EF4-FFF2-40B4-BE49-F238E27FC236}">
              <a16:creationId xmlns:a16="http://schemas.microsoft.com/office/drawing/2014/main" id="{00000000-0008-0000-0B00-000041000000}"/>
            </a:ext>
          </a:extLst>
        </xdr:cNvPr>
        <xdr:cNvPicPr>
          <a:picLocks noChangeAspect="1"/>
        </xdr:cNvPicPr>
      </xdr:nvPicPr>
      <xdr:blipFill>
        <a:blip xmlns:r="http://schemas.openxmlformats.org/officeDocument/2006/relationships" r:embed="rId5" cstate="print">
          <a:clrChange>
            <a:clrFrom>
              <a:srgbClr val="FFFFFF"/>
            </a:clrFrom>
            <a:clrTo>
              <a:srgbClr val="FFFFFF">
                <a:alpha val="0"/>
              </a:srgbClr>
            </a:clrTo>
          </a:clrChange>
          <a:lum bright="-20000"/>
        </a:blip>
        <a:stretch>
          <a:fillRect/>
        </a:stretch>
      </xdr:blipFill>
      <xdr:spPr>
        <a:xfrm>
          <a:off x="396876" y="12782550"/>
          <a:ext cx="0" cy="1163869"/>
        </a:xfrm>
        <a:prstGeom prst="rect">
          <a:avLst/>
        </a:prstGeom>
      </xdr:spPr>
    </xdr:pic>
    <xdr:clientData/>
  </xdr:twoCellAnchor>
  <xdr:twoCellAnchor editAs="oneCell">
    <xdr:from>
      <xdr:col>2</xdr:col>
      <xdr:colOff>0</xdr:colOff>
      <xdr:row>1079</xdr:row>
      <xdr:rowOff>0</xdr:rowOff>
    </xdr:from>
    <xdr:to>
      <xdr:col>2</xdr:col>
      <xdr:colOff>0</xdr:colOff>
      <xdr:row>1082</xdr:row>
      <xdr:rowOff>176640</xdr:rowOff>
    </xdr:to>
    <xdr:pic>
      <xdr:nvPicPr>
        <xdr:cNvPr id="66" name="Imagem 73" descr="P_are_cre.JPG">
          <a:extLst>
            <a:ext uri="{FF2B5EF4-FFF2-40B4-BE49-F238E27FC236}">
              <a16:creationId xmlns:a16="http://schemas.microsoft.com/office/drawing/2014/main" id="{00000000-0008-0000-0B00-000042000000}"/>
            </a:ext>
          </a:extLst>
        </xdr:cNvPr>
        <xdr:cNvPicPr>
          <a:picLocks noChangeAspect="1"/>
        </xdr:cNvPicPr>
      </xdr:nvPicPr>
      <xdr:blipFill>
        <a:blip xmlns:r="http://schemas.openxmlformats.org/officeDocument/2006/relationships" r:embed="rId9" cstate="print">
          <a:clrChange>
            <a:clrFrom>
              <a:srgbClr val="FFFFFF"/>
            </a:clrFrom>
            <a:clrTo>
              <a:srgbClr val="FFFFFF">
                <a:alpha val="0"/>
              </a:srgbClr>
            </a:clrTo>
          </a:clrChange>
          <a:lum bright="-20000"/>
        </a:blip>
        <a:stretch>
          <a:fillRect/>
        </a:stretch>
      </xdr:blipFill>
      <xdr:spPr>
        <a:xfrm>
          <a:off x="381000" y="12782550"/>
          <a:ext cx="0" cy="1237090"/>
        </a:xfrm>
        <a:prstGeom prst="rect">
          <a:avLst/>
        </a:prstGeom>
      </xdr:spPr>
    </xdr:pic>
    <xdr:clientData/>
  </xdr:twoCellAnchor>
  <xdr:twoCellAnchor editAs="oneCell">
    <xdr:from>
      <xdr:col>2</xdr:col>
      <xdr:colOff>0</xdr:colOff>
      <xdr:row>1079</xdr:row>
      <xdr:rowOff>0</xdr:rowOff>
    </xdr:from>
    <xdr:to>
      <xdr:col>2</xdr:col>
      <xdr:colOff>0</xdr:colOff>
      <xdr:row>1083</xdr:row>
      <xdr:rowOff>110582</xdr:rowOff>
    </xdr:to>
    <xdr:pic>
      <xdr:nvPicPr>
        <xdr:cNvPr id="67" name="Imagem 74" descr="P_are_dec.JPG">
          <a:extLst>
            <a:ext uri="{FF2B5EF4-FFF2-40B4-BE49-F238E27FC236}">
              <a16:creationId xmlns:a16="http://schemas.microsoft.com/office/drawing/2014/main" id="{00000000-0008-0000-0B00-000043000000}"/>
            </a:ext>
          </a:extLst>
        </xdr:cNvPr>
        <xdr:cNvPicPr>
          <a:picLocks noChangeAspect="1"/>
        </xdr:cNvPicPr>
      </xdr:nvPicPr>
      <xdr:blipFill>
        <a:blip xmlns:r="http://schemas.openxmlformats.org/officeDocument/2006/relationships" r:embed="rId13" cstate="print">
          <a:clrChange>
            <a:clrFrom>
              <a:srgbClr val="FFFFFF"/>
            </a:clrFrom>
            <a:clrTo>
              <a:srgbClr val="FFFFFF">
                <a:alpha val="0"/>
              </a:srgbClr>
            </a:clrTo>
          </a:clrChange>
          <a:lum bright="-20000"/>
        </a:blip>
        <a:stretch>
          <a:fillRect/>
        </a:stretch>
      </xdr:blipFill>
      <xdr:spPr>
        <a:xfrm>
          <a:off x="381000" y="12782550"/>
          <a:ext cx="0" cy="1358357"/>
        </a:xfrm>
        <a:prstGeom prst="rect">
          <a:avLst/>
        </a:prstGeom>
      </xdr:spPr>
    </xdr:pic>
    <xdr:clientData/>
  </xdr:twoCellAnchor>
  <xdr:twoCellAnchor editAs="oneCell">
    <xdr:from>
      <xdr:col>2</xdr:col>
      <xdr:colOff>3</xdr:colOff>
      <xdr:row>1079</xdr:row>
      <xdr:rowOff>0</xdr:rowOff>
    </xdr:from>
    <xdr:to>
      <xdr:col>2</xdr:col>
      <xdr:colOff>3</xdr:colOff>
      <xdr:row>1083</xdr:row>
      <xdr:rowOff>114526</xdr:rowOff>
    </xdr:to>
    <xdr:pic>
      <xdr:nvPicPr>
        <xdr:cNvPr id="68" name="Imagem 54" descr="Ca_cre.JPG">
          <a:extLst>
            <a:ext uri="{FF2B5EF4-FFF2-40B4-BE49-F238E27FC236}">
              <a16:creationId xmlns:a16="http://schemas.microsoft.com/office/drawing/2014/main" id="{00000000-0008-0000-0B00-000044000000}"/>
            </a:ext>
          </a:extLst>
        </xdr:cNvPr>
        <xdr:cNvPicPr>
          <a:picLocks noChangeAspect="1"/>
        </xdr:cNvPicPr>
      </xdr:nvPicPr>
      <xdr:blipFill>
        <a:blip xmlns:r="http://schemas.openxmlformats.org/officeDocument/2006/relationships" r:embed="rId17" cstate="print">
          <a:clrChange>
            <a:clrFrom>
              <a:srgbClr val="FFFFFF"/>
            </a:clrFrom>
            <a:clrTo>
              <a:srgbClr val="FFFFFF">
                <a:alpha val="0"/>
              </a:srgbClr>
            </a:clrTo>
          </a:clrChange>
          <a:lum bright="-20000"/>
        </a:blip>
        <a:srcRect l="7404" t="30161" r="15121" b="26953"/>
        <a:stretch>
          <a:fillRect/>
        </a:stretch>
      </xdr:blipFill>
      <xdr:spPr>
        <a:xfrm>
          <a:off x="381003" y="12782550"/>
          <a:ext cx="0" cy="1362301"/>
        </a:xfrm>
        <a:prstGeom prst="rect">
          <a:avLst/>
        </a:prstGeom>
      </xdr:spPr>
    </xdr:pic>
    <xdr:clientData/>
  </xdr:twoCellAnchor>
  <xdr:twoCellAnchor editAs="oneCell">
    <xdr:from>
      <xdr:col>2</xdr:col>
      <xdr:colOff>0</xdr:colOff>
      <xdr:row>1079</xdr:row>
      <xdr:rowOff>0</xdr:rowOff>
    </xdr:from>
    <xdr:to>
      <xdr:col>2</xdr:col>
      <xdr:colOff>0</xdr:colOff>
      <xdr:row>1083</xdr:row>
      <xdr:rowOff>77964</xdr:rowOff>
    </xdr:to>
    <xdr:pic>
      <xdr:nvPicPr>
        <xdr:cNvPr id="69" name="Imagem 60" descr="Mg_cre.JPG">
          <a:extLst>
            <a:ext uri="{FF2B5EF4-FFF2-40B4-BE49-F238E27FC236}">
              <a16:creationId xmlns:a16="http://schemas.microsoft.com/office/drawing/2014/main" id="{00000000-0008-0000-0B00-000045000000}"/>
            </a:ext>
          </a:extLst>
        </xdr:cNvPr>
        <xdr:cNvPicPr>
          <a:picLocks noChangeAspect="1"/>
        </xdr:cNvPicPr>
      </xdr:nvPicPr>
      <xdr:blipFill>
        <a:blip xmlns:r="http://schemas.openxmlformats.org/officeDocument/2006/relationships" r:embed="rId19" cstate="print">
          <a:clrChange>
            <a:clrFrom>
              <a:srgbClr val="FFFFFF"/>
            </a:clrFrom>
            <a:clrTo>
              <a:srgbClr val="FFFFFF">
                <a:alpha val="0"/>
              </a:srgbClr>
            </a:clrTo>
          </a:clrChange>
          <a:lum bright="-20000"/>
        </a:blip>
        <a:stretch>
          <a:fillRect/>
        </a:stretch>
      </xdr:blipFill>
      <xdr:spPr>
        <a:xfrm>
          <a:off x="381000" y="12782550"/>
          <a:ext cx="0" cy="1325739"/>
        </a:xfrm>
        <a:prstGeom prst="rect">
          <a:avLst/>
        </a:prstGeom>
      </xdr:spPr>
    </xdr:pic>
    <xdr:clientData/>
  </xdr:twoCellAnchor>
  <xdr:twoCellAnchor editAs="oneCell">
    <xdr:from>
      <xdr:col>2</xdr:col>
      <xdr:colOff>19844</xdr:colOff>
      <xdr:row>1079</xdr:row>
      <xdr:rowOff>0</xdr:rowOff>
    </xdr:from>
    <xdr:to>
      <xdr:col>2</xdr:col>
      <xdr:colOff>19844</xdr:colOff>
      <xdr:row>1083</xdr:row>
      <xdr:rowOff>127939</xdr:rowOff>
    </xdr:to>
    <xdr:pic>
      <xdr:nvPicPr>
        <xdr:cNvPr id="70" name="Imagem 62" descr="K_cres.JPG">
          <a:extLst>
            <a:ext uri="{FF2B5EF4-FFF2-40B4-BE49-F238E27FC236}">
              <a16:creationId xmlns:a16="http://schemas.microsoft.com/office/drawing/2014/main" id="{00000000-0008-0000-0B00-000046000000}"/>
            </a:ext>
          </a:extLst>
        </xdr:cNvPr>
        <xdr:cNvPicPr>
          <a:picLocks noChangeAspect="1"/>
        </xdr:cNvPicPr>
      </xdr:nvPicPr>
      <xdr:blipFill>
        <a:blip xmlns:r="http://schemas.openxmlformats.org/officeDocument/2006/relationships" r:embed="rId33" cstate="print">
          <a:clrChange>
            <a:clrFrom>
              <a:srgbClr val="FFFFFF"/>
            </a:clrFrom>
            <a:clrTo>
              <a:srgbClr val="FFFFFF">
                <a:alpha val="0"/>
              </a:srgbClr>
            </a:clrTo>
          </a:clrChange>
          <a:lum bright="-20000"/>
        </a:blip>
        <a:stretch>
          <a:fillRect/>
        </a:stretch>
      </xdr:blipFill>
      <xdr:spPr>
        <a:xfrm>
          <a:off x="400844" y="12782550"/>
          <a:ext cx="0" cy="1375714"/>
        </a:xfrm>
        <a:prstGeom prst="rect">
          <a:avLst/>
        </a:prstGeom>
      </xdr:spPr>
    </xdr:pic>
    <xdr:clientData/>
  </xdr:twoCellAnchor>
  <xdr:twoCellAnchor editAs="oneCell">
    <xdr:from>
      <xdr:col>2</xdr:col>
      <xdr:colOff>71439</xdr:colOff>
      <xdr:row>1079</xdr:row>
      <xdr:rowOff>0</xdr:rowOff>
    </xdr:from>
    <xdr:to>
      <xdr:col>2</xdr:col>
      <xdr:colOff>71439</xdr:colOff>
      <xdr:row>1083</xdr:row>
      <xdr:rowOff>88141</xdr:rowOff>
    </xdr:to>
    <xdr:pic>
      <xdr:nvPicPr>
        <xdr:cNvPr id="71" name="Imagem 38" descr="pH_cres.JPG">
          <a:extLst>
            <a:ext uri="{FF2B5EF4-FFF2-40B4-BE49-F238E27FC236}">
              <a16:creationId xmlns:a16="http://schemas.microsoft.com/office/drawing/2014/main" id="{00000000-0008-0000-0B00-000047000000}"/>
            </a:ext>
          </a:extLst>
        </xdr:cNvPr>
        <xdr:cNvPicPr>
          <a:picLocks noChangeAspect="1"/>
        </xdr:cNvPicPr>
      </xdr:nvPicPr>
      <xdr:blipFill>
        <a:blip xmlns:r="http://schemas.openxmlformats.org/officeDocument/2006/relationships" r:embed="rId23" cstate="print">
          <a:clrChange>
            <a:clrFrom>
              <a:srgbClr val="FFFFFF"/>
            </a:clrFrom>
            <a:clrTo>
              <a:srgbClr val="FFFFFF">
                <a:alpha val="0"/>
              </a:srgbClr>
            </a:clrTo>
          </a:clrChange>
          <a:lum bright="-20000"/>
        </a:blip>
        <a:stretch>
          <a:fillRect/>
        </a:stretch>
      </xdr:blipFill>
      <xdr:spPr>
        <a:xfrm>
          <a:off x="452439" y="12782550"/>
          <a:ext cx="0" cy="1335916"/>
        </a:xfrm>
        <a:prstGeom prst="rect">
          <a:avLst/>
        </a:prstGeom>
      </xdr:spPr>
    </xdr:pic>
    <xdr:clientData/>
  </xdr:twoCellAnchor>
  <xdr:twoCellAnchor editAs="oneCell">
    <xdr:from>
      <xdr:col>2</xdr:col>
      <xdr:colOff>9921</xdr:colOff>
      <xdr:row>1079</xdr:row>
      <xdr:rowOff>0</xdr:rowOff>
    </xdr:from>
    <xdr:to>
      <xdr:col>2</xdr:col>
      <xdr:colOff>9921</xdr:colOff>
      <xdr:row>1083</xdr:row>
      <xdr:rowOff>86456</xdr:rowOff>
    </xdr:to>
    <xdr:pic>
      <xdr:nvPicPr>
        <xdr:cNvPr id="72" name="Imagem 91" descr="Al_parte I.JPG">
          <a:extLst>
            <a:ext uri="{FF2B5EF4-FFF2-40B4-BE49-F238E27FC236}">
              <a16:creationId xmlns:a16="http://schemas.microsoft.com/office/drawing/2014/main" id="{00000000-0008-0000-0B00-000048000000}"/>
            </a:ext>
          </a:extLst>
        </xdr:cNvPr>
        <xdr:cNvPicPr>
          <a:picLocks noChangeAspect="1"/>
        </xdr:cNvPicPr>
      </xdr:nvPicPr>
      <xdr:blipFill>
        <a:blip xmlns:r="http://schemas.openxmlformats.org/officeDocument/2006/relationships" r:embed="rId25" cstate="print">
          <a:clrChange>
            <a:clrFrom>
              <a:srgbClr val="FFFFFF"/>
            </a:clrFrom>
            <a:clrTo>
              <a:srgbClr val="FFFFFF">
                <a:alpha val="0"/>
              </a:srgbClr>
            </a:clrTo>
          </a:clrChange>
          <a:lum bright="-20000"/>
        </a:blip>
        <a:stretch>
          <a:fillRect/>
        </a:stretch>
      </xdr:blipFill>
      <xdr:spPr>
        <a:xfrm>
          <a:off x="390921" y="12782550"/>
          <a:ext cx="0" cy="1334231"/>
        </a:xfrm>
        <a:prstGeom prst="rect">
          <a:avLst/>
        </a:prstGeom>
      </xdr:spPr>
    </xdr:pic>
    <xdr:clientData/>
  </xdr:twoCellAnchor>
  <xdr:twoCellAnchor editAs="oneCell">
    <xdr:from>
      <xdr:col>2</xdr:col>
      <xdr:colOff>4537</xdr:colOff>
      <xdr:row>1079</xdr:row>
      <xdr:rowOff>0</xdr:rowOff>
    </xdr:from>
    <xdr:to>
      <xdr:col>2</xdr:col>
      <xdr:colOff>4537</xdr:colOff>
      <xdr:row>1083</xdr:row>
      <xdr:rowOff>79375</xdr:rowOff>
    </xdr:to>
    <xdr:pic>
      <xdr:nvPicPr>
        <xdr:cNvPr id="73" name="Imagem 93" descr="CTC_parteI.JPG">
          <a:extLst>
            <a:ext uri="{FF2B5EF4-FFF2-40B4-BE49-F238E27FC236}">
              <a16:creationId xmlns:a16="http://schemas.microsoft.com/office/drawing/2014/main" id="{00000000-0008-0000-0B00-000049000000}"/>
            </a:ext>
          </a:extLst>
        </xdr:cNvPr>
        <xdr:cNvPicPr>
          <a:picLocks noChangeAspect="1"/>
        </xdr:cNvPicPr>
      </xdr:nvPicPr>
      <xdr:blipFill>
        <a:blip xmlns:r="http://schemas.openxmlformats.org/officeDocument/2006/relationships" r:embed="rId27" cstate="print">
          <a:clrChange>
            <a:clrFrom>
              <a:srgbClr val="FFFFFF"/>
            </a:clrFrom>
            <a:clrTo>
              <a:srgbClr val="FFFFFF">
                <a:alpha val="0"/>
              </a:srgbClr>
            </a:clrTo>
          </a:clrChange>
          <a:lum bright="-20000"/>
        </a:blip>
        <a:stretch>
          <a:fillRect/>
        </a:stretch>
      </xdr:blipFill>
      <xdr:spPr>
        <a:xfrm>
          <a:off x="385537" y="12782550"/>
          <a:ext cx="0" cy="1327150"/>
        </a:xfrm>
        <a:prstGeom prst="rect">
          <a:avLst/>
        </a:prstGeom>
      </xdr:spPr>
    </xdr:pic>
    <xdr:clientData/>
  </xdr:twoCellAnchor>
  <xdr:twoCellAnchor editAs="oneCell">
    <xdr:from>
      <xdr:col>4</xdr:col>
      <xdr:colOff>23775</xdr:colOff>
      <xdr:row>1079</xdr:row>
      <xdr:rowOff>0</xdr:rowOff>
    </xdr:from>
    <xdr:to>
      <xdr:col>4</xdr:col>
      <xdr:colOff>23775</xdr:colOff>
      <xdr:row>1083</xdr:row>
      <xdr:rowOff>2291</xdr:rowOff>
    </xdr:to>
    <xdr:pic>
      <xdr:nvPicPr>
        <xdr:cNvPr id="74" name="Imagem 47" descr="MOS_med_cres.JPG">
          <a:extLst>
            <a:ext uri="{FF2B5EF4-FFF2-40B4-BE49-F238E27FC236}">
              <a16:creationId xmlns:a16="http://schemas.microsoft.com/office/drawing/2014/main" id="{00000000-0008-0000-0B00-00004A000000}"/>
            </a:ext>
          </a:extLst>
        </xdr:cNvPr>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lum bright="-20000"/>
        </a:blip>
        <a:stretch>
          <a:fillRect/>
        </a:stretch>
      </xdr:blipFill>
      <xdr:spPr>
        <a:xfrm>
          <a:off x="2738400" y="247364250"/>
          <a:ext cx="0" cy="764291"/>
        </a:xfrm>
        <a:prstGeom prst="rect">
          <a:avLst/>
        </a:prstGeom>
      </xdr:spPr>
    </xdr:pic>
    <xdr:clientData/>
  </xdr:twoCellAnchor>
  <xdr:twoCellAnchor editAs="oneCell">
    <xdr:from>
      <xdr:col>7</xdr:col>
      <xdr:colOff>31752</xdr:colOff>
      <xdr:row>1079</xdr:row>
      <xdr:rowOff>0</xdr:rowOff>
    </xdr:from>
    <xdr:to>
      <xdr:col>7</xdr:col>
      <xdr:colOff>31752</xdr:colOff>
      <xdr:row>1082</xdr:row>
      <xdr:rowOff>174100</xdr:rowOff>
    </xdr:to>
    <xdr:pic>
      <xdr:nvPicPr>
        <xdr:cNvPr id="75" name="Imagem 50" descr="MOS_arg_cres.JPG">
          <a:extLst>
            <a:ext uri="{FF2B5EF4-FFF2-40B4-BE49-F238E27FC236}">
              <a16:creationId xmlns:a16="http://schemas.microsoft.com/office/drawing/2014/main" id="{00000000-0008-0000-0B00-00004B000000}"/>
            </a:ext>
          </a:extLst>
        </xdr:cNvPr>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lum bright="-20000"/>
        </a:blip>
        <a:stretch>
          <a:fillRect/>
        </a:stretch>
      </xdr:blipFill>
      <xdr:spPr>
        <a:xfrm>
          <a:off x="4445002" y="247364250"/>
          <a:ext cx="0" cy="758300"/>
        </a:xfrm>
        <a:prstGeom prst="rect">
          <a:avLst/>
        </a:prstGeom>
      </xdr:spPr>
    </xdr:pic>
    <xdr:clientData/>
  </xdr:twoCellAnchor>
  <xdr:twoCellAnchor editAs="oneCell">
    <xdr:from>
      <xdr:col>4</xdr:col>
      <xdr:colOff>23814</xdr:colOff>
      <xdr:row>1079</xdr:row>
      <xdr:rowOff>0</xdr:rowOff>
    </xdr:from>
    <xdr:to>
      <xdr:col>4</xdr:col>
      <xdr:colOff>23814</xdr:colOff>
      <xdr:row>1082</xdr:row>
      <xdr:rowOff>175450</xdr:rowOff>
    </xdr:to>
    <xdr:pic>
      <xdr:nvPicPr>
        <xdr:cNvPr id="76" name="Imagem 49" descr="MOS_med_dec.JPG">
          <a:extLst>
            <a:ext uri="{FF2B5EF4-FFF2-40B4-BE49-F238E27FC236}">
              <a16:creationId xmlns:a16="http://schemas.microsoft.com/office/drawing/2014/main" id="{00000000-0008-0000-0B00-00004C000000}"/>
            </a:ext>
          </a:extLst>
        </xdr:cNvPr>
        <xdr:cNvPicPr>
          <a:picLocks noChangeAspect="1"/>
        </xdr:cNvPicPr>
      </xdr:nvPicPr>
      <xdr:blipFill>
        <a:blip xmlns:r="http://schemas.openxmlformats.org/officeDocument/2006/relationships" r:embed="rId6" cstate="print">
          <a:clrChange>
            <a:clrFrom>
              <a:srgbClr val="FFFFFF"/>
            </a:clrFrom>
            <a:clrTo>
              <a:srgbClr val="FFFFFF">
                <a:alpha val="0"/>
              </a:srgbClr>
            </a:clrTo>
          </a:clrChange>
          <a:lum bright="-20000"/>
        </a:blip>
        <a:stretch>
          <a:fillRect/>
        </a:stretch>
      </xdr:blipFill>
      <xdr:spPr>
        <a:xfrm>
          <a:off x="2738439" y="247364250"/>
          <a:ext cx="0" cy="759650"/>
        </a:xfrm>
        <a:prstGeom prst="rect">
          <a:avLst/>
        </a:prstGeom>
      </xdr:spPr>
    </xdr:pic>
    <xdr:clientData/>
  </xdr:twoCellAnchor>
  <xdr:twoCellAnchor editAs="oneCell">
    <xdr:from>
      <xdr:col>7</xdr:col>
      <xdr:colOff>47628</xdr:colOff>
      <xdr:row>1079</xdr:row>
      <xdr:rowOff>0</xdr:rowOff>
    </xdr:from>
    <xdr:to>
      <xdr:col>7</xdr:col>
      <xdr:colOff>47628</xdr:colOff>
      <xdr:row>1083</xdr:row>
      <xdr:rowOff>4114</xdr:rowOff>
    </xdr:to>
    <xdr:pic>
      <xdr:nvPicPr>
        <xdr:cNvPr id="77" name="Imagem 51" descr="MOS_arg_dec.JPG">
          <a:extLst>
            <a:ext uri="{FF2B5EF4-FFF2-40B4-BE49-F238E27FC236}">
              <a16:creationId xmlns:a16="http://schemas.microsoft.com/office/drawing/2014/main" id="{00000000-0008-0000-0B00-00004D000000}"/>
            </a:ext>
          </a:extLst>
        </xdr:cNvPr>
        <xdr:cNvPicPr>
          <a:picLocks noChangeAspect="1"/>
        </xdr:cNvPicPr>
      </xdr:nvPicPr>
      <xdr:blipFill>
        <a:blip xmlns:r="http://schemas.openxmlformats.org/officeDocument/2006/relationships" r:embed="rId7" cstate="print">
          <a:clrChange>
            <a:clrFrom>
              <a:srgbClr val="FFFFFF"/>
            </a:clrFrom>
            <a:clrTo>
              <a:srgbClr val="FFFFFF">
                <a:alpha val="0"/>
              </a:srgbClr>
            </a:clrTo>
          </a:clrChange>
          <a:lum bright="-20000"/>
        </a:blip>
        <a:stretch>
          <a:fillRect/>
        </a:stretch>
      </xdr:blipFill>
      <xdr:spPr>
        <a:xfrm>
          <a:off x="4460878" y="247364250"/>
          <a:ext cx="0" cy="766114"/>
        </a:xfrm>
        <a:prstGeom prst="rect">
          <a:avLst/>
        </a:prstGeom>
      </xdr:spPr>
    </xdr:pic>
    <xdr:clientData/>
  </xdr:twoCellAnchor>
  <xdr:twoCellAnchor editAs="oneCell">
    <xdr:from>
      <xdr:col>4</xdr:col>
      <xdr:colOff>0</xdr:colOff>
      <xdr:row>1079</xdr:row>
      <xdr:rowOff>0</xdr:rowOff>
    </xdr:from>
    <xdr:to>
      <xdr:col>4</xdr:col>
      <xdr:colOff>0</xdr:colOff>
      <xdr:row>1083</xdr:row>
      <xdr:rowOff>2280</xdr:rowOff>
    </xdr:to>
    <xdr:pic>
      <xdr:nvPicPr>
        <xdr:cNvPr id="78" name="Imagem 75" descr="P_med_cre.JPG">
          <a:extLst>
            <a:ext uri="{FF2B5EF4-FFF2-40B4-BE49-F238E27FC236}">
              <a16:creationId xmlns:a16="http://schemas.microsoft.com/office/drawing/2014/main" id="{00000000-0008-0000-0B00-00004E000000}"/>
            </a:ext>
          </a:extLst>
        </xdr:cNvPr>
        <xdr:cNvPicPr>
          <a:picLocks noChangeAspect="1"/>
        </xdr:cNvPicPr>
      </xdr:nvPicPr>
      <xdr:blipFill>
        <a:blip xmlns:r="http://schemas.openxmlformats.org/officeDocument/2006/relationships" r:embed="rId10" cstate="print">
          <a:clrChange>
            <a:clrFrom>
              <a:srgbClr val="FFFFFF"/>
            </a:clrFrom>
            <a:clrTo>
              <a:srgbClr val="FFFFFF">
                <a:alpha val="0"/>
              </a:srgbClr>
            </a:clrTo>
          </a:clrChange>
          <a:lum bright="-20000"/>
        </a:blip>
        <a:srcRect t="5306"/>
        <a:stretch>
          <a:fillRect/>
        </a:stretch>
      </xdr:blipFill>
      <xdr:spPr>
        <a:xfrm>
          <a:off x="2714625" y="247364250"/>
          <a:ext cx="0" cy="764280"/>
        </a:xfrm>
        <a:prstGeom prst="rect">
          <a:avLst/>
        </a:prstGeom>
      </xdr:spPr>
    </xdr:pic>
    <xdr:clientData/>
  </xdr:twoCellAnchor>
  <xdr:twoCellAnchor editAs="oneCell">
    <xdr:from>
      <xdr:col>7</xdr:col>
      <xdr:colOff>15876</xdr:colOff>
      <xdr:row>1079</xdr:row>
      <xdr:rowOff>0</xdr:rowOff>
    </xdr:from>
    <xdr:to>
      <xdr:col>7</xdr:col>
      <xdr:colOff>15876</xdr:colOff>
      <xdr:row>1083</xdr:row>
      <xdr:rowOff>8762</xdr:rowOff>
    </xdr:to>
    <xdr:pic>
      <xdr:nvPicPr>
        <xdr:cNvPr id="79" name="Imagem 77" descr="P_arg_cre.JPG">
          <a:extLst>
            <a:ext uri="{FF2B5EF4-FFF2-40B4-BE49-F238E27FC236}">
              <a16:creationId xmlns:a16="http://schemas.microsoft.com/office/drawing/2014/main" id="{00000000-0008-0000-0B00-00004F000000}"/>
            </a:ext>
          </a:extLst>
        </xdr:cNvPr>
        <xdr:cNvPicPr>
          <a:picLocks noChangeAspect="1"/>
        </xdr:cNvPicPr>
      </xdr:nvPicPr>
      <xdr:blipFill>
        <a:blip xmlns:r="http://schemas.openxmlformats.org/officeDocument/2006/relationships" r:embed="rId11" cstate="print">
          <a:clrChange>
            <a:clrFrom>
              <a:srgbClr val="FFFFFF"/>
            </a:clrFrom>
            <a:clrTo>
              <a:srgbClr val="FFFFFF">
                <a:alpha val="0"/>
              </a:srgbClr>
            </a:clrTo>
          </a:clrChange>
          <a:lum bright="-20000"/>
        </a:blip>
        <a:stretch>
          <a:fillRect/>
        </a:stretch>
      </xdr:blipFill>
      <xdr:spPr>
        <a:xfrm>
          <a:off x="4429126" y="247364250"/>
          <a:ext cx="0" cy="770762"/>
        </a:xfrm>
        <a:prstGeom prst="rect">
          <a:avLst/>
        </a:prstGeom>
      </xdr:spPr>
    </xdr:pic>
    <xdr:clientData/>
  </xdr:twoCellAnchor>
  <xdr:twoCellAnchor editAs="oneCell">
    <xdr:from>
      <xdr:col>4</xdr:col>
      <xdr:colOff>7938</xdr:colOff>
      <xdr:row>1079</xdr:row>
      <xdr:rowOff>0</xdr:rowOff>
    </xdr:from>
    <xdr:to>
      <xdr:col>4</xdr:col>
      <xdr:colOff>7938</xdr:colOff>
      <xdr:row>1083</xdr:row>
      <xdr:rowOff>176738</xdr:rowOff>
    </xdr:to>
    <xdr:pic>
      <xdr:nvPicPr>
        <xdr:cNvPr id="80" name="Imagem 76" descr="P_med_dec.JPG">
          <a:extLst>
            <a:ext uri="{FF2B5EF4-FFF2-40B4-BE49-F238E27FC236}">
              <a16:creationId xmlns:a16="http://schemas.microsoft.com/office/drawing/2014/main" id="{00000000-0008-0000-0B00-000050000000}"/>
            </a:ext>
          </a:extLst>
        </xdr:cNvPr>
        <xdr:cNvPicPr>
          <a:picLocks noChangeAspect="1"/>
        </xdr:cNvPicPr>
      </xdr:nvPicPr>
      <xdr:blipFill>
        <a:blip xmlns:r="http://schemas.openxmlformats.org/officeDocument/2006/relationships" r:embed="rId14" cstate="print">
          <a:clrChange>
            <a:clrFrom>
              <a:srgbClr val="FFFFFF"/>
            </a:clrFrom>
            <a:clrTo>
              <a:srgbClr val="FFFFFF">
                <a:alpha val="0"/>
              </a:srgbClr>
            </a:clrTo>
          </a:clrChange>
          <a:lum bright="-20000"/>
        </a:blip>
        <a:stretch>
          <a:fillRect/>
        </a:stretch>
      </xdr:blipFill>
      <xdr:spPr>
        <a:xfrm>
          <a:off x="2722563" y="247364250"/>
          <a:ext cx="0" cy="951438"/>
        </a:xfrm>
        <a:prstGeom prst="rect">
          <a:avLst/>
        </a:prstGeom>
      </xdr:spPr>
    </xdr:pic>
    <xdr:clientData/>
  </xdr:twoCellAnchor>
  <xdr:twoCellAnchor editAs="oneCell">
    <xdr:from>
      <xdr:col>7</xdr:col>
      <xdr:colOff>277791</xdr:colOff>
      <xdr:row>1079</xdr:row>
      <xdr:rowOff>0</xdr:rowOff>
    </xdr:from>
    <xdr:to>
      <xdr:col>7</xdr:col>
      <xdr:colOff>277791</xdr:colOff>
      <xdr:row>1083</xdr:row>
      <xdr:rowOff>170115</xdr:rowOff>
    </xdr:to>
    <xdr:pic>
      <xdr:nvPicPr>
        <xdr:cNvPr id="81" name="Imagem 78" descr="P_arg_dec.JPG">
          <a:extLst>
            <a:ext uri="{FF2B5EF4-FFF2-40B4-BE49-F238E27FC236}">
              <a16:creationId xmlns:a16="http://schemas.microsoft.com/office/drawing/2014/main" id="{00000000-0008-0000-0B00-000051000000}"/>
            </a:ext>
          </a:extLst>
        </xdr:cNvPr>
        <xdr:cNvPicPr>
          <a:picLocks noChangeAspect="1"/>
        </xdr:cNvPicPr>
      </xdr:nvPicPr>
      <xdr:blipFill>
        <a:blip xmlns:r="http://schemas.openxmlformats.org/officeDocument/2006/relationships" r:embed="rId15" cstate="print">
          <a:clrChange>
            <a:clrFrom>
              <a:srgbClr val="FFFFFF"/>
            </a:clrFrom>
            <a:clrTo>
              <a:srgbClr val="FFFFFF">
                <a:alpha val="0"/>
              </a:srgbClr>
            </a:clrTo>
          </a:clrChange>
          <a:lum bright="-20000"/>
        </a:blip>
        <a:stretch>
          <a:fillRect/>
        </a:stretch>
      </xdr:blipFill>
      <xdr:spPr>
        <a:xfrm>
          <a:off x="4691041" y="247364250"/>
          <a:ext cx="0" cy="932115"/>
        </a:xfrm>
        <a:prstGeom prst="rect">
          <a:avLst/>
        </a:prstGeom>
      </xdr:spPr>
    </xdr:pic>
    <xdr:clientData/>
  </xdr:twoCellAnchor>
  <xdr:twoCellAnchor editAs="oneCell">
    <xdr:from>
      <xdr:col>4</xdr:col>
      <xdr:colOff>276962</xdr:colOff>
      <xdr:row>1079</xdr:row>
      <xdr:rowOff>0</xdr:rowOff>
    </xdr:from>
    <xdr:to>
      <xdr:col>4</xdr:col>
      <xdr:colOff>276962</xdr:colOff>
      <xdr:row>1083</xdr:row>
      <xdr:rowOff>92871</xdr:rowOff>
    </xdr:to>
    <xdr:pic>
      <xdr:nvPicPr>
        <xdr:cNvPr id="82" name="Imagem 55" descr="Ca_dec.JPG">
          <a:extLst>
            <a:ext uri="{FF2B5EF4-FFF2-40B4-BE49-F238E27FC236}">
              <a16:creationId xmlns:a16="http://schemas.microsoft.com/office/drawing/2014/main" id="{00000000-0008-0000-0B00-000052000000}"/>
            </a:ext>
          </a:extLst>
        </xdr:cNvPr>
        <xdr:cNvPicPr>
          <a:picLocks noChangeAspect="1"/>
        </xdr:cNvPicPr>
      </xdr:nvPicPr>
      <xdr:blipFill>
        <a:blip xmlns:r="http://schemas.openxmlformats.org/officeDocument/2006/relationships" r:embed="rId18" cstate="print">
          <a:clrChange>
            <a:clrFrom>
              <a:srgbClr val="FFFFFF"/>
            </a:clrFrom>
            <a:clrTo>
              <a:srgbClr val="FFFFFF">
                <a:alpha val="0"/>
              </a:srgbClr>
            </a:clrTo>
          </a:clrChange>
          <a:lum bright="-20000"/>
        </a:blip>
        <a:stretch>
          <a:fillRect/>
        </a:stretch>
      </xdr:blipFill>
      <xdr:spPr>
        <a:xfrm>
          <a:off x="2991587" y="247364250"/>
          <a:ext cx="0" cy="854871"/>
        </a:xfrm>
        <a:prstGeom prst="rect">
          <a:avLst/>
        </a:prstGeom>
      </xdr:spPr>
    </xdr:pic>
    <xdr:clientData/>
  </xdr:twoCellAnchor>
  <xdr:twoCellAnchor editAs="oneCell">
    <xdr:from>
      <xdr:col>4</xdr:col>
      <xdr:colOff>302081</xdr:colOff>
      <xdr:row>1079</xdr:row>
      <xdr:rowOff>0</xdr:rowOff>
    </xdr:from>
    <xdr:to>
      <xdr:col>4</xdr:col>
      <xdr:colOff>302081</xdr:colOff>
      <xdr:row>1083</xdr:row>
      <xdr:rowOff>100141</xdr:rowOff>
    </xdr:to>
    <xdr:pic>
      <xdr:nvPicPr>
        <xdr:cNvPr id="83" name="Imagem 61" descr="Mg_dec.JPG">
          <a:extLst>
            <a:ext uri="{FF2B5EF4-FFF2-40B4-BE49-F238E27FC236}">
              <a16:creationId xmlns:a16="http://schemas.microsoft.com/office/drawing/2014/main" id="{00000000-0008-0000-0B00-000053000000}"/>
            </a:ext>
          </a:extLst>
        </xdr:cNvPr>
        <xdr:cNvPicPr>
          <a:picLocks noChangeAspect="1"/>
        </xdr:cNvPicPr>
      </xdr:nvPicPr>
      <xdr:blipFill>
        <a:blip xmlns:r="http://schemas.openxmlformats.org/officeDocument/2006/relationships" r:embed="rId20" cstate="print">
          <a:clrChange>
            <a:clrFrom>
              <a:srgbClr val="FFFFFF"/>
            </a:clrFrom>
            <a:clrTo>
              <a:srgbClr val="FFFFFF">
                <a:alpha val="0"/>
              </a:srgbClr>
            </a:clrTo>
          </a:clrChange>
          <a:lum bright="-20000"/>
        </a:blip>
        <a:stretch>
          <a:fillRect/>
        </a:stretch>
      </xdr:blipFill>
      <xdr:spPr>
        <a:xfrm>
          <a:off x="3016706" y="247364250"/>
          <a:ext cx="0" cy="862141"/>
        </a:xfrm>
        <a:prstGeom prst="rect">
          <a:avLst/>
        </a:prstGeom>
      </xdr:spPr>
    </xdr:pic>
    <xdr:clientData/>
  </xdr:twoCellAnchor>
  <xdr:twoCellAnchor editAs="oneCell">
    <xdr:from>
      <xdr:col>4</xdr:col>
      <xdr:colOff>331620</xdr:colOff>
      <xdr:row>1079</xdr:row>
      <xdr:rowOff>10583</xdr:rowOff>
    </xdr:from>
    <xdr:to>
      <xdr:col>4</xdr:col>
      <xdr:colOff>331620</xdr:colOff>
      <xdr:row>1083</xdr:row>
      <xdr:rowOff>87975</xdr:rowOff>
    </xdr:to>
    <xdr:pic>
      <xdr:nvPicPr>
        <xdr:cNvPr id="84" name="Imagem 64" descr="K_dec.JPG">
          <a:extLst>
            <a:ext uri="{FF2B5EF4-FFF2-40B4-BE49-F238E27FC236}">
              <a16:creationId xmlns:a16="http://schemas.microsoft.com/office/drawing/2014/main" id="{00000000-0008-0000-0B00-000054000000}"/>
            </a:ext>
          </a:extLst>
        </xdr:cNvPr>
        <xdr:cNvPicPr>
          <a:picLocks noChangeAspect="1"/>
        </xdr:cNvPicPr>
      </xdr:nvPicPr>
      <xdr:blipFill>
        <a:blip xmlns:r="http://schemas.openxmlformats.org/officeDocument/2006/relationships" r:embed="rId22" cstate="print">
          <a:clrChange>
            <a:clrFrom>
              <a:srgbClr val="FFFFFF"/>
            </a:clrFrom>
            <a:clrTo>
              <a:srgbClr val="FFFFFF">
                <a:alpha val="0"/>
              </a:srgbClr>
            </a:clrTo>
          </a:clrChange>
          <a:lum bright="-20000"/>
        </a:blip>
        <a:stretch>
          <a:fillRect/>
        </a:stretch>
      </xdr:blipFill>
      <xdr:spPr>
        <a:xfrm>
          <a:off x="3432537" y="239310333"/>
          <a:ext cx="0" cy="797059"/>
        </a:xfrm>
        <a:prstGeom prst="rect">
          <a:avLst/>
        </a:prstGeom>
      </xdr:spPr>
    </xdr:pic>
    <xdr:clientData/>
  </xdr:twoCellAnchor>
  <xdr:twoCellAnchor editAs="oneCell">
    <xdr:from>
      <xdr:col>4</xdr:col>
      <xdr:colOff>404813</xdr:colOff>
      <xdr:row>1079</xdr:row>
      <xdr:rowOff>0</xdr:rowOff>
    </xdr:from>
    <xdr:to>
      <xdr:col>4</xdr:col>
      <xdr:colOff>404813</xdr:colOff>
      <xdr:row>1083</xdr:row>
      <xdr:rowOff>47625</xdr:rowOff>
    </xdr:to>
    <xdr:pic>
      <xdr:nvPicPr>
        <xdr:cNvPr id="85" name="Imagem 37" descr="pH_dec.JPG">
          <a:extLst>
            <a:ext uri="{FF2B5EF4-FFF2-40B4-BE49-F238E27FC236}">
              <a16:creationId xmlns:a16="http://schemas.microsoft.com/office/drawing/2014/main" id="{00000000-0008-0000-0B00-000055000000}"/>
            </a:ext>
          </a:extLst>
        </xdr:cNvPr>
        <xdr:cNvPicPr>
          <a:picLocks noChangeAspect="1"/>
        </xdr:cNvPicPr>
      </xdr:nvPicPr>
      <xdr:blipFill>
        <a:blip xmlns:r="http://schemas.openxmlformats.org/officeDocument/2006/relationships" r:embed="rId24" cstate="print">
          <a:clrChange>
            <a:clrFrom>
              <a:srgbClr val="FFFFFF"/>
            </a:clrFrom>
            <a:clrTo>
              <a:srgbClr val="FFFFFF">
                <a:alpha val="0"/>
              </a:srgbClr>
            </a:clrTo>
          </a:clrChange>
          <a:lum bright="-20000"/>
        </a:blip>
        <a:stretch>
          <a:fillRect/>
        </a:stretch>
      </xdr:blipFill>
      <xdr:spPr>
        <a:xfrm>
          <a:off x="3119438" y="247364250"/>
          <a:ext cx="0" cy="809625"/>
        </a:xfrm>
        <a:prstGeom prst="rect">
          <a:avLst/>
        </a:prstGeom>
      </xdr:spPr>
    </xdr:pic>
    <xdr:clientData/>
  </xdr:twoCellAnchor>
  <xdr:twoCellAnchor editAs="oneCell">
    <xdr:from>
      <xdr:col>4</xdr:col>
      <xdr:colOff>506069</xdr:colOff>
      <xdr:row>1079</xdr:row>
      <xdr:rowOff>0</xdr:rowOff>
    </xdr:from>
    <xdr:to>
      <xdr:col>5</xdr:col>
      <xdr:colOff>1244</xdr:colOff>
      <xdr:row>1083</xdr:row>
      <xdr:rowOff>126603</xdr:rowOff>
    </xdr:to>
    <xdr:pic>
      <xdr:nvPicPr>
        <xdr:cNvPr id="86" name="Imagem 92" descr="Al_parte II.JPG">
          <a:extLst>
            <a:ext uri="{FF2B5EF4-FFF2-40B4-BE49-F238E27FC236}">
              <a16:creationId xmlns:a16="http://schemas.microsoft.com/office/drawing/2014/main" id="{00000000-0008-0000-0B00-000056000000}"/>
            </a:ext>
          </a:extLst>
        </xdr:cNvPr>
        <xdr:cNvPicPr>
          <a:picLocks noChangeAspect="1"/>
        </xdr:cNvPicPr>
      </xdr:nvPicPr>
      <xdr:blipFill>
        <a:blip xmlns:r="http://schemas.openxmlformats.org/officeDocument/2006/relationships" r:embed="rId26" cstate="print">
          <a:clrChange>
            <a:clrFrom>
              <a:srgbClr val="FFFFFF"/>
            </a:clrFrom>
            <a:clrTo>
              <a:srgbClr val="FFFFFF">
                <a:alpha val="0"/>
              </a:srgbClr>
            </a:clrTo>
          </a:clrChange>
          <a:lum bright="-20000"/>
        </a:blip>
        <a:stretch>
          <a:fillRect/>
        </a:stretch>
      </xdr:blipFill>
      <xdr:spPr>
        <a:xfrm>
          <a:off x="3192119" y="247364250"/>
          <a:ext cx="0" cy="888603"/>
        </a:xfrm>
        <a:prstGeom prst="rect">
          <a:avLst/>
        </a:prstGeom>
      </xdr:spPr>
    </xdr:pic>
    <xdr:clientData/>
  </xdr:twoCellAnchor>
  <xdr:twoCellAnchor editAs="oneCell">
    <xdr:from>
      <xdr:col>4</xdr:col>
      <xdr:colOff>535780</xdr:colOff>
      <xdr:row>1079</xdr:row>
      <xdr:rowOff>0</xdr:rowOff>
    </xdr:from>
    <xdr:to>
      <xdr:col>5</xdr:col>
      <xdr:colOff>2380</xdr:colOff>
      <xdr:row>1083</xdr:row>
      <xdr:rowOff>94680</xdr:rowOff>
    </xdr:to>
    <xdr:pic>
      <xdr:nvPicPr>
        <xdr:cNvPr id="87" name="Imagem 94" descr="CTC_parteII.JPG">
          <a:extLst>
            <a:ext uri="{FF2B5EF4-FFF2-40B4-BE49-F238E27FC236}">
              <a16:creationId xmlns:a16="http://schemas.microsoft.com/office/drawing/2014/main" id="{00000000-0008-0000-0B00-000057000000}"/>
            </a:ext>
          </a:extLst>
        </xdr:cNvPr>
        <xdr:cNvPicPr>
          <a:picLocks noChangeAspect="1"/>
        </xdr:cNvPicPr>
      </xdr:nvPicPr>
      <xdr:blipFill>
        <a:blip xmlns:r="http://schemas.openxmlformats.org/officeDocument/2006/relationships" r:embed="rId34" cstate="print">
          <a:clrChange>
            <a:clrFrom>
              <a:srgbClr val="FFFFFF"/>
            </a:clrFrom>
            <a:clrTo>
              <a:srgbClr val="FFFFFF">
                <a:alpha val="0"/>
              </a:srgbClr>
            </a:clrTo>
          </a:clrChange>
          <a:lum bright="-20000"/>
        </a:blip>
        <a:stretch>
          <a:fillRect/>
        </a:stretch>
      </xdr:blipFill>
      <xdr:spPr>
        <a:xfrm>
          <a:off x="3193255" y="247364250"/>
          <a:ext cx="0" cy="856680"/>
        </a:xfrm>
        <a:prstGeom prst="rect">
          <a:avLst/>
        </a:prstGeom>
      </xdr:spPr>
    </xdr:pic>
    <xdr:clientData/>
  </xdr:twoCellAnchor>
  <xdr:twoCellAnchor editAs="oneCell">
    <xdr:from>
      <xdr:col>4</xdr:col>
      <xdr:colOff>644923</xdr:colOff>
      <xdr:row>1079</xdr:row>
      <xdr:rowOff>0</xdr:rowOff>
    </xdr:from>
    <xdr:to>
      <xdr:col>5</xdr:col>
      <xdr:colOff>62840</xdr:colOff>
      <xdr:row>1083</xdr:row>
      <xdr:rowOff>72115</xdr:rowOff>
    </xdr:to>
    <xdr:pic>
      <xdr:nvPicPr>
        <xdr:cNvPr id="88" name="Imagem 98" descr="SB_parteII.JPG">
          <a:extLst>
            <a:ext uri="{FF2B5EF4-FFF2-40B4-BE49-F238E27FC236}">
              <a16:creationId xmlns:a16="http://schemas.microsoft.com/office/drawing/2014/main" id="{00000000-0008-0000-0B00-000058000000}"/>
            </a:ext>
          </a:extLst>
        </xdr:cNvPr>
        <xdr:cNvPicPr>
          <a:picLocks noChangeAspect="1"/>
        </xdr:cNvPicPr>
      </xdr:nvPicPr>
      <xdr:blipFill>
        <a:blip xmlns:r="http://schemas.openxmlformats.org/officeDocument/2006/relationships" r:embed="rId30" cstate="print">
          <a:clrChange>
            <a:clrFrom>
              <a:srgbClr val="FFFFFF"/>
            </a:clrFrom>
            <a:clrTo>
              <a:srgbClr val="FFFFFF">
                <a:alpha val="0"/>
              </a:srgbClr>
            </a:clrTo>
          </a:clrChange>
          <a:lum bright="-20000"/>
        </a:blip>
        <a:stretch>
          <a:fillRect/>
        </a:stretch>
      </xdr:blipFill>
      <xdr:spPr>
        <a:xfrm>
          <a:off x="3188098" y="247364250"/>
          <a:ext cx="0" cy="834115"/>
        </a:xfrm>
        <a:prstGeom prst="rect">
          <a:avLst/>
        </a:prstGeom>
      </xdr:spPr>
    </xdr:pic>
    <xdr:clientData/>
  </xdr:twoCellAnchor>
  <xdr:twoCellAnchor editAs="oneCell">
    <xdr:from>
      <xdr:col>3</xdr:col>
      <xdr:colOff>23775</xdr:colOff>
      <xdr:row>1057</xdr:row>
      <xdr:rowOff>0</xdr:rowOff>
    </xdr:from>
    <xdr:to>
      <xdr:col>3</xdr:col>
      <xdr:colOff>23775</xdr:colOff>
      <xdr:row>1061</xdr:row>
      <xdr:rowOff>2291</xdr:rowOff>
    </xdr:to>
    <xdr:pic>
      <xdr:nvPicPr>
        <xdr:cNvPr id="89" name="Imagem 47" descr="MOS_med_cres.JPG">
          <a:extLst>
            <a:ext uri="{FF2B5EF4-FFF2-40B4-BE49-F238E27FC236}">
              <a16:creationId xmlns:a16="http://schemas.microsoft.com/office/drawing/2014/main" id="{00000000-0008-0000-0B00-000059000000}"/>
            </a:ext>
          </a:extLst>
        </xdr:cNvPr>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lum bright="-20000"/>
        </a:blip>
        <a:stretch>
          <a:fillRect/>
        </a:stretch>
      </xdr:blipFill>
      <xdr:spPr>
        <a:xfrm>
          <a:off x="3124692" y="234484333"/>
          <a:ext cx="0" cy="721957"/>
        </a:xfrm>
        <a:prstGeom prst="rect">
          <a:avLst/>
        </a:prstGeom>
      </xdr:spPr>
    </xdr:pic>
    <xdr:clientData/>
  </xdr:twoCellAnchor>
  <xdr:twoCellAnchor editAs="oneCell">
    <xdr:from>
      <xdr:col>3</xdr:col>
      <xdr:colOff>23814</xdr:colOff>
      <xdr:row>1057</xdr:row>
      <xdr:rowOff>0</xdr:rowOff>
    </xdr:from>
    <xdr:to>
      <xdr:col>3</xdr:col>
      <xdr:colOff>23814</xdr:colOff>
      <xdr:row>1060</xdr:row>
      <xdr:rowOff>175450</xdr:rowOff>
    </xdr:to>
    <xdr:pic>
      <xdr:nvPicPr>
        <xdr:cNvPr id="90" name="Imagem 49" descr="MOS_med_dec.JPG">
          <a:extLst>
            <a:ext uri="{FF2B5EF4-FFF2-40B4-BE49-F238E27FC236}">
              <a16:creationId xmlns:a16="http://schemas.microsoft.com/office/drawing/2014/main" id="{00000000-0008-0000-0B00-00005A000000}"/>
            </a:ext>
          </a:extLst>
        </xdr:cNvPr>
        <xdr:cNvPicPr>
          <a:picLocks noChangeAspect="1"/>
        </xdr:cNvPicPr>
      </xdr:nvPicPr>
      <xdr:blipFill>
        <a:blip xmlns:r="http://schemas.openxmlformats.org/officeDocument/2006/relationships" r:embed="rId6" cstate="print">
          <a:clrChange>
            <a:clrFrom>
              <a:srgbClr val="FFFFFF"/>
            </a:clrFrom>
            <a:clrTo>
              <a:srgbClr val="FFFFFF">
                <a:alpha val="0"/>
              </a:srgbClr>
            </a:clrTo>
          </a:clrChange>
          <a:lum bright="-20000"/>
        </a:blip>
        <a:stretch>
          <a:fillRect/>
        </a:stretch>
      </xdr:blipFill>
      <xdr:spPr>
        <a:xfrm>
          <a:off x="3124731" y="234484333"/>
          <a:ext cx="0" cy="715200"/>
        </a:xfrm>
        <a:prstGeom prst="rect">
          <a:avLst/>
        </a:prstGeom>
      </xdr:spPr>
    </xdr:pic>
    <xdr:clientData/>
  </xdr:twoCellAnchor>
  <xdr:twoCellAnchor editAs="oneCell">
    <xdr:from>
      <xdr:col>3</xdr:col>
      <xdr:colOff>7938</xdr:colOff>
      <xdr:row>1057</xdr:row>
      <xdr:rowOff>0</xdr:rowOff>
    </xdr:from>
    <xdr:to>
      <xdr:col>3</xdr:col>
      <xdr:colOff>7938</xdr:colOff>
      <xdr:row>1061</xdr:row>
      <xdr:rowOff>176738</xdr:rowOff>
    </xdr:to>
    <xdr:pic>
      <xdr:nvPicPr>
        <xdr:cNvPr id="91" name="Imagem 76" descr="P_med_dec.JPG">
          <a:extLst>
            <a:ext uri="{FF2B5EF4-FFF2-40B4-BE49-F238E27FC236}">
              <a16:creationId xmlns:a16="http://schemas.microsoft.com/office/drawing/2014/main" id="{00000000-0008-0000-0B00-00005B000000}"/>
            </a:ext>
          </a:extLst>
        </xdr:cNvPr>
        <xdr:cNvPicPr>
          <a:picLocks noChangeAspect="1"/>
        </xdr:cNvPicPr>
      </xdr:nvPicPr>
      <xdr:blipFill>
        <a:blip xmlns:r="http://schemas.openxmlformats.org/officeDocument/2006/relationships" r:embed="rId14" cstate="print">
          <a:clrChange>
            <a:clrFrom>
              <a:srgbClr val="FFFFFF"/>
            </a:clrFrom>
            <a:clrTo>
              <a:srgbClr val="FFFFFF">
                <a:alpha val="0"/>
              </a:srgbClr>
            </a:clrTo>
          </a:clrChange>
          <a:lum bright="-20000"/>
        </a:blip>
        <a:stretch>
          <a:fillRect/>
        </a:stretch>
      </xdr:blipFill>
      <xdr:spPr>
        <a:xfrm>
          <a:off x="3108855" y="234484333"/>
          <a:ext cx="0" cy="896404"/>
        </a:xfrm>
        <a:prstGeom prst="rect">
          <a:avLst/>
        </a:prstGeom>
      </xdr:spPr>
    </xdr:pic>
    <xdr:clientData/>
  </xdr:twoCellAnchor>
  <xdr:twoCellAnchor editAs="oneCell">
    <xdr:from>
      <xdr:col>3</xdr:col>
      <xdr:colOff>276962</xdr:colOff>
      <xdr:row>1057</xdr:row>
      <xdr:rowOff>0</xdr:rowOff>
    </xdr:from>
    <xdr:to>
      <xdr:col>3</xdr:col>
      <xdr:colOff>276962</xdr:colOff>
      <xdr:row>1061</xdr:row>
      <xdr:rowOff>92871</xdr:rowOff>
    </xdr:to>
    <xdr:pic>
      <xdr:nvPicPr>
        <xdr:cNvPr id="92" name="Imagem 55" descr="Ca_dec.JPG">
          <a:extLst>
            <a:ext uri="{FF2B5EF4-FFF2-40B4-BE49-F238E27FC236}">
              <a16:creationId xmlns:a16="http://schemas.microsoft.com/office/drawing/2014/main" id="{00000000-0008-0000-0B00-00005C000000}"/>
            </a:ext>
          </a:extLst>
        </xdr:cNvPr>
        <xdr:cNvPicPr>
          <a:picLocks noChangeAspect="1"/>
        </xdr:cNvPicPr>
      </xdr:nvPicPr>
      <xdr:blipFill>
        <a:blip xmlns:r="http://schemas.openxmlformats.org/officeDocument/2006/relationships" r:embed="rId18" cstate="print">
          <a:clrChange>
            <a:clrFrom>
              <a:srgbClr val="FFFFFF"/>
            </a:clrFrom>
            <a:clrTo>
              <a:srgbClr val="FFFFFF">
                <a:alpha val="0"/>
              </a:srgbClr>
            </a:clrTo>
          </a:clrChange>
          <a:lum bright="-20000"/>
        </a:blip>
        <a:stretch>
          <a:fillRect/>
        </a:stretch>
      </xdr:blipFill>
      <xdr:spPr>
        <a:xfrm>
          <a:off x="3377879" y="234484333"/>
          <a:ext cx="0" cy="812537"/>
        </a:xfrm>
        <a:prstGeom prst="rect">
          <a:avLst/>
        </a:prstGeom>
      </xdr:spPr>
    </xdr:pic>
    <xdr:clientData/>
  </xdr:twoCellAnchor>
  <xdr:twoCellAnchor editAs="oneCell">
    <xdr:from>
      <xdr:col>3</xdr:col>
      <xdr:colOff>302081</xdr:colOff>
      <xdr:row>1057</xdr:row>
      <xdr:rowOff>0</xdr:rowOff>
    </xdr:from>
    <xdr:to>
      <xdr:col>3</xdr:col>
      <xdr:colOff>302081</xdr:colOff>
      <xdr:row>1061</xdr:row>
      <xdr:rowOff>100141</xdr:rowOff>
    </xdr:to>
    <xdr:pic>
      <xdr:nvPicPr>
        <xdr:cNvPr id="93" name="Imagem 61" descr="Mg_dec.JPG">
          <a:extLst>
            <a:ext uri="{FF2B5EF4-FFF2-40B4-BE49-F238E27FC236}">
              <a16:creationId xmlns:a16="http://schemas.microsoft.com/office/drawing/2014/main" id="{00000000-0008-0000-0B00-00005D000000}"/>
            </a:ext>
          </a:extLst>
        </xdr:cNvPr>
        <xdr:cNvPicPr>
          <a:picLocks noChangeAspect="1"/>
        </xdr:cNvPicPr>
      </xdr:nvPicPr>
      <xdr:blipFill>
        <a:blip xmlns:r="http://schemas.openxmlformats.org/officeDocument/2006/relationships" r:embed="rId20" cstate="print">
          <a:clrChange>
            <a:clrFrom>
              <a:srgbClr val="FFFFFF"/>
            </a:clrFrom>
            <a:clrTo>
              <a:srgbClr val="FFFFFF">
                <a:alpha val="0"/>
              </a:srgbClr>
            </a:clrTo>
          </a:clrChange>
          <a:lum bright="-20000"/>
        </a:blip>
        <a:stretch>
          <a:fillRect/>
        </a:stretch>
      </xdr:blipFill>
      <xdr:spPr>
        <a:xfrm>
          <a:off x="3402998" y="234484333"/>
          <a:ext cx="0" cy="819807"/>
        </a:xfrm>
        <a:prstGeom prst="rect">
          <a:avLst/>
        </a:prstGeom>
      </xdr:spPr>
    </xdr:pic>
    <xdr:clientData/>
  </xdr:twoCellAnchor>
  <xdr:twoCellAnchor editAs="oneCell">
    <xdr:from>
      <xdr:col>3</xdr:col>
      <xdr:colOff>321037</xdr:colOff>
      <xdr:row>1057</xdr:row>
      <xdr:rowOff>0</xdr:rowOff>
    </xdr:from>
    <xdr:to>
      <xdr:col>3</xdr:col>
      <xdr:colOff>321037</xdr:colOff>
      <xdr:row>1061</xdr:row>
      <xdr:rowOff>77392</xdr:rowOff>
    </xdr:to>
    <xdr:pic>
      <xdr:nvPicPr>
        <xdr:cNvPr id="94" name="Imagem 64" descr="K_dec.JPG">
          <a:extLst>
            <a:ext uri="{FF2B5EF4-FFF2-40B4-BE49-F238E27FC236}">
              <a16:creationId xmlns:a16="http://schemas.microsoft.com/office/drawing/2014/main" id="{00000000-0008-0000-0B00-00005E000000}"/>
            </a:ext>
          </a:extLst>
        </xdr:cNvPr>
        <xdr:cNvPicPr>
          <a:picLocks noChangeAspect="1"/>
        </xdr:cNvPicPr>
      </xdr:nvPicPr>
      <xdr:blipFill>
        <a:blip xmlns:r="http://schemas.openxmlformats.org/officeDocument/2006/relationships" r:embed="rId22" cstate="print">
          <a:clrChange>
            <a:clrFrom>
              <a:srgbClr val="FFFFFF"/>
            </a:clrFrom>
            <a:clrTo>
              <a:srgbClr val="FFFFFF">
                <a:alpha val="0"/>
              </a:srgbClr>
            </a:clrTo>
          </a:clrChange>
          <a:lum bright="-20000"/>
        </a:blip>
        <a:stretch>
          <a:fillRect/>
        </a:stretch>
      </xdr:blipFill>
      <xdr:spPr>
        <a:xfrm>
          <a:off x="3421954" y="234484333"/>
          <a:ext cx="0" cy="797058"/>
        </a:xfrm>
        <a:prstGeom prst="rect">
          <a:avLst/>
        </a:prstGeom>
      </xdr:spPr>
    </xdr:pic>
    <xdr:clientData/>
  </xdr:twoCellAnchor>
  <xdr:twoCellAnchor editAs="oneCell">
    <xdr:from>
      <xdr:col>3</xdr:col>
      <xdr:colOff>404813</xdr:colOff>
      <xdr:row>1057</xdr:row>
      <xdr:rowOff>0</xdr:rowOff>
    </xdr:from>
    <xdr:to>
      <xdr:col>3</xdr:col>
      <xdr:colOff>404813</xdr:colOff>
      <xdr:row>1061</xdr:row>
      <xdr:rowOff>47625</xdr:rowOff>
    </xdr:to>
    <xdr:pic>
      <xdr:nvPicPr>
        <xdr:cNvPr id="95" name="Imagem 37" descr="pH_dec.JPG">
          <a:extLst>
            <a:ext uri="{FF2B5EF4-FFF2-40B4-BE49-F238E27FC236}">
              <a16:creationId xmlns:a16="http://schemas.microsoft.com/office/drawing/2014/main" id="{00000000-0008-0000-0B00-00005F000000}"/>
            </a:ext>
          </a:extLst>
        </xdr:cNvPr>
        <xdr:cNvPicPr>
          <a:picLocks noChangeAspect="1"/>
        </xdr:cNvPicPr>
      </xdr:nvPicPr>
      <xdr:blipFill>
        <a:blip xmlns:r="http://schemas.openxmlformats.org/officeDocument/2006/relationships" r:embed="rId24" cstate="print">
          <a:clrChange>
            <a:clrFrom>
              <a:srgbClr val="FFFFFF"/>
            </a:clrFrom>
            <a:clrTo>
              <a:srgbClr val="FFFFFF">
                <a:alpha val="0"/>
              </a:srgbClr>
            </a:clrTo>
          </a:clrChange>
          <a:lum bright="-20000"/>
        </a:blip>
        <a:stretch>
          <a:fillRect/>
        </a:stretch>
      </xdr:blipFill>
      <xdr:spPr>
        <a:xfrm>
          <a:off x="3505730" y="234484333"/>
          <a:ext cx="0" cy="767291"/>
        </a:xfrm>
        <a:prstGeom prst="rect">
          <a:avLst/>
        </a:prstGeom>
      </xdr:spPr>
    </xdr:pic>
    <xdr:clientData/>
  </xdr:twoCellAnchor>
  <xdr:twoCellAnchor editAs="oneCell">
    <xdr:from>
      <xdr:col>3</xdr:col>
      <xdr:colOff>506069</xdr:colOff>
      <xdr:row>1057</xdr:row>
      <xdr:rowOff>0</xdr:rowOff>
    </xdr:from>
    <xdr:to>
      <xdr:col>3</xdr:col>
      <xdr:colOff>551577</xdr:colOff>
      <xdr:row>1061</xdr:row>
      <xdr:rowOff>126603</xdr:rowOff>
    </xdr:to>
    <xdr:pic>
      <xdr:nvPicPr>
        <xdr:cNvPr id="96" name="Imagem 92" descr="Al_parte II.JPG">
          <a:extLst>
            <a:ext uri="{FF2B5EF4-FFF2-40B4-BE49-F238E27FC236}">
              <a16:creationId xmlns:a16="http://schemas.microsoft.com/office/drawing/2014/main" id="{00000000-0008-0000-0B00-000060000000}"/>
            </a:ext>
          </a:extLst>
        </xdr:cNvPr>
        <xdr:cNvPicPr>
          <a:picLocks noChangeAspect="1"/>
        </xdr:cNvPicPr>
      </xdr:nvPicPr>
      <xdr:blipFill>
        <a:blip xmlns:r="http://schemas.openxmlformats.org/officeDocument/2006/relationships" r:embed="rId26" cstate="print">
          <a:clrChange>
            <a:clrFrom>
              <a:srgbClr val="FFFFFF"/>
            </a:clrFrom>
            <a:clrTo>
              <a:srgbClr val="FFFFFF">
                <a:alpha val="0"/>
              </a:srgbClr>
            </a:clrTo>
          </a:clrChange>
          <a:lum bright="-20000"/>
        </a:blip>
        <a:stretch>
          <a:fillRect/>
        </a:stretch>
      </xdr:blipFill>
      <xdr:spPr>
        <a:xfrm>
          <a:off x="3606986" y="234484333"/>
          <a:ext cx="45508" cy="846269"/>
        </a:xfrm>
        <a:prstGeom prst="rect">
          <a:avLst/>
        </a:prstGeom>
      </xdr:spPr>
    </xdr:pic>
    <xdr:clientData/>
  </xdr:twoCellAnchor>
  <xdr:twoCellAnchor editAs="oneCell">
    <xdr:from>
      <xdr:col>3</xdr:col>
      <xdr:colOff>535780</xdr:colOff>
      <xdr:row>1057</xdr:row>
      <xdr:rowOff>0</xdr:rowOff>
    </xdr:from>
    <xdr:to>
      <xdr:col>3</xdr:col>
      <xdr:colOff>552713</xdr:colOff>
      <xdr:row>1061</xdr:row>
      <xdr:rowOff>94680</xdr:rowOff>
    </xdr:to>
    <xdr:pic>
      <xdr:nvPicPr>
        <xdr:cNvPr id="97" name="Imagem 94" descr="CTC_parteII.JPG">
          <a:extLst>
            <a:ext uri="{FF2B5EF4-FFF2-40B4-BE49-F238E27FC236}">
              <a16:creationId xmlns:a16="http://schemas.microsoft.com/office/drawing/2014/main" id="{00000000-0008-0000-0B00-000061000000}"/>
            </a:ext>
          </a:extLst>
        </xdr:cNvPr>
        <xdr:cNvPicPr>
          <a:picLocks noChangeAspect="1"/>
        </xdr:cNvPicPr>
      </xdr:nvPicPr>
      <xdr:blipFill>
        <a:blip xmlns:r="http://schemas.openxmlformats.org/officeDocument/2006/relationships" r:embed="rId34" cstate="print">
          <a:clrChange>
            <a:clrFrom>
              <a:srgbClr val="FFFFFF"/>
            </a:clrFrom>
            <a:clrTo>
              <a:srgbClr val="FFFFFF">
                <a:alpha val="0"/>
              </a:srgbClr>
            </a:clrTo>
          </a:clrChange>
          <a:lum bright="-20000"/>
        </a:blip>
        <a:stretch>
          <a:fillRect/>
        </a:stretch>
      </xdr:blipFill>
      <xdr:spPr>
        <a:xfrm>
          <a:off x="3636697" y="234484333"/>
          <a:ext cx="16933" cy="814346"/>
        </a:xfrm>
        <a:prstGeom prst="rect">
          <a:avLst/>
        </a:prstGeom>
      </xdr:spPr>
    </xdr:pic>
    <xdr:clientData/>
  </xdr:twoCellAnchor>
  <xdr:twoCellAnchor editAs="oneCell">
    <xdr:from>
      <xdr:col>3</xdr:col>
      <xdr:colOff>644923</xdr:colOff>
      <xdr:row>1057</xdr:row>
      <xdr:rowOff>0</xdr:rowOff>
    </xdr:from>
    <xdr:to>
      <xdr:col>4</xdr:col>
      <xdr:colOff>16273</xdr:colOff>
      <xdr:row>1061</xdr:row>
      <xdr:rowOff>72115</xdr:rowOff>
    </xdr:to>
    <xdr:pic>
      <xdr:nvPicPr>
        <xdr:cNvPr id="98" name="Imagem 98" descr="SB_parteII.JPG">
          <a:extLst>
            <a:ext uri="{FF2B5EF4-FFF2-40B4-BE49-F238E27FC236}">
              <a16:creationId xmlns:a16="http://schemas.microsoft.com/office/drawing/2014/main" id="{00000000-0008-0000-0B00-000062000000}"/>
            </a:ext>
          </a:extLst>
        </xdr:cNvPr>
        <xdr:cNvPicPr>
          <a:picLocks noChangeAspect="1"/>
        </xdr:cNvPicPr>
      </xdr:nvPicPr>
      <xdr:blipFill>
        <a:blip xmlns:r="http://schemas.openxmlformats.org/officeDocument/2006/relationships" r:embed="rId30" cstate="print">
          <a:clrChange>
            <a:clrFrom>
              <a:srgbClr val="FFFFFF"/>
            </a:clrFrom>
            <a:clrTo>
              <a:srgbClr val="FFFFFF">
                <a:alpha val="0"/>
              </a:srgbClr>
            </a:clrTo>
          </a:clrChange>
          <a:lum bright="-20000"/>
        </a:blip>
        <a:stretch>
          <a:fillRect/>
        </a:stretch>
      </xdr:blipFill>
      <xdr:spPr>
        <a:xfrm>
          <a:off x="3644240" y="234484333"/>
          <a:ext cx="69850" cy="791781"/>
        </a:xfrm>
        <a:prstGeom prst="rect">
          <a:avLst/>
        </a:prstGeom>
      </xdr:spPr>
    </xdr:pic>
    <xdr:clientData/>
  </xdr:twoCellAnchor>
  <xdr:twoCellAnchor editAs="oneCell">
    <xdr:from>
      <xdr:col>5</xdr:col>
      <xdr:colOff>31752</xdr:colOff>
      <xdr:row>1057</xdr:row>
      <xdr:rowOff>0</xdr:rowOff>
    </xdr:from>
    <xdr:to>
      <xdr:col>5</xdr:col>
      <xdr:colOff>31752</xdr:colOff>
      <xdr:row>1060</xdr:row>
      <xdr:rowOff>174100</xdr:rowOff>
    </xdr:to>
    <xdr:pic>
      <xdr:nvPicPr>
        <xdr:cNvPr id="107" name="Imagem 50" descr="MOS_arg_cres.JPG">
          <a:extLst>
            <a:ext uri="{FF2B5EF4-FFF2-40B4-BE49-F238E27FC236}">
              <a16:creationId xmlns:a16="http://schemas.microsoft.com/office/drawing/2014/main" id="{00000000-0008-0000-0B00-00006B000000}"/>
            </a:ext>
          </a:extLst>
        </xdr:cNvPr>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lum bright="-20000"/>
        </a:blip>
        <a:stretch>
          <a:fillRect/>
        </a:stretch>
      </xdr:blipFill>
      <xdr:spPr>
        <a:xfrm>
          <a:off x="5080002" y="234484333"/>
          <a:ext cx="0" cy="713850"/>
        </a:xfrm>
        <a:prstGeom prst="rect">
          <a:avLst/>
        </a:prstGeom>
      </xdr:spPr>
    </xdr:pic>
    <xdr:clientData/>
  </xdr:twoCellAnchor>
  <xdr:twoCellAnchor editAs="oneCell">
    <xdr:from>
      <xdr:col>8</xdr:col>
      <xdr:colOff>31752</xdr:colOff>
      <xdr:row>1057</xdr:row>
      <xdr:rowOff>0</xdr:rowOff>
    </xdr:from>
    <xdr:to>
      <xdr:col>8</xdr:col>
      <xdr:colOff>31752</xdr:colOff>
      <xdr:row>1061</xdr:row>
      <xdr:rowOff>539</xdr:rowOff>
    </xdr:to>
    <xdr:pic>
      <xdr:nvPicPr>
        <xdr:cNvPr id="108" name="Imagem 52" descr="MOS_marg_cres.JPG">
          <a:extLst>
            <a:ext uri="{FF2B5EF4-FFF2-40B4-BE49-F238E27FC236}">
              <a16:creationId xmlns:a16="http://schemas.microsoft.com/office/drawing/2014/main" id="{00000000-0008-0000-0B00-00006C000000}"/>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lum bright="-20000"/>
        </a:blip>
        <a:stretch>
          <a:fillRect/>
        </a:stretch>
      </xdr:blipFill>
      <xdr:spPr>
        <a:xfrm>
          <a:off x="6932085" y="234484333"/>
          <a:ext cx="0" cy="720205"/>
        </a:xfrm>
        <a:prstGeom prst="rect">
          <a:avLst/>
        </a:prstGeom>
      </xdr:spPr>
    </xdr:pic>
    <xdr:clientData/>
  </xdr:twoCellAnchor>
  <xdr:twoCellAnchor editAs="oneCell">
    <xdr:from>
      <xdr:col>5</xdr:col>
      <xdr:colOff>47628</xdr:colOff>
      <xdr:row>1057</xdr:row>
      <xdr:rowOff>0</xdr:rowOff>
    </xdr:from>
    <xdr:to>
      <xdr:col>5</xdr:col>
      <xdr:colOff>47628</xdr:colOff>
      <xdr:row>1061</xdr:row>
      <xdr:rowOff>4114</xdr:rowOff>
    </xdr:to>
    <xdr:pic>
      <xdr:nvPicPr>
        <xdr:cNvPr id="109" name="Imagem 51" descr="MOS_arg_dec.JPG">
          <a:extLst>
            <a:ext uri="{FF2B5EF4-FFF2-40B4-BE49-F238E27FC236}">
              <a16:creationId xmlns:a16="http://schemas.microsoft.com/office/drawing/2014/main" id="{00000000-0008-0000-0B00-00006D000000}"/>
            </a:ext>
          </a:extLst>
        </xdr:cNvPr>
        <xdr:cNvPicPr>
          <a:picLocks noChangeAspect="1"/>
        </xdr:cNvPicPr>
      </xdr:nvPicPr>
      <xdr:blipFill>
        <a:blip xmlns:r="http://schemas.openxmlformats.org/officeDocument/2006/relationships" r:embed="rId7" cstate="print">
          <a:clrChange>
            <a:clrFrom>
              <a:srgbClr val="FFFFFF"/>
            </a:clrFrom>
            <a:clrTo>
              <a:srgbClr val="FFFFFF">
                <a:alpha val="0"/>
              </a:srgbClr>
            </a:clrTo>
          </a:clrChange>
          <a:lum bright="-20000"/>
        </a:blip>
        <a:stretch>
          <a:fillRect/>
        </a:stretch>
      </xdr:blipFill>
      <xdr:spPr>
        <a:xfrm>
          <a:off x="5095878" y="234484333"/>
          <a:ext cx="0" cy="723780"/>
        </a:xfrm>
        <a:prstGeom prst="rect">
          <a:avLst/>
        </a:prstGeom>
      </xdr:spPr>
    </xdr:pic>
    <xdr:clientData/>
  </xdr:twoCellAnchor>
  <xdr:twoCellAnchor editAs="oneCell">
    <xdr:from>
      <xdr:col>8</xdr:col>
      <xdr:colOff>7938</xdr:colOff>
      <xdr:row>1057</xdr:row>
      <xdr:rowOff>0</xdr:rowOff>
    </xdr:from>
    <xdr:to>
      <xdr:col>8</xdr:col>
      <xdr:colOff>7938</xdr:colOff>
      <xdr:row>1061</xdr:row>
      <xdr:rowOff>1027</xdr:rowOff>
    </xdr:to>
    <xdr:pic>
      <xdr:nvPicPr>
        <xdr:cNvPr id="110" name="Imagem 53" descr="MOS_marg_dec.JPG">
          <a:extLst>
            <a:ext uri="{FF2B5EF4-FFF2-40B4-BE49-F238E27FC236}">
              <a16:creationId xmlns:a16="http://schemas.microsoft.com/office/drawing/2014/main" id="{00000000-0008-0000-0B00-00006E000000}"/>
            </a:ext>
          </a:extLst>
        </xdr:cNvPr>
        <xdr:cNvPicPr>
          <a:picLocks noChangeAspect="1"/>
        </xdr:cNvPicPr>
      </xdr:nvPicPr>
      <xdr:blipFill>
        <a:blip xmlns:r="http://schemas.openxmlformats.org/officeDocument/2006/relationships" r:embed="rId8" cstate="print">
          <a:clrChange>
            <a:clrFrom>
              <a:srgbClr val="FFFFFF"/>
            </a:clrFrom>
            <a:clrTo>
              <a:srgbClr val="FFFFFF">
                <a:alpha val="0"/>
              </a:srgbClr>
            </a:clrTo>
          </a:clrChange>
          <a:lum bright="-20000"/>
        </a:blip>
        <a:stretch>
          <a:fillRect/>
        </a:stretch>
      </xdr:blipFill>
      <xdr:spPr>
        <a:xfrm>
          <a:off x="6908271" y="234484333"/>
          <a:ext cx="0" cy="720693"/>
        </a:xfrm>
        <a:prstGeom prst="rect">
          <a:avLst/>
        </a:prstGeom>
      </xdr:spPr>
    </xdr:pic>
    <xdr:clientData/>
  </xdr:twoCellAnchor>
  <xdr:twoCellAnchor editAs="oneCell">
    <xdr:from>
      <xdr:col>5</xdr:col>
      <xdr:colOff>15876</xdr:colOff>
      <xdr:row>1057</xdr:row>
      <xdr:rowOff>0</xdr:rowOff>
    </xdr:from>
    <xdr:to>
      <xdr:col>5</xdr:col>
      <xdr:colOff>15876</xdr:colOff>
      <xdr:row>1061</xdr:row>
      <xdr:rowOff>8762</xdr:rowOff>
    </xdr:to>
    <xdr:pic>
      <xdr:nvPicPr>
        <xdr:cNvPr id="111" name="Imagem 77" descr="P_arg_cre.JPG">
          <a:extLst>
            <a:ext uri="{FF2B5EF4-FFF2-40B4-BE49-F238E27FC236}">
              <a16:creationId xmlns:a16="http://schemas.microsoft.com/office/drawing/2014/main" id="{00000000-0008-0000-0B00-00006F000000}"/>
            </a:ext>
          </a:extLst>
        </xdr:cNvPr>
        <xdr:cNvPicPr>
          <a:picLocks noChangeAspect="1"/>
        </xdr:cNvPicPr>
      </xdr:nvPicPr>
      <xdr:blipFill>
        <a:blip xmlns:r="http://schemas.openxmlformats.org/officeDocument/2006/relationships" r:embed="rId11" cstate="print">
          <a:clrChange>
            <a:clrFrom>
              <a:srgbClr val="FFFFFF"/>
            </a:clrFrom>
            <a:clrTo>
              <a:srgbClr val="FFFFFF">
                <a:alpha val="0"/>
              </a:srgbClr>
            </a:clrTo>
          </a:clrChange>
          <a:lum bright="-20000"/>
        </a:blip>
        <a:stretch>
          <a:fillRect/>
        </a:stretch>
      </xdr:blipFill>
      <xdr:spPr>
        <a:xfrm>
          <a:off x="5064126" y="234484333"/>
          <a:ext cx="0" cy="728428"/>
        </a:xfrm>
        <a:prstGeom prst="rect">
          <a:avLst/>
        </a:prstGeom>
      </xdr:spPr>
    </xdr:pic>
    <xdr:clientData/>
  </xdr:twoCellAnchor>
  <xdr:twoCellAnchor editAs="oneCell">
    <xdr:from>
      <xdr:col>8</xdr:col>
      <xdr:colOff>253977</xdr:colOff>
      <xdr:row>1057</xdr:row>
      <xdr:rowOff>0</xdr:rowOff>
    </xdr:from>
    <xdr:to>
      <xdr:col>8</xdr:col>
      <xdr:colOff>253977</xdr:colOff>
      <xdr:row>1061</xdr:row>
      <xdr:rowOff>21287</xdr:rowOff>
    </xdr:to>
    <xdr:pic>
      <xdr:nvPicPr>
        <xdr:cNvPr id="112" name="Imagem 79" descr="P_marg_cre.JPG">
          <a:extLst>
            <a:ext uri="{FF2B5EF4-FFF2-40B4-BE49-F238E27FC236}">
              <a16:creationId xmlns:a16="http://schemas.microsoft.com/office/drawing/2014/main" id="{00000000-0008-0000-0B00-000070000000}"/>
            </a:ext>
          </a:extLst>
        </xdr:cNvPr>
        <xdr:cNvPicPr>
          <a:picLocks noChangeAspect="1"/>
        </xdr:cNvPicPr>
      </xdr:nvPicPr>
      <xdr:blipFill>
        <a:blip xmlns:r="http://schemas.openxmlformats.org/officeDocument/2006/relationships" r:embed="rId12" cstate="print">
          <a:clrChange>
            <a:clrFrom>
              <a:srgbClr val="FFFFFF"/>
            </a:clrFrom>
            <a:clrTo>
              <a:srgbClr val="FFFFFF">
                <a:alpha val="0"/>
              </a:srgbClr>
            </a:clrTo>
          </a:clrChange>
          <a:lum bright="-20000"/>
        </a:blip>
        <a:stretch>
          <a:fillRect/>
        </a:stretch>
      </xdr:blipFill>
      <xdr:spPr>
        <a:xfrm>
          <a:off x="7154310" y="234484333"/>
          <a:ext cx="0" cy="740953"/>
        </a:xfrm>
        <a:prstGeom prst="rect">
          <a:avLst/>
        </a:prstGeom>
      </xdr:spPr>
    </xdr:pic>
    <xdr:clientData/>
  </xdr:twoCellAnchor>
  <xdr:twoCellAnchor editAs="oneCell">
    <xdr:from>
      <xdr:col>8</xdr:col>
      <xdr:colOff>404799</xdr:colOff>
      <xdr:row>1057</xdr:row>
      <xdr:rowOff>0</xdr:rowOff>
    </xdr:from>
    <xdr:to>
      <xdr:col>9</xdr:col>
      <xdr:colOff>4749</xdr:colOff>
      <xdr:row>1062</xdr:row>
      <xdr:rowOff>395</xdr:rowOff>
    </xdr:to>
    <xdr:pic>
      <xdr:nvPicPr>
        <xdr:cNvPr id="114" name="Imagem 80" descr="P_marg_dec.JPG">
          <a:extLst>
            <a:ext uri="{FF2B5EF4-FFF2-40B4-BE49-F238E27FC236}">
              <a16:creationId xmlns:a16="http://schemas.microsoft.com/office/drawing/2014/main" id="{00000000-0008-0000-0B00-000072000000}"/>
            </a:ext>
          </a:extLst>
        </xdr:cNvPr>
        <xdr:cNvPicPr>
          <a:picLocks noChangeAspect="1"/>
        </xdr:cNvPicPr>
      </xdr:nvPicPr>
      <xdr:blipFill>
        <a:blip xmlns:r="http://schemas.openxmlformats.org/officeDocument/2006/relationships" r:embed="rId16" cstate="print">
          <a:clrChange>
            <a:clrFrom>
              <a:srgbClr val="FFFFFF"/>
            </a:clrFrom>
            <a:clrTo>
              <a:srgbClr val="FFFFFF">
                <a:alpha val="0"/>
              </a:srgbClr>
            </a:clrTo>
          </a:clrChange>
          <a:lum bright="-20000"/>
        </a:blip>
        <a:stretch>
          <a:fillRect/>
        </a:stretch>
      </xdr:blipFill>
      <xdr:spPr>
        <a:xfrm>
          <a:off x="7305132" y="234484333"/>
          <a:ext cx="0" cy="89997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66"/>
  </sheetPr>
  <dimension ref="A1:AZ432"/>
  <sheetViews>
    <sheetView tabSelected="1" zoomScaleNormal="100" zoomScalePageLayoutView="150" workbookViewId="0">
      <selection activeCell="F293" sqref="F293"/>
    </sheetView>
  </sheetViews>
  <sheetFormatPr defaultColWidth="0" defaultRowHeight="15" zeroHeight="1" x14ac:dyDescent="0.25"/>
  <cols>
    <col min="1" max="1" width="4.42578125" style="15" customWidth="1"/>
    <col min="2" max="2" width="13.42578125" style="15" bestFit="1" customWidth="1"/>
    <col min="3" max="3" width="10.85546875" style="15" bestFit="1" customWidth="1"/>
    <col min="4" max="4" width="11.42578125" style="15" customWidth="1"/>
    <col min="5" max="5" width="11.140625" style="15" customWidth="1"/>
    <col min="6" max="7" width="12.42578125" style="15" customWidth="1"/>
    <col min="8" max="8" width="14.85546875" style="15" customWidth="1"/>
    <col min="9" max="9" width="13" style="15" customWidth="1"/>
    <col min="10" max="10" width="12.140625" style="15" customWidth="1"/>
    <col min="11" max="11" width="15.85546875" style="15" customWidth="1"/>
    <col min="12" max="12" width="3.140625" style="15" customWidth="1"/>
    <col min="13" max="52" width="0" style="15" hidden="1" customWidth="1"/>
    <col min="53" max="16384" width="9.140625" style="15" hidden="1"/>
  </cols>
  <sheetData>
    <row r="1" spans="1:52" ht="42" customHeight="1" x14ac:dyDescent="0.35">
      <c r="A1" s="19"/>
      <c r="B1" s="779"/>
      <c r="C1" s="20"/>
      <c r="D1" s="20"/>
      <c r="E1" s="20"/>
      <c r="F1" s="20"/>
      <c r="G1" s="20"/>
      <c r="H1" s="20"/>
      <c r="I1" s="520"/>
      <c r="J1" s="520"/>
      <c r="K1" s="520"/>
      <c r="L1" s="20"/>
      <c r="M1" s="20"/>
      <c r="N1" s="20"/>
      <c r="O1" s="20"/>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row>
    <row r="2" spans="1:52" ht="48" customHeight="1" x14ac:dyDescent="0.35">
      <c r="A2" s="19"/>
      <c r="B2" s="802" t="s">
        <v>0</v>
      </c>
      <c r="C2" s="1576" t="s">
        <v>1</v>
      </c>
      <c r="D2" s="1576"/>
      <c r="E2" s="1576"/>
      <c r="F2" s="1576"/>
      <c r="G2" s="1576"/>
      <c r="H2" s="1576"/>
      <c r="I2" s="1576"/>
      <c r="J2" s="1576"/>
      <c r="K2" s="1576"/>
      <c r="L2" s="1576"/>
      <c r="M2" s="20"/>
      <c r="N2" s="20"/>
      <c r="O2" s="20"/>
      <c r="P2" s="20"/>
      <c r="Q2" s="20"/>
      <c r="R2" s="20"/>
      <c r="S2" s="20"/>
      <c r="T2" s="20"/>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row>
    <row r="3" spans="1:52" s="532" customFormat="1" ht="18" customHeight="1" x14ac:dyDescent="0.35">
      <c r="A3" s="19"/>
      <c r="B3" s="332"/>
      <c r="C3" s="583"/>
      <c r="D3" s="583"/>
      <c r="E3" s="583"/>
      <c r="F3" s="583"/>
      <c r="G3" s="583"/>
      <c r="H3" s="583"/>
      <c r="I3" s="378"/>
      <c r="J3" s="1577" t="s">
        <v>2</v>
      </c>
      <c r="K3" s="1577"/>
      <c r="L3" s="583"/>
      <c r="M3" s="20"/>
      <c r="N3" s="20"/>
      <c r="O3" s="20"/>
      <c r="P3" s="20"/>
      <c r="Q3" s="20"/>
      <c r="R3" s="20"/>
      <c r="S3" s="20"/>
      <c r="T3" s="20"/>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row>
    <row r="4" spans="1:52" ht="24.75" customHeight="1" x14ac:dyDescent="0.35">
      <c r="A4" s="22"/>
      <c r="B4" s="783" t="s">
        <v>3</v>
      </c>
      <c r="C4" s="20"/>
      <c r="D4" s="20"/>
      <c r="E4" s="22"/>
      <c r="F4" s="22"/>
      <c r="G4" s="20"/>
      <c r="H4" s="20"/>
      <c r="I4" s="20"/>
      <c r="J4" s="20"/>
      <c r="K4" s="20"/>
      <c r="L4" s="20"/>
      <c r="M4" s="20"/>
      <c r="N4" s="13"/>
      <c r="O4" s="13"/>
      <c r="P4" s="13"/>
      <c r="Q4" s="13"/>
      <c r="R4" s="13"/>
      <c r="S4" s="13"/>
      <c r="T4" s="13"/>
      <c r="U4" s="378"/>
      <c r="V4" s="378"/>
      <c r="W4" s="378"/>
      <c r="X4" s="378"/>
      <c r="Y4" s="378"/>
      <c r="Z4" s="378"/>
      <c r="AA4" s="378"/>
      <c r="AB4" s="378"/>
      <c r="AC4" s="378"/>
      <c r="AD4" s="378"/>
      <c r="AE4" s="378"/>
      <c r="AF4" s="378"/>
      <c r="AG4" s="378"/>
      <c r="AH4" s="378"/>
      <c r="AI4" s="378"/>
      <c r="AJ4" s="378"/>
      <c r="AK4" s="378"/>
      <c r="AL4" s="378"/>
      <c r="AM4" s="378"/>
      <c r="AN4" s="378"/>
      <c r="AO4" s="378"/>
      <c r="AP4" s="378"/>
      <c r="AQ4" s="378"/>
      <c r="AR4" s="378"/>
      <c r="AS4" s="378"/>
      <c r="AT4" s="378"/>
      <c r="AU4" s="378"/>
      <c r="AV4" s="378"/>
      <c r="AW4" s="378"/>
      <c r="AX4" s="378"/>
      <c r="AY4" s="378"/>
      <c r="AZ4" s="378"/>
    </row>
    <row r="5" spans="1:52" ht="12.75" customHeight="1" x14ac:dyDescent="0.35">
      <c r="A5" s="22"/>
      <c r="B5" s="20"/>
      <c r="C5" s="20"/>
      <c r="D5" s="20"/>
      <c r="E5" s="23"/>
      <c r="F5" s="20"/>
      <c r="G5" s="20"/>
      <c r="H5" s="20"/>
      <c r="I5" s="20"/>
      <c r="J5" s="20"/>
      <c r="K5" s="20"/>
      <c r="L5" s="20"/>
      <c r="M5" s="20"/>
      <c r="N5" s="13"/>
      <c r="O5" s="13"/>
      <c r="P5" s="13"/>
      <c r="Q5" s="13"/>
      <c r="R5" s="13"/>
      <c r="S5" s="13"/>
      <c r="T5" s="13"/>
      <c r="U5" s="378"/>
      <c r="V5" s="378"/>
      <c r="W5" s="378"/>
      <c r="X5" s="378"/>
      <c r="Y5" s="378"/>
      <c r="Z5" s="378"/>
      <c r="AA5" s="378"/>
      <c r="AB5" s="378"/>
      <c r="AC5" s="378"/>
      <c r="AD5" s="378"/>
      <c r="AE5" s="378"/>
      <c r="AF5" s="378"/>
      <c r="AG5" s="378"/>
      <c r="AH5" s="378"/>
      <c r="AI5" s="378"/>
      <c r="AJ5" s="378"/>
      <c r="AK5" s="378"/>
      <c r="AL5" s="378"/>
      <c r="AM5" s="378"/>
      <c r="AN5" s="378"/>
      <c r="AO5" s="378"/>
      <c r="AP5" s="378"/>
      <c r="AQ5" s="378"/>
      <c r="AR5" s="378"/>
      <c r="AS5" s="378"/>
      <c r="AT5" s="378"/>
      <c r="AU5" s="378"/>
      <c r="AV5" s="378"/>
      <c r="AW5" s="378"/>
      <c r="AX5" s="378"/>
      <c r="AY5" s="378"/>
      <c r="AZ5" s="378"/>
    </row>
    <row r="6" spans="1:52" ht="17.25" customHeight="1" x14ac:dyDescent="0.35">
      <c r="A6" s="22"/>
      <c r="B6" s="1578" t="s">
        <v>4</v>
      </c>
      <c r="C6" s="1579"/>
      <c r="D6" s="1580"/>
      <c r="E6" s="20"/>
      <c r="F6" s="20"/>
      <c r="G6" s="20"/>
      <c r="H6" s="20"/>
      <c r="I6" s="20"/>
      <c r="J6" s="20"/>
      <c r="K6" s="20"/>
      <c r="L6" s="20"/>
      <c r="M6" s="20"/>
      <c r="N6" s="13"/>
      <c r="O6" s="13"/>
      <c r="P6" s="13"/>
      <c r="Q6" s="13"/>
      <c r="R6" s="13"/>
      <c r="S6" s="13"/>
      <c r="T6" s="13"/>
      <c r="U6" s="378"/>
      <c r="V6" s="378"/>
      <c r="W6" s="378"/>
      <c r="X6" s="378"/>
      <c r="Y6" s="378"/>
      <c r="Z6" s="378"/>
      <c r="AA6" s="378"/>
      <c r="AB6" s="378"/>
      <c r="AC6" s="378"/>
      <c r="AD6" s="378"/>
      <c r="AE6" s="378"/>
      <c r="AF6" s="378"/>
      <c r="AG6" s="378"/>
      <c r="AH6" s="378"/>
      <c r="AI6" s="378"/>
      <c r="AJ6" s="378"/>
      <c r="AK6" s="378"/>
      <c r="AL6" s="378"/>
      <c r="AM6" s="378"/>
      <c r="AN6" s="378"/>
      <c r="AO6" s="378"/>
      <c r="AP6" s="378"/>
      <c r="AQ6" s="378"/>
      <c r="AR6" s="378"/>
      <c r="AS6" s="378"/>
      <c r="AT6" s="378"/>
      <c r="AU6" s="378"/>
      <c r="AV6" s="378"/>
      <c r="AW6" s="378"/>
      <c r="AX6" s="378"/>
      <c r="AY6" s="378"/>
      <c r="AZ6" s="378"/>
    </row>
    <row r="7" spans="1:52" ht="17.25" customHeight="1" x14ac:dyDescent="0.35">
      <c r="A7" s="22"/>
      <c r="B7" s="20"/>
      <c r="C7" s="20"/>
      <c r="D7" s="20"/>
      <c r="E7" s="23"/>
      <c r="F7" s="20"/>
      <c r="G7" s="20"/>
      <c r="H7" s="20"/>
      <c r="I7" s="20"/>
      <c r="J7" s="20"/>
      <c r="K7" s="20"/>
      <c r="L7" s="20"/>
      <c r="M7" s="20"/>
      <c r="N7" s="13"/>
      <c r="O7" s="13"/>
      <c r="P7" s="13"/>
      <c r="Q7" s="13"/>
      <c r="R7" s="13"/>
      <c r="S7" s="13"/>
      <c r="T7" s="13"/>
      <c r="U7" s="378"/>
      <c r="V7" s="378"/>
      <c r="W7" s="378"/>
      <c r="X7" s="378"/>
      <c r="Y7" s="378"/>
      <c r="Z7" s="378"/>
      <c r="AA7" s="378"/>
      <c r="AB7" s="378"/>
      <c r="AC7" s="378"/>
      <c r="AD7" s="378"/>
      <c r="AE7" s="378"/>
      <c r="AF7" s="378"/>
      <c r="AG7" s="378"/>
      <c r="AH7" s="378"/>
      <c r="AI7" s="378"/>
      <c r="AJ7" s="378"/>
      <c r="AK7" s="378"/>
      <c r="AL7" s="378"/>
      <c r="AM7" s="378"/>
      <c r="AN7" s="378"/>
      <c r="AO7" s="378"/>
      <c r="AP7" s="378"/>
      <c r="AQ7" s="378"/>
      <c r="AR7" s="378"/>
      <c r="AS7" s="378"/>
      <c r="AT7" s="378"/>
      <c r="AU7" s="378"/>
      <c r="AV7" s="378"/>
      <c r="AW7" s="378"/>
      <c r="AX7" s="378"/>
      <c r="AY7" s="378"/>
      <c r="AZ7" s="378"/>
    </row>
    <row r="8" spans="1:52" ht="15.75" x14ac:dyDescent="0.25">
      <c r="A8" s="582">
        <v>1</v>
      </c>
      <c r="B8" s="25" t="s">
        <v>5</v>
      </c>
      <c r="C8" s="532"/>
      <c r="D8" s="378"/>
      <c r="E8" s="861"/>
      <c r="F8" s="20"/>
      <c r="G8" s="20"/>
      <c r="H8" s="20"/>
      <c r="I8" s="20"/>
      <c r="J8" s="20"/>
      <c r="K8" s="20"/>
      <c r="L8" s="20"/>
      <c r="M8" s="20"/>
      <c r="N8" s="13"/>
      <c r="O8" s="13"/>
      <c r="P8" s="13"/>
      <c r="Q8" s="13"/>
      <c r="R8" s="13"/>
      <c r="S8" s="13"/>
      <c r="T8" s="13"/>
      <c r="U8" s="378"/>
      <c r="V8" s="378"/>
      <c r="W8" s="378"/>
      <c r="X8" s="378"/>
      <c r="Y8" s="378"/>
      <c r="Z8" s="378"/>
      <c r="AA8" s="378"/>
      <c r="AB8" s="378"/>
      <c r="AC8" s="378"/>
      <c r="AD8" s="378"/>
      <c r="AE8" s="378"/>
      <c r="AF8" s="378"/>
      <c r="AG8" s="378"/>
      <c r="AH8" s="378"/>
      <c r="AI8" s="378"/>
      <c r="AJ8" s="378"/>
      <c r="AK8" s="378"/>
      <c r="AL8" s="378"/>
      <c r="AM8" s="378"/>
      <c r="AN8" s="378"/>
      <c r="AO8" s="378"/>
      <c r="AP8" s="378"/>
      <c r="AQ8" s="378"/>
      <c r="AR8" s="378"/>
      <c r="AS8" s="378"/>
      <c r="AT8" s="378"/>
      <c r="AU8" s="378"/>
      <c r="AV8" s="378"/>
      <c r="AW8" s="378"/>
      <c r="AX8" s="378"/>
      <c r="AY8" s="378"/>
      <c r="AZ8" s="378"/>
    </row>
    <row r="9" spans="1:52" ht="13.5" customHeight="1" x14ac:dyDescent="0.25">
      <c r="A9" s="24"/>
      <c r="B9" s="20"/>
      <c r="C9" s="20"/>
      <c r="D9" s="20"/>
      <c r="E9" s="20"/>
      <c r="F9" s="20"/>
      <c r="G9" s="20"/>
      <c r="H9" s="20"/>
      <c r="I9" s="20"/>
      <c r="J9" s="20"/>
      <c r="K9" s="20"/>
      <c r="L9" s="20"/>
      <c r="M9" s="20"/>
      <c r="N9" s="13"/>
      <c r="O9" s="13"/>
      <c r="P9" s="13"/>
      <c r="Q9" s="13"/>
      <c r="R9" s="13"/>
      <c r="S9" s="13"/>
      <c r="T9" s="13"/>
      <c r="U9" s="378"/>
      <c r="V9" s="378"/>
      <c r="W9" s="378"/>
      <c r="X9" s="378"/>
      <c r="Y9" s="378"/>
      <c r="Z9" s="378"/>
      <c r="AA9" s="378"/>
      <c r="AB9" s="378"/>
      <c r="AC9" s="378"/>
      <c r="AD9" s="378"/>
      <c r="AE9" s="378"/>
      <c r="AF9" s="378"/>
      <c r="AG9" s="378"/>
      <c r="AH9" s="378"/>
      <c r="AI9" s="378"/>
      <c r="AJ9" s="378"/>
      <c r="AK9" s="378"/>
      <c r="AL9" s="378"/>
      <c r="AM9" s="378"/>
      <c r="AN9" s="378"/>
      <c r="AO9" s="378"/>
      <c r="AP9" s="378"/>
      <c r="AQ9" s="378"/>
      <c r="AR9" s="378"/>
      <c r="AS9" s="378"/>
      <c r="AT9" s="378"/>
      <c r="AU9" s="378"/>
      <c r="AV9" s="378"/>
      <c r="AW9" s="378"/>
      <c r="AX9" s="378"/>
      <c r="AY9" s="378"/>
      <c r="AZ9" s="378"/>
    </row>
    <row r="10" spans="1:52" ht="18" x14ac:dyDescent="0.25">
      <c r="A10" s="582">
        <v>2</v>
      </c>
      <c r="B10" s="27" t="s">
        <v>6</v>
      </c>
      <c r="C10" s="26"/>
      <c r="D10" s="26"/>
      <c r="E10" s="26"/>
      <c r="F10" s="86"/>
      <c r="G10" s="28"/>
      <c r="H10" s="20"/>
      <c r="I10" s="20"/>
      <c r="J10" s="20"/>
      <c r="K10" s="20"/>
      <c r="L10" s="20"/>
      <c r="M10" s="20"/>
      <c r="N10" s="13"/>
      <c r="O10" s="13"/>
      <c r="P10" s="13"/>
      <c r="Q10" s="13"/>
      <c r="R10" s="13"/>
      <c r="S10" s="13"/>
      <c r="T10" s="13"/>
      <c r="U10" s="378"/>
      <c r="V10" s="378"/>
      <c r="W10" s="378"/>
      <c r="X10" s="378"/>
      <c r="Y10" s="378"/>
      <c r="Z10" s="378"/>
      <c r="AA10" s="378"/>
      <c r="AB10" s="378"/>
      <c r="AC10" s="378"/>
      <c r="AD10" s="378"/>
      <c r="AE10" s="378"/>
      <c r="AF10" s="378"/>
      <c r="AG10" s="378"/>
      <c r="AH10" s="378"/>
      <c r="AI10" s="378"/>
      <c r="AJ10" s="378"/>
      <c r="AK10" s="378"/>
      <c r="AL10" s="378"/>
      <c r="AM10" s="378"/>
      <c r="AN10" s="378"/>
      <c r="AO10" s="378"/>
      <c r="AP10" s="378"/>
      <c r="AQ10" s="378"/>
      <c r="AR10" s="378"/>
      <c r="AS10" s="378"/>
      <c r="AT10" s="378"/>
      <c r="AU10" s="378"/>
      <c r="AV10" s="378"/>
      <c r="AW10" s="378"/>
      <c r="AX10" s="378"/>
      <c r="AY10" s="378"/>
      <c r="AZ10" s="378"/>
    </row>
    <row r="11" spans="1:52" ht="15.75" x14ac:dyDescent="0.25">
      <c r="A11" s="581"/>
      <c r="B11" s="25" t="s">
        <v>7</v>
      </c>
      <c r="C11" s="1648"/>
      <c r="D11" s="1649"/>
      <c r="E11" s="1650"/>
      <c r="F11" s="330"/>
      <c r="G11" s="47"/>
      <c r="H11" s="29"/>
      <c r="I11" s="13"/>
      <c r="J11" s="13"/>
      <c r="K11" s="13"/>
      <c r="L11" s="13"/>
      <c r="M11" s="13"/>
      <c r="N11" s="13"/>
      <c r="O11" s="13"/>
      <c r="P11" s="13"/>
      <c r="Q11" s="13"/>
      <c r="R11" s="13"/>
      <c r="S11" s="13"/>
      <c r="T11" s="13"/>
      <c r="U11" s="378"/>
      <c r="V11" s="378"/>
      <c r="W11" s="378"/>
      <c r="X11" s="378"/>
      <c r="Y11" s="378"/>
      <c r="Z11" s="378"/>
      <c r="AA11" s="378"/>
      <c r="AB11" s="378"/>
      <c r="AC11" s="378"/>
      <c r="AD11" s="378"/>
      <c r="AE11" s="378"/>
      <c r="AF11" s="378"/>
      <c r="AG11" s="378"/>
      <c r="AH11" s="378"/>
      <c r="AI11" s="378"/>
      <c r="AJ11" s="378"/>
      <c r="AK11" s="378"/>
      <c r="AL11" s="378"/>
      <c r="AM11" s="378"/>
      <c r="AN11" s="378"/>
      <c r="AO11" s="378"/>
      <c r="AP11" s="378"/>
      <c r="AQ11" s="378"/>
      <c r="AR11" s="378"/>
      <c r="AS11" s="378"/>
      <c r="AT11" s="378"/>
      <c r="AU11" s="378"/>
      <c r="AV11" s="378"/>
      <c r="AW11" s="378"/>
      <c r="AX11" s="378"/>
      <c r="AY11" s="378"/>
      <c r="AZ11" s="378"/>
    </row>
    <row r="12" spans="1:52" ht="15.75" x14ac:dyDescent="0.25">
      <c r="A12" s="581"/>
      <c r="B12" s="25" t="s">
        <v>8</v>
      </c>
      <c r="C12" s="1651"/>
      <c r="D12" s="1651"/>
      <c r="E12" s="1651"/>
      <c r="F12" s="330"/>
      <c r="G12" s="29"/>
      <c r="H12" s="29"/>
      <c r="I12" s="13"/>
      <c r="J12" s="13"/>
      <c r="K12" s="13"/>
      <c r="L12" s="13"/>
      <c r="M12" s="13"/>
      <c r="N12" s="13"/>
      <c r="O12" s="13"/>
      <c r="P12" s="13"/>
      <c r="Q12" s="13"/>
      <c r="R12" s="13"/>
      <c r="S12" s="13"/>
      <c r="T12" s="13"/>
      <c r="U12" s="378"/>
      <c r="V12" s="378"/>
      <c r="W12" s="378"/>
      <c r="X12" s="378"/>
      <c r="Y12" s="378"/>
      <c r="Z12" s="378"/>
      <c r="AA12" s="378"/>
      <c r="AB12" s="378"/>
      <c r="AC12" s="378"/>
      <c r="AD12" s="378"/>
      <c r="AE12" s="378"/>
      <c r="AF12" s="378"/>
      <c r="AG12" s="378"/>
      <c r="AH12" s="378"/>
      <c r="AI12" s="378"/>
      <c r="AJ12" s="378"/>
      <c r="AK12" s="378"/>
      <c r="AL12" s="378"/>
      <c r="AM12" s="378"/>
      <c r="AN12" s="378"/>
      <c r="AO12" s="378"/>
      <c r="AP12" s="378"/>
      <c r="AQ12" s="378"/>
      <c r="AR12" s="378"/>
      <c r="AS12" s="378"/>
      <c r="AT12" s="378"/>
      <c r="AU12" s="378"/>
      <c r="AV12" s="378"/>
      <c r="AW12" s="378"/>
      <c r="AX12" s="378"/>
      <c r="AY12" s="378"/>
      <c r="AZ12" s="378"/>
    </row>
    <row r="13" spans="1:52" ht="14.25" customHeight="1" x14ac:dyDescent="0.25">
      <c r="A13" s="13"/>
      <c r="B13" s="30"/>
      <c r="C13" s="30"/>
      <c r="D13" s="30"/>
      <c r="E13" s="30"/>
      <c r="F13" s="30"/>
      <c r="G13" s="330"/>
      <c r="H13" s="13"/>
      <c r="I13" s="13"/>
      <c r="J13" s="13"/>
      <c r="K13" s="13"/>
      <c r="L13" s="13"/>
      <c r="M13" s="13"/>
      <c r="N13" s="13"/>
      <c r="O13" s="13"/>
      <c r="P13" s="13"/>
      <c r="Q13" s="13"/>
      <c r="R13" s="13"/>
      <c r="S13" s="13"/>
      <c r="T13" s="13"/>
      <c r="U13" s="378"/>
      <c r="V13" s="378"/>
      <c r="W13" s="378"/>
      <c r="X13" s="378"/>
      <c r="Y13" s="378"/>
      <c r="Z13" s="378"/>
      <c r="AA13" s="378"/>
      <c r="AB13" s="378"/>
      <c r="AC13" s="378"/>
      <c r="AD13" s="378"/>
      <c r="AE13" s="378"/>
      <c r="AF13" s="378"/>
      <c r="AG13" s="378"/>
      <c r="AH13" s="378"/>
      <c r="AI13" s="378"/>
      <c r="AJ13" s="378"/>
      <c r="AK13" s="378"/>
      <c r="AL13" s="378"/>
      <c r="AM13" s="378"/>
      <c r="AN13" s="378"/>
      <c r="AO13" s="378"/>
      <c r="AP13" s="378"/>
      <c r="AQ13" s="378"/>
      <c r="AR13" s="378"/>
      <c r="AS13" s="378"/>
      <c r="AT13" s="378"/>
      <c r="AU13" s="378"/>
      <c r="AV13" s="378"/>
      <c r="AW13" s="378"/>
      <c r="AX13" s="378"/>
      <c r="AY13" s="378"/>
      <c r="AZ13" s="378"/>
    </row>
    <row r="14" spans="1:52" ht="18" x14ac:dyDescent="0.25">
      <c r="A14" s="582">
        <v>3</v>
      </c>
      <c r="B14" s="27" t="s">
        <v>9</v>
      </c>
      <c r="C14" s="26"/>
      <c r="D14" s="26"/>
      <c r="E14" s="26"/>
      <c r="F14" s="26"/>
      <c r="G14" s="28"/>
      <c r="H14" s="26"/>
      <c r="I14" s="26"/>
      <c r="J14" s="26"/>
      <c r="K14" s="26"/>
      <c r="L14" s="13"/>
      <c r="M14" s="13"/>
      <c r="N14" s="13"/>
      <c r="O14" s="13"/>
      <c r="P14" s="13"/>
      <c r="Q14" s="13"/>
      <c r="R14" s="13"/>
      <c r="S14" s="13"/>
      <c r="T14" s="13"/>
      <c r="U14" s="378"/>
      <c r="V14" s="378"/>
      <c r="W14" s="378"/>
      <c r="X14" s="378"/>
      <c r="Y14" s="378"/>
      <c r="Z14" s="378"/>
      <c r="AA14" s="378"/>
      <c r="AB14" s="378"/>
      <c r="AC14" s="378"/>
      <c r="AD14" s="378"/>
      <c r="AE14" s="378"/>
      <c r="AF14" s="378"/>
      <c r="AG14" s="378"/>
      <c r="AH14" s="378"/>
      <c r="AI14" s="378"/>
      <c r="AJ14" s="378"/>
      <c r="AK14" s="378"/>
      <c r="AL14" s="378"/>
      <c r="AM14" s="378"/>
      <c r="AN14" s="378"/>
      <c r="AO14" s="378"/>
      <c r="AP14" s="378"/>
      <c r="AQ14" s="378"/>
      <c r="AR14" s="378"/>
      <c r="AS14" s="378"/>
      <c r="AT14" s="378"/>
      <c r="AU14" s="378"/>
      <c r="AV14" s="378"/>
      <c r="AW14" s="378"/>
      <c r="AX14" s="378"/>
      <c r="AY14" s="378"/>
      <c r="AZ14" s="378"/>
    </row>
    <row r="15" spans="1:52" s="532" customFormat="1" ht="15.75" x14ac:dyDescent="0.25">
      <c r="A15" s="582"/>
      <c r="B15" s="30" t="s">
        <v>10</v>
      </c>
      <c r="C15" s="1513"/>
      <c r="D15" s="1513"/>
      <c r="E15" s="1513"/>
      <c r="F15" s="13"/>
      <c r="G15" s="13"/>
      <c r="H15" s="13"/>
      <c r="I15" s="13"/>
      <c r="J15" s="13"/>
      <c r="K15" s="13"/>
      <c r="L15" s="13"/>
      <c r="M15" s="13"/>
      <c r="N15" s="13"/>
      <c r="O15" s="13"/>
      <c r="P15" s="13"/>
      <c r="Q15" s="13"/>
      <c r="R15" s="13"/>
      <c r="S15" s="13"/>
      <c r="T15" s="13"/>
      <c r="U15" s="378"/>
      <c r="V15" s="378"/>
      <c r="W15" s="378"/>
      <c r="X15" s="378"/>
      <c r="Y15" s="378"/>
      <c r="Z15" s="378"/>
      <c r="AA15" s="378"/>
      <c r="AB15" s="378"/>
      <c r="AC15" s="378"/>
      <c r="AD15" s="378"/>
      <c r="AE15" s="378"/>
      <c r="AF15" s="378"/>
      <c r="AG15" s="378"/>
      <c r="AH15" s="378"/>
      <c r="AI15" s="378"/>
      <c r="AJ15" s="378"/>
      <c r="AK15" s="378"/>
      <c r="AL15" s="378"/>
      <c r="AM15" s="378"/>
      <c r="AN15" s="378"/>
      <c r="AO15" s="378"/>
      <c r="AP15" s="378"/>
      <c r="AQ15" s="378"/>
      <c r="AR15" s="378"/>
      <c r="AS15" s="378"/>
      <c r="AT15" s="378"/>
      <c r="AU15" s="378"/>
      <c r="AV15" s="378"/>
      <c r="AW15" s="378"/>
      <c r="AX15" s="378"/>
      <c r="AY15" s="378"/>
      <c r="AZ15" s="378"/>
    </row>
    <row r="16" spans="1:52" s="532" customFormat="1" ht="15.75" x14ac:dyDescent="0.25">
      <c r="A16" s="582"/>
      <c r="B16" s="1513"/>
      <c r="C16" s="1320" t="s">
        <v>11</v>
      </c>
      <c r="D16" s="1320" t="s">
        <v>12</v>
      </c>
      <c r="E16" s="40" t="s">
        <v>13</v>
      </c>
      <c r="F16" s="13"/>
      <c r="G16" s="13"/>
      <c r="H16" s="13"/>
      <c r="I16" s="13"/>
      <c r="J16" s="13"/>
      <c r="K16" s="13"/>
      <c r="L16" s="13"/>
      <c r="M16" s="13"/>
      <c r="N16" s="13"/>
      <c r="O16" s="13"/>
      <c r="P16" s="13"/>
      <c r="Q16" s="13"/>
      <c r="R16" s="13"/>
      <c r="S16" s="13"/>
      <c r="T16" s="13"/>
      <c r="U16" s="378"/>
      <c r="V16" s="378"/>
      <c r="W16" s="378"/>
      <c r="X16" s="378"/>
      <c r="Y16" s="378"/>
      <c r="Z16" s="378"/>
      <c r="AA16" s="378"/>
      <c r="AB16" s="378"/>
      <c r="AC16" s="378"/>
      <c r="AD16" s="378"/>
      <c r="AE16" s="378"/>
      <c r="AF16" s="378"/>
      <c r="AG16" s="378"/>
      <c r="AH16" s="378"/>
      <c r="AI16" s="378"/>
      <c r="AJ16" s="378"/>
      <c r="AK16" s="378"/>
      <c r="AL16" s="378"/>
      <c r="AM16" s="378"/>
      <c r="AN16" s="378"/>
      <c r="AO16" s="378"/>
      <c r="AP16" s="378"/>
      <c r="AQ16" s="378"/>
      <c r="AR16" s="378"/>
      <c r="AS16" s="378"/>
      <c r="AT16" s="378"/>
      <c r="AU16" s="378"/>
      <c r="AV16" s="378"/>
      <c r="AW16" s="378"/>
      <c r="AX16" s="378"/>
      <c r="AY16" s="378"/>
      <c r="AZ16" s="378"/>
    </row>
    <row r="17" spans="1:52" s="532" customFormat="1" ht="15.75" x14ac:dyDescent="0.25">
      <c r="A17" s="582"/>
      <c r="B17" s="41" t="s">
        <v>14</v>
      </c>
      <c r="C17" s="1315"/>
      <c r="D17" s="1316"/>
      <c r="E17" s="1316"/>
      <c r="F17" s="567"/>
      <c r="G17" s="1395"/>
      <c r="H17" s="1395"/>
      <c r="I17" s="1396"/>
      <c r="J17" s="1396"/>
      <c r="K17" s="438"/>
      <c r="L17" s="13"/>
      <c r="M17" s="13"/>
      <c r="N17" s="13"/>
      <c r="O17" s="13"/>
      <c r="P17" s="13"/>
      <c r="Q17" s="13"/>
      <c r="R17" s="13"/>
      <c r="S17" s="13"/>
      <c r="T17" s="13"/>
      <c r="U17" s="378"/>
      <c r="V17" s="378"/>
      <c r="W17" s="378"/>
      <c r="X17" s="378"/>
      <c r="Y17" s="378"/>
      <c r="Z17" s="378"/>
      <c r="AA17" s="378"/>
      <c r="AB17" s="378"/>
      <c r="AC17" s="378"/>
      <c r="AD17" s="378"/>
      <c r="AE17" s="378"/>
      <c r="AF17" s="378"/>
      <c r="AG17" s="378"/>
      <c r="AH17" s="378"/>
      <c r="AI17" s="378"/>
      <c r="AJ17" s="378"/>
      <c r="AK17" s="378"/>
      <c r="AL17" s="378"/>
      <c r="AM17" s="378"/>
      <c r="AN17" s="378"/>
      <c r="AO17" s="378"/>
      <c r="AP17" s="378"/>
      <c r="AQ17" s="378"/>
      <c r="AR17" s="378"/>
      <c r="AS17" s="378"/>
      <c r="AT17" s="378"/>
      <c r="AU17" s="378"/>
      <c r="AV17" s="378"/>
      <c r="AW17" s="378"/>
      <c r="AX17" s="378"/>
      <c r="AY17" s="378"/>
      <c r="AZ17" s="378"/>
    </row>
    <row r="18" spans="1:52" s="532" customFormat="1" ht="15.75" x14ac:dyDescent="0.25">
      <c r="A18" s="582"/>
      <c r="B18" s="1510" t="s">
        <v>15</v>
      </c>
      <c r="C18" s="1315"/>
      <c r="D18" s="1316"/>
      <c r="E18" s="1316"/>
      <c r="F18" s="567"/>
      <c r="G18" s="1395"/>
      <c r="H18" s="1395"/>
      <c r="I18" s="1396"/>
      <c r="J18" s="1396"/>
      <c r="K18" s="438"/>
      <c r="L18" s="13"/>
      <c r="M18" s="13"/>
      <c r="N18" s="13"/>
      <c r="O18" s="13"/>
      <c r="P18" s="13"/>
      <c r="Q18" s="13"/>
      <c r="R18" s="13"/>
      <c r="S18" s="13"/>
      <c r="T18" s="13"/>
      <c r="U18" s="378"/>
      <c r="V18" s="378"/>
      <c r="W18" s="378"/>
      <c r="X18" s="378"/>
      <c r="Y18" s="378"/>
      <c r="Z18" s="378"/>
      <c r="AA18" s="378"/>
      <c r="AB18" s="378"/>
      <c r="AC18" s="378"/>
      <c r="AD18" s="378"/>
      <c r="AE18" s="378"/>
      <c r="AF18" s="378"/>
      <c r="AG18" s="378"/>
      <c r="AH18" s="378"/>
      <c r="AI18" s="378"/>
      <c r="AJ18" s="378"/>
      <c r="AK18" s="378"/>
      <c r="AL18" s="378"/>
      <c r="AM18" s="378"/>
      <c r="AN18" s="378"/>
      <c r="AO18" s="378"/>
      <c r="AP18" s="378"/>
      <c r="AQ18" s="378"/>
      <c r="AR18" s="378"/>
      <c r="AS18" s="378"/>
      <c r="AT18" s="378"/>
      <c r="AU18" s="378"/>
      <c r="AV18" s="378"/>
      <c r="AW18" s="378"/>
      <c r="AX18" s="378"/>
      <c r="AY18" s="378"/>
      <c r="AZ18" s="378"/>
    </row>
    <row r="19" spans="1:52" s="532" customFormat="1" ht="15.75" x14ac:dyDescent="0.25">
      <c r="A19" s="582"/>
      <c r="B19" s="1510" t="s">
        <v>16</v>
      </c>
      <c r="C19" s="1336"/>
      <c r="D19" s="1537" t="s">
        <v>17</v>
      </c>
      <c r="E19" s="1313"/>
      <c r="F19" s="567"/>
      <c r="G19" s="28"/>
      <c r="H19" s="42"/>
      <c r="I19" s="42"/>
      <c r="J19" s="42"/>
      <c r="K19" s="43"/>
      <c r="L19" s="13"/>
      <c r="M19" s="13"/>
      <c r="N19" s="13"/>
      <c r="O19" s="13"/>
      <c r="P19" s="13"/>
      <c r="Q19" s="13"/>
      <c r="R19" s="13"/>
      <c r="S19" s="13"/>
      <c r="T19" s="13"/>
      <c r="U19" s="378"/>
      <c r="V19" s="378"/>
      <c r="W19" s="378"/>
      <c r="X19" s="378"/>
      <c r="Y19" s="378"/>
      <c r="Z19" s="378"/>
      <c r="AA19" s="378"/>
      <c r="AB19" s="378"/>
      <c r="AC19" s="378"/>
      <c r="AD19" s="378"/>
      <c r="AE19" s="378"/>
      <c r="AF19" s="378"/>
      <c r="AG19" s="378"/>
      <c r="AH19" s="378"/>
      <c r="AI19" s="378"/>
      <c r="AJ19" s="378"/>
      <c r="AK19" s="378"/>
      <c r="AL19" s="378"/>
      <c r="AM19" s="378"/>
      <c r="AN19" s="378"/>
      <c r="AO19" s="378"/>
      <c r="AP19" s="378"/>
      <c r="AQ19" s="378"/>
      <c r="AR19" s="378"/>
      <c r="AS19" s="378"/>
      <c r="AT19" s="378"/>
      <c r="AU19" s="378"/>
      <c r="AV19" s="378"/>
      <c r="AW19" s="378"/>
      <c r="AX19" s="378"/>
      <c r="AY19" s="378"/>
      <c r="AZ19" s="378"/>
    </row>
    <row r="20" spans="1:52" s="532" customFormat="1" ht="13.5" customHeight="1" x14ac:dyDescent="0.25">
      <c r="A20" s="582"/>
      <c r="B20" s="27"/>
      <c r="C20" s="26"/>
      <c r="D20" s="26"/>
      <c r="E20" s="26"/>
      <c r="F20" s="26"/>
      <c r="G20" s="28"/>
      <c r="H20" s="1397"/>
      <c r="I20" s="1397"/>
      <c r="J20" s="1397"/>
      <c r="K20" s="1397"/>
      <c r="L20" s="13"/>
      <c r="M20" s="13"/>
      <c r="N20" s="13"/>
      <c r="O20" s="13"/>
      <c r="P20" s="13"/>
      <c r="Q20" s="13"/>
      <c r="R20" s="13"/>
      <c r="S20" s="13"/>
      <c r="T20" s="13"/>
      <c r="U20" s="378"/>
      <c r="V20" s="378"/>
      <c r="W20" s="378"/>
      <c r="X20" s="378"/>
      <c r="Y20" s="378"/>
      <c r="Z20" s="378"/>
      <c r="AA20" s="378"/>
      <c r="AB20" s="378"/>
      <c r="AC20" s="378"/>
      <c r="AD20" s="378"/>
      <c r="AE20" s="378"/>
      <c r="AF20" s="378"/>
      <c r="AG20" s="378"/>
      <c r="AH20" s="378"/>
      <c r="AI20" s="378"/>
      <c r="AJ20" s="378"/>
      <c r="AK20" s="378"/>
      <c r="AL20" s="378"/>
      <c r="AM20" s="378"/>
      <c r="AN20" s="378"/>
      <c r="AO20" s="378"/>
      <c r="AP20" s="378"/>
      <c r="AQ20" s="378"/>
      <c r="AR20" s="378"/>
      <c r="AS20" s="378"/>
      <c r="AT20" s="378"/>
      <c r="AU20" s="378"/>
      <c r="AV20" s="378"/>
      <c r="AW20" s="378"/>
      <c r="AX20" s="378"/>
      <c r="AY20" s="378"/>
      <c r="AZ20" s="378"/>
    </row>
    <row r="21" spans="1:52" s="404" customFormat="1" ht="15.75" x14ac:dyDescent="0.25">
      <c r="A21" s="581"/>
      <c r="B21" s="33" t="s">
        <v>18</v>
      </c>
      <c r="C21" s="13"/>
      <c r="D21" s="13"/>
      <c r="E21" s="13"/>
      <c r="F21" s="378"/>
      <c r="G21" s="378"/>
      <c r="H21" s="1652"/>
      <c r="I21" s="1652"/>
      <c r="J21" s="1652"/>
      <c r="K21" s="1652"/>
      <c r="L21" s="13"/>
      <c r="M21" s="13"/>
      <c r="N21" s="13"/>
      <c r="O21" s="13"/>
      <c r="P21" s="13"/>
      <c r="Q21" s="13"/>
      <c r="R21" s="13"/>
      <c r="S21" s="13"/>
      <c r="T21" s="13"/>
      <c r="U21" s="378"/>
      <c r="V21" s="378"/>
      <c r="W21" s="378"/>
      <c r="X21" s="378"/>
      <c r="Y21" s="378"/>
      <c r="Z21" s="378"/>
      <c r="AA21" s="378"/>
      <c r="AB21" s="378"/>
      <c r="AC21" s="378"/>
      <c r="AD21" s="378"/>
      <c r="AE21" s="378"/>
      <c r="AF21" s="378"/>
      <c r="AG21" s="378"/>
      <c r="AH21" s="378"/>
      <c r="AI21" s="378"/>
      <c r="AJ21" s="378"/>
      <c r="AK21" s="378"/>
      <c r="AL21" s="378"/>
      <c r="AM21" s="378"/>
      <c r="AN21" s="378"/>
      <c r="AO21" s="378"/>
      <c r="AP21" s="378"/>
      <c r="AQ21" s="378"/>
      <c r="AR21" s="378"/>
      <c r="AS21" s="378"/>
      <c r="AT21" s="378"/>
      <c r="AU21" s="378"/>
      <c r="AV21" s="378"/>
      <c r="AW21" s="378"/>
      <c r="AX21" s="378"/>
      <c r="AY21" s="378"/>
      <c r="AZ21" s="378"/>
    </row>
    <row r="22" spans="1:52" s="404" customFormat="1" ht="15.75" x14ac:dyDescent="0.25">
      <c r="A22" s="581"/>
      <c r="B22" s="30" t="s">
        <v>19</v>
      </c>
      <c r="C22" s="13"/>
      <c r="D22" s="13"/>
      <c r="E22" s="13"/>
      <c r="F22" s="13"/>
      <c r="G22" s="13"/>
      <c r="H22" s="1652"/>
      <c r="I22" s="1653"/>
      <c r="J22" s="1653"/>
      <c r="K22" s="1653"/>
      <c r="L22" s="13"/>
      <c r="M22" s="13"/>
      <c r="N22" s="13"/>
      <c r="O22" s="13"/>
      <c r="P22" s="13"/>
      <c r="Q22" s="13"/>
      <c r="R22" s="13"/>
      <c r="S22" s="13"/>
      <c r="T22" s="13"/>
      <c r="U22" s="378"/>
      <c r="V22" s="378"/>
      <c r="W22" s="378"/>
      <c r="X22" s="378"/>
      <c r="Y22" s="378"/>
      <c r="Z22" s="378"/>
      <c r="AA22" s="378"/>
      <c r="AB22" s="378"/>
      <c r="AC22" s="378"/>
      <c r="AD22" s="378"/>
      <c r="AE22" s="378"/>
      <c r="AF22" s="378"/>
      <c r="AG22" s="378"/>
      <c r="AH22" s="378"/>
      <c r="AI22" s="378"/>
      <c r="AJ22" s="378"/>
      <c r="AK22" s="378"/>
      <c r="AL22" s="378"/>
      <c r="AM22" s="378"/>
      <c r="AN22" s="378"/>
      <c r="AO22" s="378"/>
      <c r="AP22" s="378"/>
      <c r="AQ22" s="378"/>
      <c r="AR22" s="378"/>
      <c r="AS22" s="378"/>
      <c r="AT22" s="378"/>
      <c r="AU22" s="378"/>
      <c r="AV22" s="378"/>
      <c r="AW22" s="378"/>
      <c r="AX22" s="378"/>
      <c r="AY22" s="378"/>
      <c r="AZ22" s="378"/>
    </row>
    <row r="23" spans="1:52" ht="14.25" customHeight="1" x14ac:dyDescent="0.25">
      <c r="A23" s="34"/>
      <c r="B23" s="30" t="s">
        <v>20</v>
      </c>
      <c r="C23" s="31"/>
      <c r="D23" s="31"/>
      <c r="E23" s="532"/>
      <c r="F23" s="378"/>
      <c r="G23" s="57"/>
      <c r="H23" s="1660"/>
      <c r="I23" s="1660"/>
      <c r="J23" s="1660"/>
      <c r="K23" s="1660"/>
      <c r="L23" s="13"/>
      <c r="M23" s="13"/>
      <c r="N23" s="13"/>
      <c r="O23" s="13"/>
      <c r="P23" s="13"/>
      <c r="Q23" s="13"/>
      <c r="R23" s="13"/>
      <c r="S23" s="13"/>
      <c r="T23" s="13"/>
      <c r="U23" s="378"/>
      <c r="V23" s="378"/>
      <c r="W23" s="378"/>
      <c r="X23" s="378"/>
      <c r="Y23" s="378"/>
      <c r="Z23" s="378"/>
      <c r="AA23" s="378"/>
      <c r="AB23" s="378"/>
      <c r="AC23" s="378"/>
      <c r="AD23" s="378"/>
      <c r="AE23" s="378"/>
      <c r="AF23" s="378"/>
      <c r="AG23" s="378"/>
      <c r="AH23" s="378"/>
      <c r="AI23" s="378"/>
      <c r="AJ23" s="378"/>
      <c r="AK23" s="378"/>
      <c r="AL23" s="378"/>
      <c r="AM23" s="378"/>
      <c r="AN23" s="378"/>
      <c r="AO23" s="378"/>
      <c r="AP23" s="378"/>
      <c r="AQ23" s="378"/>
      <c r="AR23" s="378"/>
      <c r="AS23" s="378"/>
      <c r="AT23" s="378"/>
      <c r="AU23" s="378"/>
      <c r="AV23" s="378"/>
      <c r="AW23" s="378"/>
      <c r="AX23" s="378"/>
      <c r="AY23" s="378"/>
      <c r="AZ23" s="378"/>
    </row>
    <row r="24" spans="1:52" ht="15" customHeight="1" x14ac:dyDescent="0.25">
      <c r="A24" s="13"/>
      <c r="B24" s="1661" t="s">
        <v>21</v>
      </c>
      <c r="C24" s="1661"/>
      <c r="D24" s="1661"/>
      <c r="E24" s="1661"/>
      <c r="F24" s="1661"/>
      <c r="G24" s="1661"/>
      <c r="H24" s="763"/>
      <c r="I24" s="763"/>
      <c r="J24" s="763"/>
      <c r="K24" s="13"/>
      <c r="L24" s="13"/>
      <c r="M24" s="13"/>
      <c r="N24" s="13"/>
      <c r="O24" s="13"/>
      <c r="P24" s="13"/>
      <c r="Q24" s="13"/>
      <c r="R24" s="13"/>
      <c r="S24" s="13"/>
      <c r="T24" s="13"/>
      <c r="U24" s="378"/>
      <c r="V24" s="378"/>
      <c r="W24" s="378"/>
      <c r="X24" s="378"/>
      <c r="Y24" s="378"/>
      <c r="Z24" s="378"/>
      <c r="AA24" s="378"/>
      <c r="AB24" s="378"/>
      <c r="AC24" s="378"/>
      <c r="AD24" s="378"/>
      <c r="AE24" s="378"/>
      <c r="AF24" s="378"/>
      <c r="AG24" s="378"/>
      <c r="AH24" s="378"/>
      <c r="AI24" s="378"/>
      <c r="AJ24" s="378"/>
      <c r="AK24" s="378"/>
      <c r="AL24" s="378"/>
      <c r="AM24" s="378"/>
      <c r="AN24" s="378"/>
      <c r="AO24" s="378"/>
      <c r="AP24" s="378"/>
      <c r="AQ24" s="378"/>
      <c r="AR24" s="378"/>
      <c r="AS24" s="378"/>
      <c r="AT24" s="378"/>
      <c r="AU24" s="378"/>
      <c r="AV24" s="378"/>
      <c r="AW24" s="378"/>
      <c r="AX24" s="378"/>
      <c r="AY24" s="378"/>
      <c r="AZ24" s="378"/>
    </row>
    <row r="25" spans="1:52" ht="21" customHeight="1" x14ac:dyDescent="0.25">
      <c r="A25" s="336"/>
      <c r="B25" s="1661"/>
      <c r="C25" s="1661"/>
      <c r="D25" s="1661"/>
      <c r="E25" s="1661"/>
      <c r="F25" s="1661"/>
      <c r="G25" s="1661"/>
      <c r="H25" s="763"/>
      <c r="I25" s="763"/>
      <c r="J25" s="763"/>
      <c r="K25" s="13"/>
      <c r="L25" s="13"/>
      <c r="M25" s="13"/>
      <c r="N25" s="13"/>
      <c r="O25" s="13"/>
      <c r="P25" s="13"/>
      <c r="Q25" s="13"/>
      <c r="R25" s="13"/>
      <c r="S25" s="13"/>
      <c r="T25" s="13"/>
      <c r="U25" s="378"/>
      <c r="V25" s="378"/>
      <c r="W25" s="378"/>
      <c r="X25" s="378"/>
      <c r="Y25" s="378"/>
      <c r="Z25" s="378"/>
      <c r="AA25" s="378"/>
      <c r="AB25" s="378"/>
      <c r="AC25" s="378"/>
      <c r="AD25" s="378"/>
      <c r="AE25" s="378"/>
      <c r="AF25" s="378"/>
      <c r="AG25" s="378"/>
      <c r="AH25" s="378"/>
      <c r="AI25" s="378"/>
      <c r="AJ25" s="378"/>
      <c r="AK25" s="378"/>
      <c r="AL25" s="378"/>
      <c r="AM25" s="378"/>
      <c r="AN25" s="378"/>
      <c r="AO25" s="378"/>
      <c r="AP25" s="378"/>
      <c r="AQ25" s="378"/>
      <c r="AR25" s="378"/>
      <c r="AS25" s="378"/>
      <c r="AT25" s="378"/>
      <c r="AU25" s="378"/>
      <c r="AV25" s="378"/>
      <c r="AW25" s="378"/>
      <c r="AX25" s="378"/>
      <c r="AY25" s="378"/>
      <c r="AZ25" s="378"/>
    </row>
    <row r="26" spans="1:52" s="532" customFormat="1" ht="15.75" x14ac:dyDescent="0.25">
      <c r="A26" s="582">
        <v>4</v>
      </c>
      <c r="B26" s="27" t="s">
        <v>22</v>
      </c>
      <c r="C26" s="13"/>
      <c r="D26" s="13"/>
      <c r="E26" s="13"/>
      <c r="F26" s="13"/>
      <c r="G26" s="13"/>
      <c r="H26" s="13"/>
      <c r="I26" s="13"/>
      <c r="J26" s="13"/>
      <c r="K26" s="13"/>
      <c r="L26" s="13"/>
      <c r="M26" s="13"/>
      <c r="N26" s="13"/>
      <c r="O26" s="13"/>
      <c r="P26" s="13"/>
      <c r="Q26" s="13"/>
      <c r="R26" s="13"/>
      <c r="S26" s="13"/>
      <c r="T26" s="13"/>
      <c r="U26" s="378"/>
      <c r="V26" s="378"/>
      <c r="W26" s="378"/>
      <c r="X26" s="378"/>
      <c r="Y26" s="378"/>
      <c r="Z26" s="378"/>
      <c r="AA26" s="378"/>
      <c r="AB26" s="378"/>
      <c r="AC26" s="378"/>
      <c r="AD26" s="378"/>
      <c r="AE26" s="378"/>
      <c r="AF26" s="378"/>
      <c r="AG26" s="378"/>
      <c r="AH26" s="378"/>
      <c r="AI26" s="378"/>
      <c r="AJ26" s="378"/>
      <c r="AK26" s="378"/>
      <c r="AL26" s="378"/>
      <c r="AM26" s="378"/>
      <c r="AN26" s="378"/>
      <c r="AO26" s="378"/>
      <c r="AP26" s="378"/>
      <c r="AQ26" s="378"/>
      <c r="AR26" s="378"/>
      <c r="AS26" s="378"/>
      <c r="AT26" s="378"/>
      <c r="AU26" s="378"/>
      <c r="AV26" s="378"/>
      <c r="AW26" s="378"/>
      <c r="AX26" s="378"/>
      <c r="AY26" s="378"/>
      <c r="AZ26" s="378"/>
    </row>
    <row r="27" spans="1:52" ht="15.75" x14ac:dyDescent="0.25">
      <c r="A27" s="582"/>
      <c r="B27" s="379" t="s">
        <v>23</v>
      </c>
      <c r="C27" s="1590"/>
      <c r="D27" s="1591"/>
      <c r="E27" s="1591"/>
      <c r="F27" s="1592"/>
      <c r="G27" s="330"/>
      <c r="H27" s="330"/>
      <c r="I27" s="330"/>
      <c r="J27" s="330"/>
      <c r="K27" s="28"/>
      <c r="L27" s="28"/>
      <c r="M27" s="13"/>
      <c r="N27" s="36"/>
      <c r="O27" s="13"/>
      <c r="P27" s="13"/>
      <c r="Q27" s="13"/>
      <c r="R27" s="13"/>
      <c r="S27" s="13"/>
      <c r="T27" s="13"/>
      <c r="U27" s="378"/>
      <c r="V27" s="378"/>
      <c r="W27" s="378"/>
      <c r="X27" s="378"/>
      <c r="Y27" s="378"/>
      <c r="Z27" s="378"/>
      <c r="AA27" s="378"/>
      <c r="AB27" s="378"/>
      <c r="AC27" s="378"/>
      <c r="AD27" s="378"/>
      <c r="AE27" s="378"/>
      <c r="AF27" s="378"/>
      <c r="AG27" s="378"/>
      <c r="AH27" s="378"/>
      <c r="AI27" s="378"/>
      <c r="AJ27" s="378"/>
      <c r="AK27" s="378"/>
      <c r="AL27" s="378"/>
      <c r="AM27" s="378"/>
      <c r="AN27" s="378"/>
      <c r="AO27" s="378"/>
      <c r="AP27" s="378"/>
      <c r="AQ27" s="378"/>
      <c r="AR27" s="378"/>
      <c r="AS27" s="378"/>
      <c r="AT27" s="378"/>
      <c r="AU27" s="378"/>
      <c r="AV27" s="378"/>
      <c r="AW27" s="378"/>
      <c r="AX27" s="378"/>
      <c r="AY27" s="378"/>
      <c r="AZ27" s="378"/>
    </row>
    <row r="28" spans="1:52" ht="15.75" x14ac:dyDescent="0.25">
      <c r="A28" s="581"/>
      <c r="B28" s="379" t="s">
        <v>24</v>
      </c>
      <c r="C28" s="1668"/>
      <c r="D28" s="1669"/>
      <c r="E28" s="1669"/>
      <c r="F28" s="1670"/>
      <c r="G28" s="330"/>
      <c r="H28" s="330"/>
      <c r="I28" s="330"/>
      <c r="J28" s="330"/>
      <c r="K28" s="28"/>
      <c r="L28" s="13"/>
      <c r="M28" s="13"/>
      <c r="N28" s="13"/>
      <c r="O28" s="13"/>
      <c r="P28" s="13"/>
      <c r="Q28" s="13"/>
      <c r="R28" s="13"/>
      <c r="S28" s="13"/>
      <c r="T28" s="13"/>
      <c r="U28" s="378"/>
      <c r="V28" s="378"/>
      <c r="W28" s="378"/>
      <c r="X28" s="378"/>
      <c r="Y28" s="378"/>
      <c r="Z28" s="378"/>
      <c r="AA28" s="378"/>
      <c r="AB28" s="378"/>
      <c r="AC28" s="378"/>
      <c r="AD28" s="378"/>
      <c r="AE28" s="378"/>
      <c r="AF28" s="378"/>
      <c r="AG28" s="378"/>
      <c r="AH28" s="378"/>
      <c r="AI28" s="378"/>
      <c r="AJ28" s="378"/>
      <c r="AK28" s="378"/>
      <c r="AL28" s="378"/>
      <c r="AM28" s="378"/>
      <c r="AN28" s="378"/>
      <c r="AO28" s="378"/>
      <c r="AP28" s="378"/>
      <c r="AQ28" s="378"/>
      <c r="AR28" s="378"/>
      <c r="AS28" s="378"/>
      <c r="AT28" s="378"/>
      <c r="AU28" s="378"/>
      <c r="AV28" s="378"/>
      <c r="AW28" s="378"/>
      <c r="AX28" s="378"/>
      <c r="AY28" s="378"/>
      <c r="AZ28" s="378"/>
    </row>
    <row r="29" spans="1:52" ht="12" customHeight="1" x14ac:dyDescent="0.25">
      <c r="A29" s="20"/>
      <c r="B29" s="37"/>
      <c r="C29" s="13"/>
      <c r="D29" s="13"/>
      <c r="E29" s="13"/>
      <c r="F29" s="13"/>
      <c r="G29" s="37"/>
      <c r="H29" s="13"/>
      <c r="I29" s="13"/>
      <c r="J29" s="13"/>
      <c r="K29" s="13"/>
      <c r="L29" s="13"/>
      <c r="M29" s="13"/>
      <c r="N29" s="13"/>
      <c r="O29" s="13"/>
      <c r="P29" s="13"/>
      <c r="Q29" s="13"/>
      <c r="R29" s="13"/>
      <c r="S29" s="13"/>
      <c r="T29" s="13"/>
      <c r="U29" s="378"/>
      <c r="V29" s="378"/>
      <c r="W29" s="378"/>
      <c r="X29" s="378"/>
      <c r="Y29" s="378"/>
      <c r="Z29" s="378"/>
      <c r="AA29" s="378"/>
      <c r="AB29" s="378"/>
      <c r="AC29" s="378"/>
      <c r="AD29" s="378"/>
      <c r="AE29" s="378"/>
      <c r="AF29" s="378"/>
      <c r="AG29" s="378"/>
      <c r="AH29" s="378"/>
      <c r="AI29" s="378"/>
      <c r="AJ29" s="378"/>
      <c r="AK29" s="378"/>
      <c r="AL29" s="378"/>
      <c r="AM29" s="378"/>
      <c r="AN29" s="378"/>
      <c r="AO29" s="378"/>
      <c r="AP29" s="378"/>
      <c r="AQ29" s="378"/>
      <c r="AR29" s="378"/>
      <c r="AS29" s="378"/>
      <c r="AT29" s="378"/>
      <c r="AU29" s="378"/>
      <c r="AV29" s="378"/>
      <c r="AW29" s="378"/>
      <c r="AX29" s="378"/>
      <c r="AY29" s="378"/>
      <c r="AZ29" s="378"/>
    </row>
    <row r="30" spans="1:52" ht="15.75" x14ac:dyDescent="0.25">
      <c r="A30" s="582">
        <v>5</v>
      </c>
      <c r="B30" s="30" t="s">
        <v>25</v>
      </c>
      <c r="C30" s="39"/>
      <c r="D30" s="378"/>
      <c r="E30" s="754" t="s">
        <v>26</v>
      </c>
      <c r="F30" s="30"/>
      <c r="G30" s="13"/>
      <c r="H30" s="13"/>
      <c r="I30" s="13"/>
      <c r="J30" s="13"/>
      <c r="K30" s="13"/>
      <c r="L30" s="13"/>
      <c r="M30" s="13"/>
      <c r="N30" s="13"/>
      <c r="O30" s="13"/>
      <c r="P30" s="13"/>
      <c r="Q30" s="13"/>
      <c r="R30" s="13"/>
      <c r="S30" s="13"/>
      <c r="T30" s="13"/>
      <c r="U30" s="378"/>
      <c r="V30" s="378"/>
      <c r="W30" s="378"/>
      <c r="X30" s="378"/>
      <c r="Y30" s="378"/>
      <c r="Z30" s="378"/>
      <c r="AA30" s="378"/>
      <c r="AB30" s="378"/>
      <c r="AC30" s="378"/>
      <c r="AD30" s="378"/>
      <c r="AE30" s="378"/>
      <c r="AF30" s="378"/>
      <c r="AG30" s="378"/>
      <c r="AH30" s="378"/>
      <c r="AI30" s="378"/>
      <c r="AJ30" s="378"/>
      <c r="AK30" s="378"/>
      <c r="AL30" s="378"/>
      <c r="AM30" s="378"/>
      <c r="AN30" s="378"/>
      <c r="AO30" s="378"/>
      <c r="AP30" s="378"/>
      <c r="AQ30" s="378"/>
      <c r="AR30" s="378"/>
      <c r="AS30" s="378"/>
      <c r="AT30" s="378"/>
      <c r="AU30" s="378"/>
      <c r="AV30" s="378"/>
      <c r="AW30" s="378"/>
      <c r="AX30" s="378"/>
      <c r="AY30" s="378"/>
      <c r="AZ30" s="378"/>
    </row>
    <row r="31" spans="1:52" ht="15.75" x14ac:dyDescent="0.25">
      <c r="A31" s="20"/>
      <c r="B31" s="1607" t="s">
        <v>27</v>
      </c>
      <c r="C31" s="1607"/>
      <c r="D31" s="1607"/>
      <c r="E31" s="862"/>
      <c r="F31" s="532"/>
      <c r="G31" s="378"/>
      <c r="H31" s="13"/>
      <c r="I31" s="13"/>
      <c r="J31" s="13"/>
      <c r="K31" s="13"/>
      <c r="L31" s="13"/>
      <c r="M31" s="13"/>
      <c r="N31" s="13"/>
      <c r="O31" s="13"/>
      <c r="P31" s="13"/>
      <c r="Q31" s="13"/>
      <c r="R31" s="13"/>
      <c r="S31" s="13"/>
      <c r="T31" s="13"/>
      <c r="U31" s="378"/>
      <c r="V31" s="378"/>
      <c r="W31" s="378"/>
      <c r="X31" s="378"/>
      <c r="Y31" s="378"/>
      <c r="Z31" s="378"/>
      <c r="AA31" s="378"/>
      <c r="AB31" s="378"/>
      <c r="AC31" s="378"/>
      <c r="AD31" s="378"/>
      <c r="AE31" s="378"/>
      <c r="AF31" s="378"/>
      <c r="AG31" s="378"/>
      <c r="AH31" s="378"/>
      <c r="AI31" s="378"/>
      <c r="AJ31" s="378"/>
      <c r="AK31" s="378"/>
      <c r="AL31" s="378"/>
      <c r="AM31" s="378"/>
      <c r="AN31" s="378"/>
      <c r="AO31" s="378"/>
      <c r="AP31" s="378"/>
      <c r="AQ31" s="378"/>
      <c r="AR31" s="378"/>
      <c r="AS31" s="378"/>
      <c r="AT31" s="378"/>
      <c r="AU31" s="378"/>
      <c r="AV31" s="378"/>
      <c r="AW31" s="378"/>
      <c r="AX31" s="378"/>
      <c r="AY31" s="378"/>
      <c r="AZ31" s="378"/>
    </row>
    <row r="32" spans="1:52" ht="15.75" x14ac:dyDescent="0.25">
      <c r="A32" s="20"/>
      <c r="B32" s="1607" t="s">
        <v>28</v>
      </c>
      <c r="C32" s="1607"/>
      <c r="D32" s="1607"/>
      <c r="E32" s="862"/>
      <c r="F32" s="13"/>
      <c r="G32" s="13"/>
      <c r="H32" s="13"/>
      <c r="I32" s="13"/>
      <c r="J32" s="13"/>
      <c r="K32" s="13"/>
      <c r="L32" s="13"/>
      <c r="M32" s="13"/>
      <c r="N32" s="13"/>
      <c r="O32" s="13"/>
      <c r="P32" s="13"/>
      <c r="Q32" s="13"/>
      <c r="R32" s="13"/>
      <c r="S32" s="13"/>
      <c r="T32" s="13"/>
      <c r="U32" s="378"/>
      <c r="V32" s="378"/>
      <c r="W32" s="378"/>
      <c r="X32" s="378"/>
      <c r="Y32" s="378"/>
      <c r="Z32" s="378"/>
      <c r="AA32" s="378"/>
      <c r="AB32" s="378"/>
      <c r="AC32" s="378"/>
      <c r="AD32" s="378"/>
      <c r="AE32" s="378"/>
      <c r="AF32" s="378"/>
      <c r="AG32" s="378"/>
      <c r="AH32" s="378"/>
      <c r="AI32" s="378"/>
      <c r="AJ32" s="378"/>
      <c r="AK32" s="378"/>
      <c r="AL32" s="378"/>
      <c r="AM32" s="378"/>
      <c r="AN32" s="378"/>
      <c r="AO32" s="378"/>
      <c r="AP32" s="378"/>
      <c r="AQ32" s="378"/>
      <c r="AR32" s="378"/>
      <c r="AS32" s="378"/>
      <c r="AT32" s="378"/>
      <c r="AU32" s="378"/>
      <c r="AV32" s="378"/>
      <c r="AW32" s="378"/>
      <c r="AX32" s="378"/>
      <c r="AY32" s="378"/>
      <c r="AZ32" s="378"/>
    </row>
    <row r="33" spans="1:52" ht="27.95" customHeight="1" x14ac:dyDescent="0.25">
      <c r="A33" s="20"/>
      <c r="B33" s="1664" t="s">
        <v>29</v>
      </c>
      <c r="C33" s="1665"/>
      <c r="D33" s="1666"/>
      <c r="E33" s="862"/>
      <c r="F33" s="13"/>
      <c r="G33" s="13"/>
      <c r="H33" s="13"/>
      <c r="I33" s="13"/>
      <c r="J33" s="13"/>
      <c r="K33" s="13"/>
      <c r="L33" s="13"/>
      <c r="M33" s="13"/>
      <c r="N33" s="13"/>
      <c r="O33" s="13"/>
      <c r="P33" s="13"/>
      <c r="Q33" s="13"/>
      <c r="R33" s="13"/>
      <c r="S33" s="13"/>
      <c r="T33" s="13"/>
      <c r="U33" s="378"/>
      <c r="V33" s="378"/>
      <c r="W33" s="378"/>
      <c r="X33" s="378"/>
      <c r="Y33" s="378"/>
      <c r="Z33" s="378"/>
      <c r="AA33" s="378"/>
      <c r="AB33" s="378"/>
      <c r="AC33" s="378"/>
      <c r="AD33" s="378"/>
      <c r="AE33" s="378"/>
      <c r="AF33" s="378"/>
      <c r="AG33" s="378"/>
      <c r="AH33" s="378"/>
      <c r="AI33" s="378"/>
      <c r="AJ33" s="378"/>
      <c r="AK33" s="378"/>
      <c r="AL33" s="378"/>
      <c r="AM33" s="378"/>
      <c r="AN33" s="378"/>
      <c r="AO33" s="378"/>
      <c r="AP33" s="378"/>
      <c r="AQ33" s="378"/>
      <c r="AR33" s="378"/>
      <c r="AS33" s="378"/>
      <c r="AT33" s="378"/>
      <c r="AU33" s="378"/>
      <c r="AV33" s="378"/>
      <c r="AW33" s="378"/>
      <c r="AX33" s="378"/>
      <c r="AY33" s="378"/>
      <c r="AZ33" s="378"/>
    </row>
    <row r="34" spans="1:52" ht="12" customHeight="1" x14ac:dyDescent="0.25">
      <c r="A34" s="20"/>
      <c r="B34" s="13"/>
      <c r="C34" s="13"/>
      <c r="D34" s="13"/>
      <c r="E34" s="13"/>
      <c r="F34" s="13"/>
      <c r="G34" s="13"/>
      <c r="H34" s="13"/>
      <c r="I34" s="13"/>
      <c r="J34" s="13"/>
      <c r="K34" s="13"/>
      <c r="L34" s="13"/>
      <c r="M34" s="13"/>
      <c r="N34" s="13"/>
      <c r="O34" s="13"/>
      <c r="P34" s="13"/>
      <c r="Q34" s="13"/>
      <c r="R34" s="13"/>
      <c r="S34" s="13"/>
      <c r="T34" s="13"/>
      <c r="U34" s="378"/>
      <c r="V34" s="378"/>
      <c r="W34" s="378"/>
      <c r="X34" s="378"/>
      <c r="Y34" s="378"/>
      <c r="Z34" s="378"/>
      <c r="AA34" s="378"/>
      <c r="AB34" s="378"/>
      <c r="AC34" s="378"/>
      <c r="AD34" s="378"/>
      <c r="AE34" s="378"/>
      <c r="AF34" s="378"/>
      <c r="AG34" s="378"/>
      <c r="AH34" s="378"/>
      <c r="AI34" s="378"/>
      <c r="AJ34" s="378"/>
      <c r="AK34" s="378"/>
      <c r="AL34" s="378"/>
      <c r="AM34" s="378"/>
      <c r="AN34" s="378"/>
      <c r="AO34" s="378"/>
      <c r="AP34" s="378"/>
      <c r="AQ34" s="378"/>
      <c r="AR34" s="378"/>
      <c r="AS34" s="378"/>
      <c r="AT34" s="378"/>
      <c r="AU34" s="378"/>
      <c r="AV34" s="378"/>
      <c r="AW34" s="378"/>
      <c r="AX34" s="378"/>
      <c r="AY34" s="378"/>
      <c r="AZ34" s="378"/>
    </row>
    <row r="35" spans="1:52" s="532" customFormat="1" ht="15" customHeight="1" x14ac:dyDescent="0.25">
      <c r="A35" s="582">
        <v>6</v>
      </c>
      <c r="B35" s="1595" t="s">
        <v>30</v>
      </c>
      <c r="C35" s="1658"/>
      <c r="D35" s="1658"/>
      <c r="E35" s="1513"/>
      <c r="F35" s="13"/>
      <c r="G35" s="13"/>
      <c r="H35" s="13"/>
      <c r="I35" s="13"/>
      <c r="J35" s="13"/>
      <c r="K35" s="13"/>
      <c r="L35" s="13"/>
      <c r="M35" s="13"/>
      <c r="N35" s="13"/>
      <c r="O35" s="13"/>
      <c r="P35" s="13"/>
      <c r="Q35" s="13"/>
      <c r="R35" s="13"/>
      <c r="S35" s="13"/>
      <c r="T35" s="13"/>
      <c r="U35" s="378"/>
      <c r="V35" s="378"/>
      <c r="W35" s="378"/>
      <c r="X35" s="378"/>
      <c r="Y35" s="378"/>
      <c r="Z35" s="378"/>
      <c r="AA35" s="378"/>
      <c r="AB35" s="378"/>
      <c r="AC35" s="378"/>
      <c r="AD35" s="378"/>
      <c r="AE35" s="378"/>
      <c r="AF35" s="378"/>
      <c r="AG35" s="378"/>
      <c r="AH35" s="378"/>
      <c r="AI35" s="378"/>
      <c r="AJ35" s="378"/>
      <c r="AK35" s="378"/>
      <c r="AL35" s="378"/>
      <c r="AM35" s="378"/>
      <c r="AN35" s="378"/>
      <c r="AO35" s="378"/>
      <c r="AP35" s="378"/>
      <c r="AQ35" s="378"/>
      <c r="AR35" s="378"/>
      <c r="AS35" s="378"/>
      <c r="AT35" s="378"/>
      <c r="AU35" s="378"/>
      <c r="AV35" s="378"/>
      <c r="AW35" s="378"/>
      <c r="AX35" s="378"/>
      <c r="AY35" s="378"/>
      <c r="AZ35" s="378"/>
    </row>
    <row r="36" spans="1:52" s="532" customFormat="1" ht="15" customHeight="1" x14ac:dyDescent="0.25">
      <c r="B36" s="33" t="s">
        <v>31</v>
      </c>
      <c r="C36" s="568"/>
      <c r="D36" s="568"/>
      <c r="E36" s="866"/>
      <c r="F36" s="13"/>
      <c r="G36" s="13"/>
      <c r="H36" s="13"/>
      <c r="I36" s="13"/>
      <c r="J36" s="13"/>
      <c r="K36" s="13"/>
      <c r="L36" s="13"/>
      <c r="M36" s="13"/>
      <c r="N36" s="13"/>
      <c r="O36" s="13"/>
      <c r="P36" s="13"/>
      <c r="Q36" s="13"/>
      <c r="R36" s="13"/>
      <c r="S36" s="13"/>
      <c r="T36" s="13"/>
      <c r="U36" s="378"/>
      <c r="V36" s="378"/>
      <c r="W36" s="378"/>
      <c r="X36" s="378"/>
      <c r="Y36" s="378"/>
      <c r="Z36" s="378"/>
      <c r="AA36" s="378"/>
      <c r="AB36" s="378"/>
      <c r="AC36" s="378"/>
      <c r="AD36" s="378"/>
      <c r="AE36" s="378"/>
      <c r="AF36" s="378"/>
      <c r="AG36" s="378"/>
      <c r="AH36" s="378"/>
      <c r="AI36" s="378"/>
      <c r="AJ36" s="378"/>
      <c r="AK36" s="378"/>
      <c r="AL36" s="378"/>
      <c r="AM36" s="378"/>
      <c r="AN36" s="378"/>
      <c r="AO36" s="378"/>
      <c r="AP36" s="378"/>
      <c r="AQ36" s="378"/>
      <c r="AR36" s="378"/>
      <c r="AS36" s="378"/>
      <c r="AT36" s="378"/>
      <c r="AU36" s="378"/>
      <c r="AV36" s="378"/>
      <c r="AW36" s="378"/>
      <c r="AX36" s="378"/>
      <c r="AY36" s="378"/>
      <c r="AZ36" s="378"/>
    </row>
    <row r="37" spans="1:52" s="532" customFormat="1" ht="10.5" customHeight="1" x14ac:dyDescent="0.25">
      <c r="A37" s="20"/>
      <c r="B37" s="13"/>
      <c r="C37" s="13"/>
      <c r="D37" s="13"/>
      <c r="E37" s="13"/>
      <c r="F37" s="13"/>
      <c r="G37" s="13"/>
      <c r="H37" s="13"/>
      <c r="I37" s="13"/>
      <c r="J37" s="13"/>
      <c r="K37" s="13"/>
      <c r="L37" s="13"/>
      <c r="M37" s="13"/>
      <c r="N37" s="13"/>
      <c r="O37" s="13"/>
      <c r="P37" s="13"/>
      <c r="Q37" s="13"/>
      <c r="R37" s="13"/>
      <c r="S37" s="13"/>
      <c r="T37" s="13"/>
      <c r="U37" s="378"/>
      <c r="V37" s="378"/>
      <c r="W37" s="378"/>
      <c r="X37" s="378"/>
      <c r="Y37" s="378"/>
      <c r="Z37" s="378"/>
      <c r="AA37" s="378"/>
      <c r="AB37" s="378"/>
      <c r="AC37" s="378"/>
      <c r="AD37" s="378"/>
      <c r="AE37" s="378"/>
      <c r="AF37" s="378"/>
      <c r="AG37" s="378"/>
      <c r="AH37" s="378"/>
      <c r="AI37" s="378"/>
      <c r="AJ37" s="378"/>
      <c r="AK37" s="378"/>
      <c r="AL37" s="378"/>
      <c r="AM37" s="378"/>
      <c r="AN37" s="378"/>
      <c r="AO37" s="378"/>
      <c r="AP37" s="378"/>
      <c r="AQ37" s="378"/>
      <c r="AR37" s="378"/>
      <c r="AS37" s="378"/>
      <c r="AT37" s="378"/>
      <c r="AU37" s="378"/>
      <c r="AV37" s="378"/>
      <c r="AW37" s="378"/>
      <c r="AX37" s="378"/>
      <c r="AY37" s="378"/>
      <c r="AZ37" s="378"/>
    </row>
    <row r="38" spans="1:52" s="532" customFormat="1" ht="15.75" x14ac:dyDescent="0.25">
      <c r="A38" s="582">
        <v>7</v>
      </c>
      <c r="B38" s="33" t="s">
        <v>32</v>
      </c>
      <c r="C38" s="13"/>
      <c r="D38" s="13"/>
      <c r="E38" s="13"/>
      <c r="F38" s="13"/>
      <c r="G38" s="13"/>
      <c r="H38" s="13"/>
      <c r="I38" s="13"/>
      <c r="J38" s="13"/>
      <c r="K38" s="13"/>
      <c r="L38" s="13"/>
      <c r="M38" s="13"/>
      <c r="N38" s="13"/>
      <c r="O38" s="13"/>
      <c r="P38" s="13"/>
      <c r="Q38" s="13"/>
      <c r="R38" s="13"/>
      <c r="S38" s="13"/>
      <c r="T38" s="13"/>
      <c r="U38" s="378"/>
      <c r="V38" s="378"/>
      <c r="W38" s="378"/>
      <c r="X38" s="378"/>
      <c r="Y38" s="378"/>
      <c r="Z38" s="378"/>
      <c r="AA38" s="378"/>
      <c r="AB38" s="378"/>
      <c r="AC38" s="378"/>
      <c r="AD38" s="378"/>
      <c r="AE38" s="378"/>
      <c r="AF38" s="378"/>
      <c r="AG38" s="378"/>
      <c r="AH38" s="378"/>
      <c r="AI38" s="378"/>
      <c r="AJ38" s="378"/>
      <c r="AK38" s="378"/>
      <c r="AL38" s="378"/>
      <c r="AM38" s="378"/>
      <c r="AN38" s="378"/>
      <c r="AO38" s="378"/>
      <c r="AP38" s="378"/>
      <c r="AQ38" s="378"/>
      <c r="AR38" s="378"/>
      <c r="AS38" s="378"/>
      <c r="AT38" s="378"/>
      <c r="AU38" s="378"/>
      <c r="AV38" s="378"/>
      <c r="AW38" s="378"/>
      <c r="AX38" s="378"/>
      <c r="AY38" s="378"/>
      <c r="AZ38" s="378"/>
    </row>
    <row r="39" spans="1:52" ht="15.75" x14ac:dyDescent="0.25">
      <c r="A39" s="532"/>
      <c r="B39" s="30" t="s">
        <v>33</v>
      </c>
      <c r="C39" s="13"/>
      <c r="D39" s="13"/>
      <c r="E39" s="1590"/>
      <c r="F39" s="1591"/>
      <c r="G39" s="1591"/>
      <c r="H39" s="1592"/>
      <c r="I39" s="378"/>
      <c r="J39" s="378"/>
      <c r="K39" s="330"/>
      <c r="L39" s="13"/>
      <c r="M39" s="13"/>
      <c r="N39" s="13"/>
      <c r="O39" s="13"/>
      <c r="P39" s="13"/>
      <c r="Q39" s="13"/>
      <c r="R39" s="13"/>
      <c r="S39" s="13"/>
      <c r="T39" s="13"/>
      <c r="U39" s="378"/>
      <c r="V39" s="378"/>
      <c r="W39" s="378"/>
      <c r="X39" s="378"/>
      <c r="Y39" s="378"/>
      <c r="Z39" s="378"/>
      <c r="AA39" s="378"/>
      <c r="AB39" s="378"/>
      <c r="AC39" s="378"/>
      <c r="AD39" s="378"/>
      <c r="AE39" s="378"/>
      <c r="AF39" s="378"/>
      <c r="AG39" s="378"/>
      <c r="AH39" s="378"/>
      <c r="AI39" s="378"/>
      <c r="AJ39" s="378"/>
      <c r="AK39" s="378"/>
      <c r="AL39" s="378"/>
      <c r="AM39" s="378"/>
      <c r="AN39" s="378"/>
      <c r="AO39" s="378"/>
      <c r="AP39" s="378"/>
      <c r="AQ39" s="378"/>
      <c r="AR39" s="378"/>
      <c r="AS39" s="378"/>
      <c r="AT39" s="378"/>
      <c r="AU39" s="378"/>
      <c r="AV39" s="378"/>
      <c r="AW39" s="378"/>
      <c r="AX39" s="378"/>
      <c r="AY39" s="378"/>
      <c r="AZ39" s="378"/>
    </row>
    <row r="40" spans="1:52" ht="12" customHeight="1" x14ac:dyDescent="0.25">
      <c r="A40" s="35"/>
      <c r="B40" s="13"/>
      <c r="C40" s="13"/>
      <c r="D40" s="13"/>
      <c r="E40" s="13"/>
      <c r="F40" s="13"/>
      <c r="G40" s="13"/>
      <c r="H40" s="32"/>
      <c r="I40" s="13"/>
      <c r="J40" s="13"/>
      <c r="K40" s="13"/>
      <c r="L40" s="13"/>
      <c r="M40" s="13"/>
      <c r="N40" s="13"/>
      <c r="O40" s="13"/>
      <c r="P40" s="13"/>
      <c r="Q40" s="13"/>
      <c r="R40" s="13"/>
      <c r="S40" s="13"/>
      <c r="T40" s="13"/>
      <c r="U40" s="378"/>
      <c r="V40" s="378"/>
      <c r="W40" s="378"/>
      <c r="X40" s="378"/>
      <c r="Y40" s="378"/>
      <c r="Z40" s="378"/>
      <c r="AA40" s="378"/>
      <c r="AB40" s="378"/>
      <c r="AC40" s="378"/>
      <c r="AD40" s="378"/>
      <c r="AE40" s="378"/>
      <c r="AF40" s="378"/>
      <c r="AG40" s="378"/>
      <c r="AH40" s="378"/>
      <c r="AI40" s="378"/>
      <c r="AJ40" s="378"/>
      <c r="AK40" s="378"/>
      <c r="AL40" s="378"/>
      <c r="AM40" s="378"/>
      <c r="AN40" s="378"/>
      <c r="AO40" s="378"/>
      <c r="AP40" s="378"/>
      <c r="AQ40" s="378"/>
      <c r="AR40" s="378"/>
      <c r="AS40" s="378"/>
      <c r="AT40" s="378"/>
      <c r="AU40" s="378"/>
      <c r="AV40" s="378"/>
      <c r="AW40" s="378"/>
      <c r="AX40" s="378"/>
      <c r="AY40" s="378"/>
      <c r="AZ40" s="378"/>
    </row>
    <row r="41" spans="1:52" ht="15" customHeight="1" x14ac:dyDescent="0.25">
      <c r="A41" s="554"/>
      <c r="B41" s="1595" t="s">
        <v>34</v>
      </c>
      <c r="C41" s="1595"/>
      <c r="D41" s="1595"/>
      <c r="E41" s="1595"/>
      <c r="F41" s="1595"/>
      <c r="G41" s="1595"/>
      <c r="H41" s="1595"/>
      <c r="I41" s="1595"/>
      <c r="J41" s="1595"/>
      <c r="K41" s="532"/>
      <c r="L41" s="13"/>
      <c r="M41" s="13"/>
      <c r="N41" s="13"/>
      <c r="O41" s="13"/>
      <c r="P41" s="13"/>
      <c r="Q41" s="13"/>
      <c r="R41" s="13"/>
      <c r="S41" s="13"/>
      <c r="T41" s="13"/>
      <c r="U41" s="378"/>
      <c r="V41" s="378"/>
      <c r="W41" s="378"/>
      <c r="X41" s="378"/>
      <c r="Y41" s="378"/>
      <c r="Z41" s="378"/>
      <c r="AA41" s="378"/>
      <c r="AB41" s="378"/>
      <c r="AC41" s="378"/>
      <c r="AD41" s="378"/>
      <c r="AE41" s="378"/>
      <c r="AF41" s="378"/>
      <c r="AG41" s="378"/>
      <c r="AH41" s="378"/>
      <c r="AI41" s="378"/>
      <c r="AJ41" s="378"/>
      <c r="AK41" s="378"/>
      <c r="AL41" s="378"/>
      <c r="AM41" s="378"/>
      <c r="AN41" s="378"/>
      <c r="AO41" s="378"/>
      <c r="AP41" s="378"/>
      <c r="AQ41" s="378"/>
      <c r="AR41" s="378"/>
      <c r="AS41" s="378"/>
      <c r="AT41" s="378"/>
      <c r="AU41" s="378"/>
      <c r="AV41" s="378"/>
      <c r="AW41" s="378"/>
      <c r="AX41" s="378"/>
      <c r="AY41" s="378"/>
      <c r="AZ41" s="378"/>
    </row>
    <row r="42" spans="1:52" ht="15.75" x14ac:dyDescent="0.25">
      <c r="A42" s="20"/>
      <c r="B42" s="33"/>
      <c r="C42" s="1587" t="s">
        <v>35</v>
      </c>
      <c r="D42" s="1587"/>
      <c r="E42" s="1587"/>
      <c r="F42" s="44" t="s">
        <v>36</v>
      </c>
      <c r="G42" s="552"/>
      <c r="H42" s="378"/>
      <c r="I42" s="378"/>
      <c r="J42" s="378"/>
      <c r="K42" s="43"/>
      <c r="L42" s="13"/>
      <c r="M42" s="13"/>
      <c r="N42" s="13"/>
      <c r="O42" s="13"/>
      <c r="P42" s="13"/>
      <c r="Q42" s="13"/>
      <c r="R42" s="13"/>
      <c r="S42" s="13"/>
      <c r="T42" s="13"/>
      <c r="U42" s="378"/>
      <c r="V42" s="378"/>
      <c r="W42" s="378"/>
      <c r="X42" s="378"/>
      <c r="Y42" s="378"/>
      <c r="Z42" s="378"/>
      <c r="AA42" s="378"/>
      <c r="AB42" s="378"/>
      <c r="AC42" s="378"/>
      <c r="AD42" s="378"/>
      <c r="AE42" s="378"/>
      <c r="AF42" s="378"/>
      <c r="AG42" s="378"/>
      <c r="AH42" s="378"/>
      <c r="AI42" s="378"/>
      <c r="AJ42" s="378"/>
      <c r="AK42" s="378"/>
      <c r="AL42" s="378"/>
      <c r="AM42" s="378"/>
      <c r="AN42" s="378"/>
      <c r="AO42" s="378"/>
      <c r="AP42" s="378"/>
      <c r="AQ42" s="378"/>
      <c r="AR42" s="378"/>
      <c r="AS42" s="378"/>
      <c r="AT42" s="378"/>
      <c r="AU42" s="378"/>
      <c r="AV42" s="378"/>
      <c r="AW42" s="378"/>
      <c r="AX42" s="378"/>
      <c r="AY42" s="378"/>
      <c r="AZ42" s="378"/>
    </row>
    <row r="43" spans="1:52" ht="15.75" x14ac:dyDescent="0.25">
      <c r="A43" s="20"/>
      <c r="B43" s="44" t="s">
        <v>37</v>
      </c>
      <c r="C43" s="1659"/>
      <c r="D43" s="1659"/>
      <c r="E43" s="1659"/>
      <c r="F43" s="863"/>
      <c r="G43" s="331"/>
      <c r="H43" s="42"/>
      <c r="I43" s="42"/>
      <c r="J43" s="42"/>
      <c r="K43" s="43"/>
      <c r="L43" s="13"/>
      <c r="M43" s="13"/>
      <c r="N43" s="13"/>
      <c r="O43" s="13"/>
      <c r="P43" s="13"/>
      <c r="Q43" s="13"/>
      <c r="R43" s="13"/>
      <c r="S43" s="13"/>
      <c r="T43" s="13"/>
      <c r="U43" s="378"/>
      <c r="V43" s="378"/>
      <c r="W43" s="378"/>
      <c r="X43" s="378"/>
      <c r="Y43" s="378"/>
      <c r="Z43" s="378"/>
      <c r="AA43" s="378"/>
      <c r="AB43" s="378"/>
      <c r="AC43" s="378"/>
      <c r="AD43" s="378"/>
      <c r="AE43" s="378"/>
      <c r="AF43" s="378"/>
      <c r="AG43" s="378"/>
      <c r="AH43" s="378"/>
      <c r="AI43" s="378"/>
      <c r="AJ43" s="378"/>
      <c r="AK43" s="378"/>
      <c r="AL43" s="378"/>
      <c r="AM43" s="378"/>
      <c r="AN43" s="378"/>
      <c r="AO43" s="378"/>
      <c r="AP43" s="378"/>
      <c r="AQ43" s="378"/>
      <c r="AR43" s="378"/>
      <c r="AS43" s="378"/>
      <c r="AT43" s="378"/>
      <c r="AU43" s="378"/>
      <c r="AV43" s="378"/>
      <c r="AW43" s="378"/>
      <c r="AX43" s="378"/>
      <c r="AY43" s="378"/>
      <c r="AZ43" s="378"/>
    </row>
    <row r="44" spans="1:52" s="532" customFormat="1" ht="15.75" customHeight="1" x14ac:dyDescent="0.25">
      <c r="A44" s="20"/>
      <c r="B44" s="44" t="s">
        <v>38</v>
      </c>
      <c r="C44" s="1659"/>
      <c r="D44" s="1659"/>
      <c r="E44" s="1659"/>
      <c r="F44" s="863"/>
      <c r="G44" s="1589" t="s">
        <v>39</v>
      </c>
      <c r="H44" s="1588"/>
      <c r="J44" s="42"/>
      <c r="K44" s="43"/>
      <c r="L44" s="13"/>
      <c r="M44" s="13"/>
      <c r="N44" s="13"/>
      <c r="O44" s="13"/>
      <c r="P44" s="13"/>
      <c r="Q44" s="13"/>
      <c r="R44" s="13"/>
      <c r="S44" s="13"/>
      <c r="T44" s="13"/>
      <c r="U44" s="378"/>
      <c r="V44" s="378"/>
      <c r="W44" s="378"/>
      <c r="X44" s="378"/>
      <c r="Y44" s="378"/>
      <c r="Z44" s="378"/>
      <c r="AA44" s="378"/>
      <c r="AB44" s="378"/>
      <c r="AC44" s="378"/>
      <c r="AD44" s="378"/>
      <c r="AE44" s="378"/>
      <c r="AF44" s="378"/>
      <c r="AG44" s="378"/>
      <c r="AH44" s="378"/>
      <c r="AI44" s="378"/>
      <c r="AJ44" s="378"/>
      <c r="AK44" s="378"/>
      <c r="AL44" s="378"/>
      <c r="AM44" s="378"/>
      <c r="AN44" s="378"/>
      <c r="AO44" s="378"/>
      <c r="AP44" s="378"/>
      <c r="AQ44" s="378"/>
      <c r="AR44" s="378"/>
      <c r="AS44" s="378"/>
      <c r="AT44" s="378"/>
      <c r="AU44" s="378"/>
      <c r="AV44" s="378"/>
      <c r="AW44" s="378"/>
      <c r="AX44" s="378"/>
      <c r="AY44" s="378"/>
      <c r="AZ44" s="378"/>
    </row>
    <row r="45" spans="1:52" ht="15.75" x14ac:dyDescent="0.25">
      <c r="A45" s="20"/>
      <c r="B45" s="44" t="s">
        <v>40</v>
      </c>
      <c r="C45" s="1659"/>
      <c r="D45" s="1659"/>
      <c r="E45" s="1659"/>
      <c r="F45" s="863"/>
      <c r="G45" s="695">
        <f>F43+F44+F45</f>
        <v>0</v>
      </c>
      <c r="H45" s="532"/>
      <c r="I45" s="42"/>
      <c r="J45" s="42"/>
      <c r="K45" s="43"/>
      <c r="L45" s="13"/>
      <c r="M45" s="13"/>
      <c r="N45" s="13"/>
      <c r="O45" s="13"/>
      <c r="P45" s="13"/>
      <c r="Q45" s="13"/>
      <c r="R45" s="13"/>
      <c r="S45" s="13"/>
      <c r="T45" s="13"/>
      <c r="U45" s="378"/>
      <c r="V45" s="378"/>
      <c r="W45" s="378"/>
      <c r="X45" s="378"/>
      <c r="Y45" s="378"/>
      <c r="Z45" s="378"/>
      <c r="AA45" s="378"/>
      <c r="AB45" s="378"/>
      <c r="AC45" s="378"/>
      <c r="AD45" s="378"/>
      <c r="AE45" s="378"/>
      <c r="AF45" s="378"/>
      <c r="AG45" s="378"/>
      <c r="AH45" s="378"/>
      <c r="AI45" s="378"/>
      <c r="AJ45" s="378"/>
      <c r="AK45" s="378"/>
      <c r="AL45" s="378"/>
      <c r="AM45" s="378"/>
      <c r="AN45" s="378"/>
      <c r="AO45" s="378"/>
      <c r="AP45" s="378"/>
      <c r="AQ45" s="378"/>
      <c r="AR45" s="378"/>
      <c r="AS45" s="378"/>
      <c r="AT45" s="378"/>
      <c r="AU45" s="378"/>
      <c r="AV45" s="378"/>
      <c r="AW45" s="378"/>
      <c r="AX45" s="378"/>
      <c r="AY45" s="378"/>
      <c r="AZ45" s="378"/>
    </row>
    <row r="46" spans="1:52" x14ac:dyDescent="0.25">
      <c r="A46" s="20"/>
      <c r="B46" s="1602" t="s">
        <v>41</v>
      </c>
      <c r="C46" s="1602"/>
      <c r="D46" s="1602"/>
      <c r="E46" s="1602"/>
      <c r="F46" s="1602"/>
      <c r="G46" s="1602"/>
      <c r="H46" s="1602"/>
      <c r="I46" s="1602"/>
      <c r="J46" s="1602"/>
      <c r="K46" s="43"/>
      <c r="L46" s="13"/>
      <c r="M46" s="13"/>
      <c r="N46" s="13"/>
      <c r="O46" s="13"/>
      <c r="P46" s="13"/>
      <c r="Q46" s="13"/>
      <c r="R46" s="13"/>
      <c r="S46" s="13"/>
      <c r="T46" s="13"/>
      <c r="U46" s="378"/>
      <c r="V46" s="378"/>
      <c r="W46" s="378"/>
      <c r="X46" s="378"/>
      <c r="Y46" s="378"/>
      <c r="Z46" s="378"/>
      <c r="AA46" s="378"/>
      <c r="AB46" s="378"/>
      <c r="AC46" s="378"/>
      <c r="AD46" s="378"/>
      <c r="AE46" s="378"/>
      <c r="AF46" s="378"/>
      <c r="AG46" s="378"/>
      <c r="AH46" s="378"/>
      <c r="AI46" s="378"/>
      <c r="AJ46" s="378"/>
      <c r="AK46" s="378"/>
      <c r="AL46" s="378"/>
      <c r="AM46" s="378"/>
      <c r="AN46" s="378"/>
      <c r="AO46" s="378"/>
      <c r="AP46" s="378"/>
      <c r="AQ46" s="378"/>
      <c r="AR46" s="378"/>
      <c r="AS46" s="378"/>
      <c r="AT46" s="378"/>
      <c r="AU46" s="378"/>
      <c r="AV46" s="378"/>
      <c r="AW46" s="378"/>
      <c r="AX46" s="378"/>
      <c r="AY46" s="378"/>
      <c r="AZ46" s="378"/>
    </row>
    <row r="47" spans="1:52" s="532" customFormat="1" ht="15.75" customHeight="1" x14ac:dyDescent="0.25">
      <c r="A47" s="20"/>
      <c r="B47" s="30" t="s">
        <v>42</v>
      </c>
      <c r="C47" s="42"/>
      <c r="D47" s="42"/>
      <c r="E47" s="42"/>
      <c r="F47" s="42"/>
      <c r="G47" s="1588" t="s">
        <v>43</v>
      </c>
      <c r="H47" s="1588"/>
      <c r="I47" s="570"/>
      <c r="J47" s="570"/>
      <c r="K47" s="43"/>
      <c r="L47" s="13"/>
      <c r="M47" s="13"/>
      <c r="N47" s="13"/>
      <c r="O47" s="13"/>
      <c r="P47" s="13"/>
      <c r="Q47" s="13"/>
      <c r="R47" s="13"/>
      <c r="S47" s="13"/>
      <c r="T47" s="13"/>
      <c r="U47" s="378"/>
      <c r="V47" s="378"/>
      <c r="W47" s="378"/>
      <c r="X47" s="378"/>
      <c r="Y47" s="378"/>
      <c r="Z47" s="378"/>
      <c r="AA47" s="378"/>
      <c r="AB47" s="378"/>
      <c r="AC47" s="378"/>
      <c r="AD47" s="378"/>
      <c r="AE47" s="378"/>
      <c r="AF47" s="378"/>
      <c r="AG47" s="378"/>
      <c r="AH47" s="378"/>
      <c r="AI47" s="378"/>
      <c r="AJ47" s="378"/>
      <c r="AK47" s="378"/>
      <c r="AL47" s="378"/>
      <c r="AM47" s="378"/>
      <c r="AN47" s="378"/>
      <c r="AO47" s="378"/>
      <c r="AP47" s="378"/>
      <c r="AQ47" s="378"/>
      <c r="AR47" s="378"/>
      <c r="AS47" s="378"/>
      <c r="AT47" s="378"/>
      <c r="AU47" s="378"/>
      <c r="AV47" s="378"/>
      <c r="AW47" s="378"/>
      <c r="AX47" s="378"/>
      <c r="AY47" s="378"/>
      <c r="AZ47" s="378"/>
    </row>
    <row r="48" spans="1:52" s="532" customFormat="1" x14ac:dyDescent="0.25">
      <c r="A48" s="20"/>
      <c r="B48" s="1620" t="s">
        <v>44</v>
      </c>
      <c r="C48" s="1620"/>
      <c r="D48" s="1620"/>
      <c r="E48" s="1620"/>
      <c r="F48" s="862"/>
      <c r="G48" s="695" t="str">
        <f>'4 RELATÓRIO'!G12</f>
        <v/>
      </c>
      <c r="I48" s="570"/>
      <c r="J48" s="570"/>
      <c r="K48" s="43"/>
      <c r="L48" s="13"/>
      <c r="M48" s="13"/>
      <c r="N48" s="13"/>
      <c r="O48" s="13"/>
      <c r="P48" s="13"/>
      <c r="Q48" s="13"/>
      <c r="R48" s="13"/>
      <c r="S48" s="13"/>
      <c r="T48" s="13"/>
      <c r="U48" s="378"/>
      <c r="V48" s="378"/>
      <c r="W48" s="378"/>
      <c r="X48" s="378"/>
      <c r="Y48" s="378"/>
      <c r="Z48" s="378"/>
      <c r="AA48" s="378"/>
      <c r="AB48" s="378"/>
      <c r="AC48" s="378"/>
      <c r="AD48" s="378"/>
      <c r="AE48" s="378"/>
      <c r="AF48" s="378"/>
      <c r="AG48" s="378"/>
      <c r="AH48" s="378"/>
      <c r="AI48" s="378"/>
      <c r="AJ48" s="378"/>
      <c r="AK48" s="378"/>
      <c r="AL48" s="378"/>
      <c r="AM48" s="378"/>
      <c r="AN48" s="378"/>
      <c r="AO48" s="378"/>
      <c r="AP48" s="378"/>
      <c r="AQ48" s="378"/>
      <c r="AR48" s="378"/>
      <c r="AS48" s="378"/>
      <c r="AT48" s="378"/>
      <c r="AU48" s="378"/>
      <c r="AV48" s="378"/>
      <c r="AW48" s="378"/>
      <c r="AX48" s="378"/>
      <c r="AY48" s="378"/>
      <c r="AZ48" s="378"/>
    </row>
    <row r="49" spans="1:52" s="532" customFormat="1" ht="15.75" x14ac:dyDescent="0.25">
      <c r="A49" s="20"/>
      <c r="B49" s="30"/>
      <c r="C49" s="42"/>
      <c r="D49" s="42"/>
      <c r="E49" s="1667" t="s">
        <v>45</v>
      </c>
      <c r="F49" s="1667"/>
      <c r="G49" s="42"/>
      <c r="H49" s="570"/>
      <c r="I49" s="570"/>
      <c r="J49" s="570"/>
      <c r="K49" s="43"/>
      <c r="L49" s="13"/>
      <c r="M49" s="13"/>
      <c r="N49" s="13"/>
      <c r="O49" s="13"/>
      <c r="P49" s="13"/>
      <c r="Q49" s="13"/>
      <c r="R49" s="13"/>
      <c r="S49" s="13"/>
      <c r="T49" s="13"/>
      <c r="U49" s="378"/>
      <c r="V49" s="378"/>
      <c r="W49" s="378"/>
      <c r="X49" s="378"/>
      <c r="Y49" s="378"/>
      <c r="Z49" s="378"/>
      <c r="AA49" s="378"/>
      <c r="AB49" s="378"/>
      <c r="AC49" s="378"/>
      <c r="AD49" s="378"/>
      <c r="AE49" s="378"/>
      <c r="AF49" s="378"/>
      <c r="AG49" s="378"/>
      <c r="AH49" s="378"/>
      <c r="AI49" s="378"/>
      <c r="AJ49" s="378"/>
      <c r="AK49" s="378"/>
      <c r="AL49" s="378"/>
      <c r="AM49" s="378"/>
      <c r="AN49" s="378"/>
      <c r="AO49" s="378"/>
      <c r="AP49" s="378"/>
      <c r="AQ49" s="378"/>
      <c r="AR49" s="378"/>
      <c r="AS49" s="378"/>
      <c r="AT49" s="378"/>
      <c r="AU49" s="378"/>
      <c r="AV49" s="378"/>
      <c r="AW49" s="378"/>
      <c r="AX49" s="378"/>
      <c r="AY49" s="378"/>
      <c r="AZ49" s="378"/>
    </row>
    <row r="50" spans="1:52" s="532" customFormat="1" x14ac:dyDescent="0.25">
      <c r="A50" s="20"/>
      <c r="B50" s="1620" t="s">
        <v>46</v>
      </c>
      <c r="C50" s="1620"/>
      <c r="D50" s="1620"/>
      <c r="E50" s="1672"/>
      <c r="F50" s="862"/>
      <c r="G50" s="42"/>
      <c r="I50" s="570"/>
      <c r="J50" s="570"/>
      <c r="K50" s="43"/>
      <c r="L50" s="13"/>
      <c r="M50" s="13"/>
      <c r="N50" s="13"/>
      <c r="O50" s="13"/>
      <c r="P50" s="13"/>
      <c r="Q50" s="13"/>
      <c r="R50" s="13"/>
      <c r="S50" s="13"/>
      <c r="T50" s="13"/>
      <c r="U50" s="378"/>
      <c r="V50" s="378"/>
      <c r="W50" s="378"/>
      <c r="X50" s="378"/>
      <c r="Y50" s="378"/>
      <c r="Z50" s="378"/>
      <c r="AA50" s="378"/>
      <c r="AB50" s="378"/>
      <c r="AC50" s="378"/>
      <c r="AD50" s="378"/>
      <c r="AE50" s="378"/>
      <c r="AF50" s="378"/>
      <c r="AG50" s="378"/>
      <c r="AH50" s="378"/>
      <c r="AI50" s="378"/>
      <c r="AJ50" s="378"/>
      <c r="AK50" s="378"/>
      <c r="AL50" s="378"/>
      <c r="AM50" s="378"/>
      <c r="AN50" s="378"/>
      <c r="AO50" s="378"/>
      <c r="AP50" s="378"/>
      <c r="AQ50" s="378"/>
      <c r="AR50" s="378"/>
      <c r="AS50" s="378"/>
      <c r="AT50" s="378"/>
      <c r="AU50" s="378"/>
      <c r="AV50" s="378"/>
      <c r="AW50" s="378"/>
      <c r="AX50" s="378"/>
      <c r="AY50" s="378"/>
      <c r="AZ50" s="378"/>
    </row>
    <row r="51" spans="1:52" s="532" customFormat="1" ht="12.75" customHeight="1" x14ac:dyDescent="0.25">
      <c r="A51" s="20"/>
      <c r="B51" s="80"/>
      <c r="C51" s="80"/>
      <c r="D51" s="80"/>
      <c r="E51" s="80"/>
      <c r="F51" s="588"/>
      <c r="G51" s="42"/>
      <c r="H51" s="32"/>
      <c r="I51" s="570"/>
      <c r="J51" s="570"/>
      <c r="K51" s="43"/>
      <c r="L51" s="13"/>
      <c r="M51" s="13"/>
      <c r="N51" s="13"/>
      <c r="O51" s="13"/>
      <c r="P51" s="13"/>
      <c r="Q51" s="13"/>
      <c r="R51" s="13"/>
      <c r="S51" s="13"/>
      <c r="T51" s="13"/>
      <c r="U51" s="378"/>
      <c r="V51" s="378"/>
      <c r="W51" s="378"/>
      <c r="X51" s="378"/>
      <c r="Y51" s="378"/>
      <c r="Z51" s="378"/>
      <c r="AA51" s="378"/>
      <c r="AB51" s="378"/>
      <c r="AC51" s="378"/>
      <c r="AD51" s="378"/>
      <c r="AE51" s="378"/>
      <c r="AF51" s="378"/>
      <c r="AG51" s="378"/>
      <c r="AH51" s="378"/>
      <c r="AI51" s="378"/>
      <c r="AJ51" s="378"/>
      <c r="AK51" s="378"/>
      <c r="AL51" s="378"/>
      <c r="AM51" s="378"/>
      <c r="AN51" s="378"/>
      <c r="AO51" s="378"/>
      <c r="AP51" s="378"/>
      <c r="AQ51" s="378"/>
      <c r="AR51" s="378"/>
      <c r="AS51" s="378"/>
      <c r="AT51" s="378"/>
      <c r="AU51" s="378"/>
      <c r="AV51" s="378"/>
      <c r="AW51" s="378"/>
      <c r="AX51" s="378"/>
      <c r="AY51" s="378"/>
      <c r="AZ51" s="378"/>
    </row>
    <row r="52" spans="1:52" s="449" customFormat="1" x14ac:dyDescent="0.25">
      <c r="A52" s="20"/>
      <c r="B52" s="1595" t="s">
        <v>47</v>
      </c>
      <c r="C52" s="1595"/>
      <c r="D52" s="1595"/>
      <c r="E52" s="1595"/>
      <c r="F52" s="1595"/>
      <c r="G52" s="1595"/>
      <c r="H52" s="1595"/>
      <c r="I52" s="1595"/>
      <c r="J52" s="1595"/>
      <c r="K52" s="1595"/>
      <c r="L52" s="13"/>
      <c r="M52" s="13"/>
      <c r="N52" s="13"/>
      <c r="O52" s="13"/>
      <c r="P52" s="13"/>
      <c r="Q52" s="13"/>
      <c r="R52" s="13"/>
      <c r="S52" s="13"/>
      <c r="T52" s="13"/>
      <c r="U52" s="378"/>
      <c r="V52" s="378"/>
      <c r="W52" s="378"/>
      <c r="X52" s="378"/>
      <c r="Y52" s="378"/>
      <c r="Z52" s="378"/>
      <c r="AA52" s="378"/>
      <c r="AB52" s="378"/>
      <c r="AC52" s="378"/>
      <c r="AD52" s="378"/>
      <c r="AE52" s="378"/>
      <c r="AF52" s="378"/>
      <c r="AG52" s="378"/>
      <c r="AH52" s="378"/>
      <c r="AI52" s="378"/>
      <c r="AJ52" s="378"/>
      <c r="AK52" s="378"/>
      <c r="AL52" s="378"/>
      <c r="AM52" s="378"/>
      <c r="AN52" s="378"/>
      <c r="AO52" s="378"/>
      <c r="AP52" s="378"/>
      <c r="AQ52" s="378"/>
      <c r="AR52" s="378"/>
      <c r="AS52" s="378"/>
      <c r="AT52" s="378"/>
      <c r="AU52" s="378"/>
      <c r="AV52" s="378"/>
      <c r="AW52" s="378"/>
      <c r="AX52" s="378"/>
      <c r="AY52" s="378"/>
      <c r="AZ52" s="378"/>
    </row>
    <row r="53" spans="1:52" s="449" customFormat="1" ht="15.75" x14ac:dyDescent="0.25">
      <c r="A53" s="20"/>
      <c r="B53" s="33"/>
      <c r="C53" s="1587" t="s">
        <v>35</v>
      </c>
      <c r="D53" s="1587"/>
      <c r="E53" s="1587"/>
      <c r="F53" s="44" t="s">
        <v>36</v>
      </c>
      <c r="G53" s="33"/>
      <c r="H53" s="378"/>
      <c r="I53" s="378"/>
      <c r="J53" s="378"/>
      <c r="K53" s="43"/>
      <c r="L53" s="13"/>
      <c r="M53" s="13"/>
      <c r="N53" s="13"/>
      <c r="O53" s="13"/>
      <c r="P53" s="13"/>
      <c r="Q53" s="13"/>
      <c r="R53" s="13"/>
      <c r="S53" s="13"/>
      <c r="T53" s="13"/>
      <c r="U53" s="378"/>
      <c r="V53" s="378"/>
      <c r="W53" s="378"/>
      <c r="X53" s="378"/>
      <c r="Y53" s="378"/>
      <c r="Z53" s="378"/>
      <c r="AA53" s="378"/>
      <c r="AB53" s="378"/>
      <c r="AC53" s="378"/>
      <c r="AD53" s="378"/>
      <c r="AE53" s="378"/>
      <c r="AF53" s="378"/>
      <c r="AG53" s="378"/>
      <c r="AH53" s="378"/>
      <c r="AI53" s="378"/>
      <c r="AJ53" s="378"/>
      <c r="AK53" s="378"/>
      <c r="AL53" s="378"/>
      <c r="AM53" s="378"/>
      <c r="AN53" s="378"/>
      <c r="AO53" s="378"/>
      <c r="AP53" s="378"/>
      <c r="AQ53" s="378"/>
      <c r="AR53" s="378"/>
      <c r="AS53" s="378"/>
      <c r="AT53" s="378"/>
      <c r="AU53" s="378"/>
      <c r="AV53" s="378"/>
      <c r="AW53" s="378"/>
      <c r="AX53" s="378"/>
      <c r="AY53" s="378"/>
      <c r="AZ53" s="378"/>
    </row>
    <row r="54" spans="1:52" s="449" customFormat="1" ht="15.75" x14ac:dyDescent="0.25">
      <c r="A54" s="20"/>
      <c r="B54" s="44" t="s">
        <v>37</v>
      </c>
      <c r="C54" s="1662"/>
      <c r="D54" s="1663"/>
      <c r="E54" s="1663"/>
      <c r="F54" s="863"/>
      <c r="G54" s="331"/>
      <c r="H54" s="378"/>
      <c r="I54" s="378"/>
      <c r="J54" s="378"/>
      <c r="K54" s="43"/>
      <c r="L54" s="13"/>
      <c r="M54" s="13"/>
      <c r="N54" s="13"/>
      <c r="O54" s="13"/>
      <c r="P54" s="13"/>
      <c r="Q54" s="13"/>
      <c r="R54" s="13"/>
      <c r="S54" s="13"/>
      <c r="T54" s="13"/>
      <c r="U54" s="378"/>
      <c r="V54" s="378"/>
      <c r="W54" s="378"/>
      <c r="X54" s="378"/>
      <c r="Y54" s="378"/>
      <c r="Z54" s="378"/>
      <c r="AA54" s="378"/>
      <c r="AB54" s="378"/>
      <c r="AC54" s="378"/>
      <c r="AD54" s="378"/>
      <c r="AE54" s="378"/>
      <c r="AF54" s="378"/>
      <c r="AG54" s="378"/>
      <c r="AH54" s="378"/>
      <c r="AI54" s="378"/>
      <c r="AJ54" s="378"/>
      <c r="AK54" s="378"/>
      <c r="AL54" s="378"/>
      <c r="AM54" s="378"/>
      <c r="AN54" s="378"/>
      <c r="AO54" s="378"/>
      <c r="AP54" s="378"/>
      <c r="AQ54" s="378"/>
      <c r="AR54" s="378"/>
      <c r="AS54" s="378"/>
      <c r="AT54" s="378"/>
      <c r="AU54" s="378"/>
      <c r="AV54" s="378"/>
      <c r="AW54" s="378"/>
      <c r="AX54" s="378"/>
      <c r="AY54" s="378"/>
      <c r="AZ54" s="378"/>
    </row>
    <row r="55" spans="1:52" s="532" customFormat="1" ht="15.75" x14ac:dyDescent="0.25">
      <c r="A55" s="20"/>
      <c r="B55" s="44" t="s">
        <v>38</v>
      </c>
      <c r="C55" s="1662"/>
      <c r="D55" s="1663"/>
      <c r="E55" s="1663"/>
      <c r="F55" s="863"/>
      <c r="G55" s="331"/>
      <c r="H55" s="378"/>
      <c r="I55" s="378"/>
      <c r="J55" s="378"/>
      <c r="K55" s="43"/>
      <c r="L55" s="13"/>
      <c r="M55" s="13"/>
      <c r="N55" s="13"/>
      <c r="O55" s="13"/>
      <c r="P55" s="13"/>
      <c r="Q55" s="13"/>
      <c r="R55" s="13"/>
      <c r="S55" s="13"/>
      <c r="T55" s="13"/>
      <c r="U55" s="378"/>
      <c r="V55" s="378"/>
      <c r="W55" s="378"/>
      <c r="X55" s="378"/>
      <c r="Y55" s="378"/>
      <c r="Z55" s="378"/>
      <c r="AA55" s="378"/>
      <c r="AB55" s="378"/>
      <c r="AC55" s="378"/>
      <c r="AD55" s="378"/>
      <c r="AE55" s="378"/>
      <c r="AF55" s="378"/>
      <c r="AG55" s="378"/>
      <c r="AH55" s="378"/>
      <c r="AI55" s="378"/>
      <c r="AJ55" s="378"/>
      <c r="AK55" s="378"/>
      <c r="AL55" s="378"/>
      <c r="AM55" s="378"/>
      <c r="AN55" s="378"/>
      <c r="AO55" s="378"/>
      <c r="AP55" s="378"/>
      <c r="AQ55" s="378"/>
      <c r="AR55" s="378"/>
      <c r="AS55" s="378"/>
      <c r="AT55" s="378"/>
      <c r="AU55" s="378"/>
      <c r="AV55" s="378"/>
      <c r="AW55" s="378"/>
      <c r="AX55" s="378"/>
      <c r="AY55" s="378"/>
      <c r="AZ55" s="378"/>
    </row>
    <row r="56" spans="1:52" s="449" customFormat="1" ht="15.75" x14ac:dyDescent="0.25">
      <c r="A56" s="20"/>
      <c r="B56" s="44" t="s">
        <v>40</v>
      </c>
      <c r="C56" s="1662"/>
      <c r="D56" s="1663"/>
      <c r="E56" s="1663"/>
      <c r="F56" s="863"/>
      <c r="G56" s="331"/>
      <c r="H56" s="378"/>
      <c r="I56" s="378"/>
      <c r="J56" s="378"/>
      <c r="K56" s="43"/>
      <c r="L56" s="13"/>
      <c r="M56" s="13"/>
      <c r="N56" s="13"/>
      <c r="O56" s="13"/>
      <c r="P56" s="13"/>
      <c r="Q56" s="13"/>
      <c r="R56" s="13"/>
      <c r="S56" s="13"/>
      <c r="T56" s="13"/>
      <c r="U56" s="378"/>
      <c r="V56" s="378"/>
      <c r="W56" s="378"/>
      <c r="X56" s="378"/>
      <c r="Y56" s="378"/>
      <c r="Z56" s="378"/>
      <c r="AA56" s="378"/>
      <c r="AB56" s="378"/>
      <c r="AC56" s="378"/>
      <c r="AD56" s="378"/>
      <c r="AE56" s="378"/>
      <c r="AF56" s="378"/>
      <c r="AG56" s="378"/>
      <c r="AH56" s="378"/>
      <c r="AI56" s="378"/>
      <c r="AJ56" s="378"/>
      <c r="AK56" s="378"/>
      <c r="AL56" s="378"/>
      <c r="AM56" s="378"/>
      <c r="AN56" s="378"/>
      <c r="AO56" s="378"/>
      <c r="AP56" s="378"/>
      <c r="AQ56" s="378"/>
      <c r="AR56" s="378"/>
      <c r="AS56" s="378"/>
      <c r="AT56" s="378"/>
      <c r="AU56" s="378"/>
      <c r="AV56" s="378"/>
      <c r="AW56" s="378"/>
      <c r="AX56" s="378"/>
      <c r="AY56" s="378"/>
      <c r="AZ56" s="378"/>
    </row>
    <row r="57" spans="1:52" ht="14.25" customHeight="1" x14ac:dyDescent="0.25">
      <c r="A57" s="20"/>
      <c r="B57" s="1602" t="s">
        <v>48</v>
      </c>
      <c r="C57" s="1602"/>
      <c r="D57" s="1602"/>
      <c r="E57" s="1602"/>
      <c r="F57" s="1602"/>
      <c r="G57" s="1602"/>
      <c r="H57" s="1602"/>
      <c r="I57" s="1602"/>
      <c r="J57" s="1602"/>
      <c r="K57" s="43"/>
      <c r="L57" s="13"/>
      <c r="M57" s="13"/>
      <c r="N57" s="13"/>
      <c r="O57" s="13"/>
      <c r="P57" s="13"/>
      <c r="Q57" s="13"/>
      <c r="R57" s="13"/>
      <c r="S57" s="13"/>
      <c r="T57" s="13"/>
      <c r="U57" s="378"/>
      <c r="V57" s="378"/>
      <c r="W57" s="378"/>
      <c r="X57" s="378"/>
      <c r="Y57" s="378"/>
      <c r="Z57" s="378"/>
      <c r="AA57" s="378"/>
      <c r="AB57" s="378"/>
      <c r="AC57" s="378"/>
      <c r="AD57" s="378"/>
      <c r="AE57" s="378"/>
      <c r="AF57" s="378"/>
      <c r="AG57" s="378"/>
      <c r="AH57" s="378"/>
      <c r="AI57" s="378"/>
      <c r="AJ57" s="378"/>
      <c r="AK57" s="378"/>
      <c r="AL57" s="378"/>
      <c r="AM57" s="378"/>
      <c r="AN57" s="378"/>
      <c r="AO57" s="378"/>
      <c r="AP57" s="378"/>
      <c r="AQ57" s="378"/>
      <c r="AR57" s="378"/>
      <c r="AS57" s="378"/>
      <c r="AT57" s="378"/>
      <c r="AU57" s="378"/>
      <c r="AV57" s="378"/>
      <c r="AW57" s="378"/>
      <c r="AX57" s="378"/>
      <c r="AY57" s="378"/>
      <c r="AZ57" s="378"/>
    </row>
    <row r="58" spans="1:52" s="18" customFormat="1" x14ac:dyDescent="0.25">
      <c r="A58" s="45"/>
      <c r="B58" s="13"/>
      <c r="C58" s="13"/>
      <c r="D58" s="13"/>
      <c r="E58" s="13"/>
      <c r="F58" s="13"/>
      <c r="G58" s="13"/>
      <c r="H58" s="13"/>
      <c r="I58" s="13"/>
      <c r="J58" s="13"/>
      <c r="K58" s="13"/>
      <c r="L58" s="13"/>
      <c r="M58" s="13"/>
      <c r="N58" s="13"/>
      <c r="O58" s="13"/>
      <c r="P58" s="13"/>
      <c r="Q58" s="13"/>
      <c r="R58" s="13"/>
      <c r="S58" s="13"/>
      <c r="T58" s="13"/>
      <c r="U58" s="378"/>
      <c r="V58" s="378"/>
      <c r="W58" s="378"/>
      <c r="X58" s="378"/>
      <c r="Y58" s="378"/>
      <c r="Z58" s="378"/>
      <c r="AA58" s="378"/>
      <c r="AB58" s="378"/>
      <c r="AC58" s="378"/>
      <c r="AD58" s="378"/>
      <c r="AE58" s="378"/>
      <c r="AF58" s="378"/>
      <c r="AG58" s="378"/>
      <c r="AH58" s="378"/>
      <c r="AI58" s="378"/>
      <c r="AJ58" s="378"/>
      <c r="AK58" s="378"/>
      <c r="AL58" s="378"/>
      <c r="AM58" s="378"/>
      <c r="AN58" s="378"/>
      <c r="AO58" s="378"/>
      <c r="AP58" s="378"/>
      <c r="AQ58" s="378"/>
      <c r="AR58" s="378"/>
      <c r="AS58" s="378"/>
      <c r="AT58" s="378"/>
      <c r="AU58" s="378"/>
      <c r="AV58" s="378"/>
      <c r="AW58" s="378"/>
      <c r="AX58" s="378"/>
      <c r="AY58" s="378"/>
      <c r="AZ58" s="378"/>
    </row>
    <row r="59" spans="1:52" s="532" customFormat="1" ht="15.75" customHeight="1" x14ac:dyDescent="0.25">
      <c r="A59" s="582">
        <v>8</v>
      </c>
      <c r="B59" s="1595" t="s">
        <v>49</v>
      </c>
      <c r="C59" s="1595"/>
      <c r="D59" s="1595"/>
      <c r="E59" s="1595"/>
      <c r="F59" s="1595"/>
      <c r="G59" s="1595"/>
      <c r="H59" s="1595"/>
      <c r="I59" s="13"/>
      <c r="J59" s="13"/>
      <c r="K59" s="13"/>
      <c r="L59" s="13"/>
      <c r="M59" s="13"/>
      <c r="N59" s="13"/>
      <c r="O59" s="13"/>
      <c r="P59" s="13"/>
      <c r="Q59" s="13"/>
      <c r="R59" s="13"/>
      <c r="S59" s="13"/>
      <c r="T59" s="13"/>
      <c r="U59" s="378"/>
      <c r="V59" s="378"/>
      <c r="W59" s="378"/>
      <c r="X59" s="378"/>
      <c r="Y59" s="378"/>
      <c r="Z59" s="378"/>
      <c r="AA59" s="378"/>
      <c r="AB59" s="378"/>
      <c r="AC59" s="378"/>
      <c r="AD59" s="378"/>
      <c r="AE59" s="378"/>
      <c r="AF59" s="378"/>
      <c r="AG59" s="378"/>
      <c r="AH59" s="378"/>
      <c r="AI59" s="378"/>
      <c r="AJ59" s="378"/>
      <c r="AK59" s="378"/>
      <c r="AL59" s="378"/>
      <c r="AM59" s="378"/>
      <c r="AN59" s="378"/>
      <c r="AO59" s="378"/>
      <c r="AP59" s="378"/>
      <c r="AQ59" s="378"/>
      <c r="AR59" s="378"/>
      <c r="AS59" s="378"/>
      <c r="AT59" s="378"/>
      <c r="AU59" s="378"/>
      <c r="AV59" s="378"/>
      <c r="AW59" s="378"/>
      <c r="AX59" s="378"/>
      <c r="AY59" s="378"/>
      <c r="AZ59" s="378"/>
    </row>
    <row r="60" spans="1:52" ht="15.75" x14ac:dyDescent="0.25">
      <c r="A60" s="532"/>
      <c r="B60" s="30" t="s">
        <v>50</v>
      </c>
      <c r="C60" s="13"/>
      <c r="D60" s="13"/>
      <c r="E60" s="1507" t="s">
        <v>51</v>
      </c>
      <c r="F60" s="13"/>
      <c r="G60" s="13"/>
      <c r="H60" s="13"/>
      <c r="I60" s="13"/>
      <c r="J60" s="13"/>
      <c r="K60" s="13"/>
      <c r="L60" s="13"/>
      <c r="M60" s="13"/>
      <c r="N60" s="13"/>
      <c r="O60" s="13"/>
      <c r="P60" s="13"/>
      <c r="Q60" s="13"/>
      <c r="R60" s="13"/>
      <c r="S60" s="13"/>
      <c r="T60" s="13"/>
      <c r="U60" s="378"/>
      <c r="V60" s="378"/>
      <c r="W60" s="378"/>
      <c r="X60" s="378"/>
      <c r="Y60" s="378"/>
      <c r="Z60" s="378"/>
      <c r="AA60" s="378"/>
      <c r="AB60" s="378"/>
      <c r="AC60" s="378"/>
      <c r="AD60" s="378"/>
      <c r="AE60" s="378"/>
      <c r="AF60" s="378"/>
      <c r="AG60" s="378"/>
      <c r="AH60" s="378"/>
      <c r="AI60" s="378"/>
      <c r="AJ60" s="378"/>
      <c r="AK60" s="378"/>
      <c r="AL60" s="378"/>
      <c r="AM60" s="378"/>
      <c r="AN60" s="378"/>
      <c r="AO60" s="378"/>
      <c r="AP60" s="378"/>
      <c r="AQ60" s="378"/>
      <c r="AR60" s="378"/>
      <c r="AS60" s="378"/>
      <c r="AT60" s="378"/>
      <c r="AU60" s="378"/>
      <c r="AV60" s="378"/>
      <c r="AW60" s="378"/>
      <c r="AX60" s="378"/>
      <c r="AY60" s="378"/>
      <c r="AZ60" s="378"/>
    </row>
    <row r="61" spans="1:52" ht="15.75" customHeight="1" x14ac:dyDescent="0.25">
      <c r="A61" s="34"/>
      <c r="B61" s="1654" t="s">
        <v>52</v>
      </c>
      <c r="C61" s="1654"/>
      <c r="D61" s="1654"/>
      <c r="E61" s="864"/>
      <c r="F61" s="378"/>
      <c r="G61" s="33"/>
      <c r="H61" s="13"/>
      <c r="I61" s="13"/>
      <c r="J61" s="13"/>
      <c r="K61" s="13"/>
      <c r="L61" s="13"/>
      <c r="M61" s="13"/>
      <c r="N61" s="13"/>
      <c r="O61" s="13"/>
      <c r="P61" s="13"/>
      <c r="Q61" s="13"/>
      <c r="R61" s="13"/>
      <c r="S61" s="13"/>
      <c r="T61" s="13"/>
      <c r="U61" s="378"/>
      <c r="V61" s="378"/>
      <c r="W61" s="378"/>
      <c r="X61" s="378"/>
      <c r="Y61" s="378"/>
      <c r="Z61" s="378"/>
      <c r="AA61" s="378"/>
      <c r="AB61" s="378"/>
      <c r="AC61" s="378"/>
      <c r="AD61" s="378"/>
      <c r="AE61" s="378"/>
      <c r="AF61" s="378"/>
      <c r="AG61" s="378"/>
      <c r="AH61" s="378"/>
      <c r="AI61" s="378"/>
      <c r="AJ61" s="378"/>
      <c r="AK61" s="378"/>
      <c r="AL61" s="378"/>
      <c r="AM61" s="378"/>
      <c r="AN61" s="378"/>
      <c r="AO61" s="378"/>
      <c r="AP61" s="378"/>
      <c r="AQ61" s="378"/>
      <c r="AR61" s="378"/>
      <c r="AS61" s="378"/>
      <c r="AT61" s="378"/>
      <c r="AU61" s="378"/>
      <c r="AV61" s="378"/>
      <c r="AW61" s="378"/>
      <c r="AX61" s="378"/>
      <c r="AY61" s="378"/>
      <c r="AZ61" s="378"/>
    </row>
    <row r="62" spans="1:52" ht="15" customHeight="1" x14ac:dyDescent="0.25">
      <c r="A62" s="34"/>
      <c r="B62" s="1654" t="s">
        <v>53</v>
      </c>
      <c r="C62" s="1654"/>
      <c r="D62" s="1654"/>
      <c r="E62" s="865"/>
      <c r="F62" s="46"/>
      <c r="G62" s="13"/>
      <c r="H62" s="13"/>
      <c r="I62" s="13"/>
      <c r="J62" s="13"/>
      <c r="K62" s="13"/>
      <c r="L62" s="13"/>
      <c r="M62" s="13"/>
      <c r="N62" s="13"/>
      <c r="O62" s="13"/>
      <c r="P62" s="13"/>
      <c r="Q62" s="13"/>
      <c r="R62" s="13"/>
      <c r="S62" s="13"/>
      <c r="T62" s="13"/>
      <c r="U62" s="378"/>
      <c r="V62" s="378"/>
      <c r="W62" s="378"/>
      <c r="X62" s="378"/>
      <c r="Y62" s="378"/>
      <c r="Z62" s="378"/>
      <c r="AA62" s="378"/>
      <c r="AB62" s="378"/>
      <c r="AC62" s="378"/>
      <c r="AD62" s="378"/>
      <c r="AE62" s="378"/>
      <c r="AF62" s="378"/>
      <c r="AG62" s="378"/>
      <c r="AH62" s="378"/>
      <c r="AI62" s="378"/>
      <c r="AJ62" s="378"/>
      <c r="AK62" s="378"/>
      <c r="AL62" s="378"/>
      <c r="AM62" s="378"/>
      <c r="AN62" s="378"/>
      <c r="AO62" s="378"/>
      <c r="AP62" s="378"/>
      <c r="AQ62" s="378"/>
      <c r="AR62" s="378"/>
      <c r="AS62" s="378"/>
      <c r="AT62" s="378"/>
      <c r="AU62" s="378"/>
      <c r="AV62" s="378"/>
      <c r="AW62" s="378"/>
      <c r="AX62" s="378"/>
      <c r="AY62" s="378"/>
      <c r="AZ62" s="378"/>
    </row>
    <row r="63" spans="1:52" ht="30.75" customHeight="1" x14ac:dyDescent="0.25">
      <c r="A63" s="34"/>
      <c r="B63" s="1655" t="s">
        <v>54</v>
      </c>
      <c r="C63" s="1656"/>
      <c r="D63" s="1657"/>
      <c r="E63" s="865"/>
      <c r="F63" s="378"/>
      <c r="G63" s="33"/>
      <c r="H63" s="13"/>
      <c r="I63" s="13"/>
      <c r="J63" s="13"/>
      <c r="K63" s="13"/>
      <c r="L63" s="47"/>
      <c r="M63" s="13"/>
      <c r="N63" s="13"/>
      <c r="O63" s="13"/>
      <c r="P63" s="13"/>
      <c r="Q63" s="13"/>
      <c r="R63" s="13"/>
      <c r="S63" s="13"/>
      <c r="T63" s="13"/>
      <c r="U63" s="378"/>
      <c r="V63" s="378"/>
      <c r="W63" s="378"/>
      <c r="X63" s="378"/>
      <c r="Y63" s="378"/>
      <c r="Z63" s="378"/>
      <c r="AA63" s="378"/>
      <c r="AB63" s="378"/>
      <c r="AC63" s="378"/>
      <c r="AD63" s="378"/>
      <c r="AE63" s="378"/>
      <c r="AF63" s="378"/>
      <c r="AG63" s="378"/>
      <c r="AH63" s="378"/>
      <c r="AI63" s="378"/>
      <c r="AJ63" s="378"/>
      <c r="AK63" s="378"/>
      <c r="AL63" s="378"/>
      <c r="AM63" s="378"/>
      <c r="AN63" s="378"/>
      <c r="AO63" s="378"/>
      <c r="AP63" s="378"/>
      <c r="AQ63" s="378"/>
      <c r="AR63" s="378"/>
      <c r="AS63" s="378"/>
      <c r="AT63" s="378"/>
      <c r="AU63" s="378"/>
      <c r="AV63" s="378"/>
      <c r="AW63" s="378"/>
      <c r="AX63" s="378"/>
      <c r="AY63" s="378"/>
      <c r="AZ63" s="378"/>
    </row>
    <row r="64" spans="1:52" ht="15.75" customHeight="1" x14ac:dyDescent="0.25">
      <c r="A64" s="34"/>
      <c r="B64" s="1673" t="s">
        <v>55</v>
      </c>
      <c r="C64" s="1673"/>
      <c r="D64" s="1673"/>
      <c r="E64" s="864"/>
      <c r="F64" s="378"/>
      <c r="G64" s="33"/>
      <c r="H64" s="13"/>
      <c r="I64" s="13"/>
      <c r="J64" s="13"/>
      <c r="K64" s="13"/>
      <c r="L64" s="13"/>
      <c r="M64" s="13"/>
      <c r="N64" s="13"/>
      <c r="O64" s="13"/>
      <c r="P64" s="13"/>
      <c r="Q64" s="13"/>
      <c r="R64" s="13"/>
      <c r="S64" s="13"/>
      <c r="T64" s="13"/>
      <c r="U64" s="378"/>
      <c r="V64" s="378"/>
      <c r="W64" s="378"/>
      <c r="X64" s="378"/>
      <c r="Y64" s="378"/>
      <c r="Z64" s="378"/>
      <c r="AA64" s="378"/>
      <c r="AB64" s="378"/>
      <c r="AC64" s="378"/>
      <c r="AD64" s="378"/>
      <c r="AE64" s="378"/>
      <c r="AF64" s="378"/>
      <c r="AG64" s="378"/>
      <c r="AH64" s="378"/>
      <c r="AI64" s="378"/>
      <c r="AJ64" s="378"/>
      <c r="AK64" s="378"/>
      <c r="AL64" s="378"/>
      <c r="AM64" s="378"/>
      <c r="AN64" s="378"/>
      <c r="AO64" s="378"/>
      <c r="AP64" s="378"/>
      <c r="AQ64" s="378"/>
      <c r="AR64" s="378"/>
      <c r="AS64" s="378"/>
      <c r="AT64" s="378"/>
      <c r="AU64" s="378"/>
      <c r="AV64" s="378"/>
      <c r="AW64" s="378"/>
      <c r="AX64" s="378"/>
      <c r="AY64" s="378"/>
      <c r="AZ64" s="378"/>
    </row>
    <row r="65" spans="1:52" ht="15.75" x14ac:dyDescent="0.25">
      <c r="A65" s="34"/>
      <c r="B65" s="48"/>
      <c r="C65" s="3"/>
      <c r="D65" s="49"/>
      <c r="E65" s="13"/>
      <c r="F65" s="378"/>
      <c r="G65" s="33"/>
      <c r="H65" s="13"/>
      <c r="I65" s="13"/>
      <c r="J65" s="13"/>
      <c r="K65" s="13"/>
      <c r="L65" s="13"/>
      <c r="M65" s="13"/>
      <c r="N65" s="13"/>
      <c r="O65" s="13"/>
      <c r="P65" s="13"/>
      <c r="Q65" s="13"/>
      <c r="R65" s="13"/>
      <c r="S65" s="13"/>
      <c r="T65" s="13"/>
      <c r="U65" s="378"/>
      <c r="V65" s="378"/>
      <c r="W65" s="378"/>
      <c r="X65" s="378"/>
      <c r="Y65" s="378"/>
      <c r="Z65" s="378"/>
      <c r="AA65" s="378"/>
      <c r="AB65" s="378"/>
      <c r="AC65" s="378"/>
      <c r="AD65" s="378"/>
      <c r="AE65" s="378"/>
      <c r="AF65" s="378"/>
      <c r="AG65" s="378"/>
      <c r="AH65" s="378"/>
      <c r="AI65" s="378"/>
      <c r="AJ65" s="378"/>
      <c r="AK65" s="378"/>
      <c r="AL65" s="378"/>
      <c r="AM65" s="378"/>
      <c r="AN65" s="378"/>
      <c r="AO65" s="378"/>
      <c r="AP65" s="378"/>
      <c r="AQ65" s="378"/>
      <c r="AR65" s="378"/>
      <c r="AS65" s="378"/>
      <c r="AT65" s="378"/>
      <c r="AU65" s="378"/>
      <c r="AV65" s="378"/>
      <c r="AW65" s="378"/>
      <c r="AX65" s="378"/>
      <c r="AY65" s="378"/>
      <c r="AZ65" s="378"/>
    </row>
    <row r="66" spans="1:52" s="532" customFormat="1" ht="15.75" x14ac:dyDescent="0.25">
      <c r="A66" s="582">
        <v>9</v>
      </c>
      <c r="B66" s="1595" t="s">
        <v>56</v>
      </c>
      <c r="C66" s="1595"/>
      <c r="D66" s="1595"/>
      <c r="E66" s="1595"/>
      <c r="F66" s="1595"/>
      <c r="G66" s="1595"/>
      <c r="H66" s="13"/>
      <c r="I66" s="13"/>
      <c r="J66" s="13"/>
      <c r="K66" s="13"/>
      <c r="L66" s="13"/>
      <c r="M66" s="13"/>
      <c r="N66" s="13"/>
      <c r="O66" s="13"/>
      <c r="P66" s="13"/>
      <c r="Q66" s="13"/>
      <c r="R66" s="13"/>
      <c r="S66" s="13"/>
      <c r="T66" s="13"/>
      <c r="U66" s="378"/>
      <c r="V66" s="378"/>
      <c r="W66" s="378"/>
      <c r="X66" s="378"/>
      <c r="Y66" s="378"/>
      <c r="Z66" s="378"/>
      <c r="AA66" s="378"/>
      <c r="AB66" s="378"/>
      <c r="AC66" s="378"/>
      <c r="AD66" s="378"/>
      <c r="AE66" s="378"/>
      <c r="AF66" s="378"/>
      <c r="AG66" s="378"/>
      <c r="AH66" s="378"/>
      <c r="AI66" s="378"/>
      <c r="AJ66" s="378"/>
      <c r="AK66" s="378"/>
      <c r="AL66" s="378"/>
      <c r="AM66" s="378"/>
      <c r="AN66" s="378"/>
      <c r="AO66" s="378"/>
      <c r="AP66" s="378"/>
      <c r="AQ66" s="378"/>
      <c r="AR66" s="378"/>
      <c r="AS66" s="378"/>
      <c r="AT66" s="378"/>
      <c r="AU66" s="378"/>
      <c r="AV66" s="378"/>
      <c r="AW66" s="378"/>
      <c r="AX66" s="378"/>
      <c r="AY66" s="378"/>
      <c r="AZ66" s="378"/>
    </row>
    <row r="67" spans="1:52" s="532" customFormat="1" ht="15.75" x14ac:dyDescent="0.25">
      <c r="A67" s="34"/>
      <c r="B67" s="33" t="s">
        <v>57</v>
      </c>
      <c r="C67" s="3"/>
      <c r="D67" s="49"/>
      <c r="E67" s="13"/>
      <c r="F67" s="378"/>
      <c r="G67" s="862"/>
      <c r="H67" s="378"/>
      <c r="I67" s="378"/>
      <c r="J67" s="378"/>
      <c r="K67" s="13"/>
      <c r="L67" s="13"/>
      <c r="M67" s="13"/>
      <c r="N67" s="13"/>
      <c r="O67" s="13"/>
      <c r="P67" s="13"/>
      <c r="Q67" s="13"/>
      <c r="R67" s="13"/>
      <c r="S67" s="13"/>
      <c r="T67" s="13"/>
      <c r="U67" s="378"/>
      <c r="V67" s="378"/>
      <c r="W67" s="378"/>
      <c r="X67" s="378"/>
      <c r="Y67" s="378"/>
      <c r="Z67" s="378"/>
      <c r="AA67" s="378"/>
      <c r="AB67" s="378"/>
      <c r="AC67" s="378"/>
      <c r="AD67" s="378"/>
      <c r="AE67" s="378"/>
      <c r="AF67" s="378"/>
      <c r="AG67" s="378"/>
      <c r="AH67" s="378"/>
      <c r="AI67" s="378"/>
      <c r="AJ67" s="378"/>
      <c r="AK67" s="378"/>
      <c r="AL67" s="378"/>
      <c r="AM67" s="378"/>
      <c r="AN67" s="378"/>
      <c r="AO67" s="378"/>
      <c r="AP67" s="378"/>
      <c r="AQ67" s="378"/>
      <c r="AR67" s="378"/>
      <c r="AS67" s="378"/>
      <c r="AT67" s="378"/>
      <c r="AU67" s="378"/>
      <c r="AV67" s="378"/>
      <c r="AW67" s="378"/>
      <c r="AX67" s="378"/>
      <c r="AY67" s="378"/>
      <c r="AZ67" s="378"/>
    </row>
    <row r="68" spans="1:52" ht="15.75" x14ac:dyDescent="0.25">
      <c r="A68" s="34"/>
      <c r="B68" s="33" t="s">
        <v>58</v>
      </c>
      <c r="C68" s="3"/>
      <c r="D68" s="49"/>
      <c r="E68" s="13"/>
      <c r="F68" s="378"/>
      <c r="G68" s="866"/>
      <c r="H68" s="378"/>
      <c r="I68" s="378"/>
      <c r="J68" s="378"/>
      <c r="K68" s="13"/>
      <c r="L68" s="13"/>
      <c r="M68" s="13"/>
      <c r="N68" s="13"/>
      <c r="O68" s="13"/>
      <c r="P68" s="13"/>
      <c r="Q68" s="13"/>
      <c r="R68" s="13"/>
      <c r="S68" s="13"/>
      <c r="T68" s="13"/>
      <c r="U68" s="378"/>
      <c r="V68" s="378"/>
      <c r="W68" s="378"/>
      <c r="X68" s="378"/>
      <c r="Y68" s="378"/>
      <c r="Z68" s="378"/>
      <c r="AA68" s="378"/>
      <c r="AB68" s="378"/>
      <c r="AC68" s="378"/>
      <c r="AD68" s="378"/>
      <c r="AE68" s="378"/>
      <c r="AF68" s="378"/>
      <c r="AG68" s="378"/>
      <c r="AH68" s="378"/>
      <c r="AI68" s="378"/>
      <c r="AJ68" s="378"/>
      <c r="AK68" s="378"/>
      <c r="AL68" s="378"/>
      <c r="AM68" s="378"/>
      <c r="AN68" s="378"/>
      <c r="AO68" s="378"/>
      <c r="AP68" s="378"/>
      <c r="AQ68" s="378"/>
      <c r="AR68" s="378"/>
      <c r="AS68" s="378"/>
      <c r="AT68" s="378"/>
      <c r="AU68" s="378"/>
      <c r="AV68" s="378"/>
      <c r="AW68" s="378"/>
      <c r="AX68" s="378"/>
      <c r="AY68" s="378"/>
      <c r="AZ68" s="378"/>
    </row>
    <row r="69" spans="1:52" ht="17.25" customHeight="1" x14ac:dyDescent="0.25">
      <c r="A69" s="45"/>
      <c r="B69" s="13"/>
      <c r="C69" s="13"/>
      <c r="D69" s="13"/>
      <c r="E69" s="13"/>
      <c r="F69" s="13"/>
      <c r="G69" s="13"/>
      <c r="H69" s="378"/>
      <c r="I69" s="378"/>
      <c r="J69" s="378"/>
      <c r="K69" s="378"/>
      <c r="L69" s="378"/>
      <c r="M69" s="378"/>
      <c r="N69" s="378"/>
      <c r="O69" s="378"/>
      <c r="P69" s="378"/>
      <c r="Q69" s="378"/>
      <c r="R69" s="378"/>
      <c r="S69" s="378"/>
      <c r="T69" s="378"/>
      <c r="U69" s="378"/>
      <c r="V69" s="378"/>
      <c r="W69" s="378"/>
      <c r="X69" s="378"/>
      <c r="Y69" s="378"/>
      <c r="Z69" s="378"/>
      <c r="AA69" s="378"/>
      <c r="AB69" s="378"/>
      <c r="AC69" s="378"/>
      <c r="AD69" s="378"/>
      <c r="AE69" s="378"/>
      <c r="AF69" s="378"/>
      <c r="AG69" s="378"/>
      <c r="AH69" s="378"/>
      <c r="AI69" s="378"/>
      <c r="AJ69" s="378"/>
      <c r="AK69" s="378"/>
      <c r="AL69" s="378"/>
      <c r="AM69" s="378"/>
      <c r="AN69" s="378"/>
      <c r="AO69" s="378"/>
      <c r="AP69" s="378"/>
      <c r="AQ69" s="378"/>
      <c r="AR69" s="378"/>
      <c r="AS69" s="378"/>
      <c r="AT69" s="378"/>
      <c r="AU69" s="378"/>
      <c r="AV69" s="378"/>
      <c r="AW69" s="378"/>
      <c r="AX69" s="378"/>
      <c r="AY69" s="378"/>
      <c r="AZ69" s="378"/>
    </row>
    <row r="70" spans="1:52" s="532" customFormat="1" ht="15.75" x14ac:dyDescent="0.25">
      <c r="A70" s="582">
        <v>10</v>
      </c>
      <c r="B70" s="1595" t="s">
        <v>59</v>
      </c>
      <c r="C70" s="1595"/>
      <c r="D70" s="1595"/>
      <c r="E70" s="1595"/>
      <c r="F70" s="1595"/>
      <c r="G70" s="1595"/>
      <c r="H70" s="378"/>
      <c r="I70" s="378"/>
      <c r="J70" s="378"/>
      <c r="K70" s="378"/>
      <c r="L70" s="378"/>
      <c r="M70" s="378"/>
      <c r="N70" s="378"/>
      <c r="O70" s="378"/>
      <c r="P70" s="378"/>
      <c r="Q70" s="378"/>
      <c r="R70" s="378"/>
      <c r="S70" s="378"/>
      <c r="T70" s="378"/>
      <c r="U70" s="378"/>
      <c r="V70" s="378"/>
      <c r="W70" s="378"/>
      <c r="X70" s="378"/>
      <c r="Y70" s="378"/>
      <c r="Z70" s="378"/>
      <c r="AA70" s="378"/>
      <c r="AB70" s="378"/>
      <c r="AC70" s="378"/>
      <c r="AD70" s="378"/>
      <c r="AE70" s="378"/>
      <c r="AF70" s="378"/>
      <c r="AG70" s="378"/>
      <c r="AH70" s="378"/>
      <c r="AI70" s="378"/>
      <c r="AJ70" s="378"/>
      <c r="AK70" s="378"/>
      <c r="AL70" s="378"/>
      <c r="AM70" s="378"/>
      <c r="AN70" s="378"/>
      <c r="AO70" s="378"/>
      <c r="AP70" s="378"/>
      <c r="AQ70" s="378"/>
      <c r="AR70" s="378"/>
      <c r="AS70" s="378"/>
      <c r="AT70" s="378"/>
      <c r="AU70" s="378"/>
      <c r="AV70" s="378"/>
      <c r="AW70" s="378"/>
      <c r="AX70" s="378"/>
      <c r="AY70" s="378"/>
      <c r="AZ70" s="378"/>
    </row>
    <row r="71" spans="1:52" s="532" customFormat="1" ht="15.75" x14ac:dyDescent="0.25">
      <c r="A71" s="589"/>
      <c r="B71" s="1508"/>
      <c r="C71" s="1508"/>
      <c r="D71" s="1508"/>
      <c r="E71" s="1508"/>
      <c r="F71" s="1508"/>
      <c r="G71" s="1508"/>
      <c r="H71" s="378"/>
      <c r="I71" s="378"/>
      <c r="J71" s="378"/>
      <c r="K71" s="378"/>
      <c r="L71" s="378"/>
      <c r="M71" s="378"/>
      <c r="N71" s="378"/>
      <c r="O71" s="378"/>
      <c r="P71" s="378"/>
      <c r="Q71" s="378"/>
      <c r="R71" s="378"/>
      <c r="S71" s="378"/>
      <c r="T71" s="378"/>
      <c r="U71" s="378"/>
      <c r="V71" s="378"/>
      <c r="W71" s="378"/>
      <c r="X71" s="378"/>
      <c r="Y71" s="378"/>
      <c r="Z71" s="378"/>
      <c r="AA71" s="378"/>
      <c r="AB71" s="378"/>
      <c r="AC71" s="378"/>
      <c r="AD71" s="378"/>
      <c r="AE71" s="378"/>
      <c r="AF71" s="378"/>
      <c r="AG71" s="378"/>
      <c r="AH71" s="378"/>
      <c r="AI71" s="378"/>
      <c r="AJ71" s="378"/>
      <c r="AK71" s="378"/>
      <c r="AL71" s="378"/>
      <c r="AM71" s="378"/>
      <c r="AN71" s="378"/>
      <c r="AO71" s="378"/>
      <c r="AP71" s="378"/>
      <c r="AQ71" s="378"/>
      <c r="AR71" s="378"/>
      <c r="AS71" s="378"/>
      <c r="AT71" s="378"/>
      <c r="AU71" s="378"/>
      <c r="AV71" s="378"/>
      <c r="AW71" s="378"/>
      <c r="AX71" s="378"/>
      <c r="AY71" s="378"/>
      <c r="AZ71" s="378"/>
    </row>
    <row r="72" spans="1:52" ht="15.75" x14ac:dyDescent="0.25">
      <c r="A72" s="532"/>
      <c r="B72" s="33" t="s">
        <v>60</v>
      </c>
      <c r="C72" s="13"/>
      <c r="D72" s="13"/>
      <c r="E72" s="13"/>
      <c r="F72" s="13"/>
      <c r="G72" s="13"/>
      <c r="H72" s="378"/>
      <c r="I72" s="378"/>
      <c r="J72" s="378"/>
      <c r="K72" s="553"/>
      <c r="L72" s="378"/>
      <c r="M72" s="378"/>
      <c r="N72" s="378"/>
      <c r="O72" s="378"/>
      <c r="P72" s="378"/>
      <c r="Q72" s="378"/>
      <c r="R72" s="378"/>
      <c r="S72" s="378"/>
      <c r="T72" s="378"/>
      <c r="U72" s="378"/>
      <c r="V72" s="378"/>
      <c r="W72" s="378"/>
      <c r="X72" s="378"/>
      <c r="Y72" s="378"/>
      <c r="Z72" s="378"/>
      <c r="AA72" s="378"/>
      <c r="AB72" s="378"/>
      <c r="AC72" s="378"/>
      <c r="AD72" s="378"/>
      <c r="AE72" s="378"/>
      <c r="AF72" s="378"/>
      <c r="AG72" s="378"/>
      <c r="AH72" s="378"/>
      <c r="AI72" s="378"/>
      <c r="AJ72" s="378"/>
      <c r="AK72" s="378"/>
      <c r="AL72" s="378"/>
      <c r="AM72" s="378"/>
      <c r="AN72" s="378"/>
      <c r="AO72" s="378"/>
      <c r="AP72" s="378"/>
      <c r="AQ72" s="378"/>
      <c r="AR72" s="378"/>
      <c r="AS72" s="378"/>
      <c r="AT72" s="378"/>
      <c r="AU72" s="378"/>
      <c r="AV72" s="378"/>
      <c r="AW72" s="378"/>
      <c r="AX72" s="378"/>
      <c r="AY72" s="378"/>
      <c r="AZ72" s="378"/>
    </row>
    <row r="73" spans="1:52" ht="14.25" customHeight="1" x14ac:dyDescent="0.25">
      <c r="A73" s="45"/>
      <c r="B73" s="33"/>
      <c r="C73" s="13"/>
      <c r="D73" s="13"/>
      <c r="E73" s="50"/>
      <c r="F73" s="13"/>
      <c r="G73" s="13"/>
      <c r="H73" s="378"/>
      <c r="I73" s="50"/>
      <c r="J73" s="378"/>
      <c r="K73" s="378"/>
      <c r="L73" s="378"/>
      <c r="M73" s="378"/>
      <c r="N73" s="378"/>
      <c r="O73" s="378"/>
      <c r="P73" s="378"/>
      <c r="Q73" s="378"/>
      <c r="R73" s="378"/>
      <c r="S73" s="378"/>
      <c r="T73" s="378"/>
      <c r="U73" s="378"/>
      <c r="V73" s="378"/>
      <c r="W73" s="378"/>
      <c r="X73" s="378"/>
      <c r="Y73" s="378"/>
      <c r="Z73" s="378"/>
      <c r="AA73" s="378"/>
      <c r="AB73" s="378"/>
      <c r="AC73" s="378"/>
      <c r="AD73" s="378"/>
      <c r="AE73" s="378"/>
      <c r="AF73" s="378"/>
      <c r="AG73" s="378"/>
      <c r="AH73" s="378"/>
      <c r="AI73" s="378"/>
      <c r="AJ73" s="378"/>
      <c r="AK73" s="378"/>
      <c r="AL73" s="378"/>
      <c r="AM73" s="378"/>
      <c r="AN73" s="378"/>
      <c r="AO73" s="378"/>
      <c r="AP73" s="378"/>
      <c r="AQ73" s="378"/>
      <c r="AR73" s="378"/>
      <c r="AS73" s="378"/>
      <c r="AT73" s="378"/>
      <c r="AU73" s="378"/>
      <c r="AV73" s="378"/>
      <c r="AW73" s="378"/>
      <c r="AX73" s="378"/>
      <c r="AY73" s="378"/>
      <c r="AZ73" s="378"/>
    </row>
    <row r="74" spans="1:52" ht="18" customHeight="1" x14ac:dyDescent="0.25">
      <c r="A74" s="45"/>
      <c r="B74" s="1630" t="s">
        <v>61</v>
      </c>
      <c r="C74" s="1631"/>
      <c r="D74" s="1628" t="s">
        <v>62</v>
      </c>
      <c r="E74" s="378"/>
      <c r="F74" s="13"/>
      <c r="G74" s="13"/>
      <c r="H74" s="378"/>
      <c r="I74" s="50"/>
      <c r="J74" s="378"/>
      <c r="K74" s="378"/>
      <c r="L74" s="378"/>
      <c r="M74" s="51"/>
      <c r="N74" s="378"/>
      <c r="O74" s="378"/>
      <c r="P74" s="378"/>
      <c r="Q74" s="378"/>
      <c r="R74" s="378"/>
      <c r="S74" s="378"/>
      <c r="T74" s="378"/>
      <c r="U74" s="378"/>
      <c r="V74" s="378"/>
      <c r="W74" s="378"/>
      <c r="X74" s="378"/>
      <c r="Y74" s="378"/>
      <c r="Z74" s="378"/>
      <c r="AA74" s="378"/>
      <c r="AB74" s="378"/>
      <c r="AC74" s="378"/>
      <c r="AD74" s="378"/>
      <c r="AE74" s="378"/>
      <c r="AF74" s="378"/>
      <c r="AG74" s="378"/>
      <c r="AH74" s="378"/>
      <c r="AI74" s="378"/>
      <c r="AJ74" s="378"/>
      <c r="AK74" s="378"/>
      <c r="AL74" s="378"/>
      <c r="AM74" s="378"/>
      <c r="AN74" s="378"/>
      <c r="AO74" s="378"/>
      <c r="AP74" s="378"/>
      <c r="AQ74" s="378"/>
      <c r="AR74" s="378"/>
      <c r="AS74" s="378"/>
      <c r="AT74" s="378"/>
      <c r="AU74" s="378"/>
      <c r="AV74" s="378"/>
      <c r="AW74" s="378"/>
      <c r="AX74" s="378"/>
      <c r="AY74" s="378"/>
      <c r="AZ74" s="378"/>
    </row>
    <row r="75" spans="1:52" ht="15.75" customHeight="1" x14ac:dyDescent="0.25">
      <c r="A75" s="45"/>
      <c r="B75" s="1632"/>
      <c r="C75" s="1633"/>
      <c r="D75" s="1629"/>
      <c r="E75" s="50"/>
      <c r="F75" s="13"/>
      <c r="G75" s="13"/>
      <c r="H75" s="378"/>
      <c r="I75" s="50"/>
      <c r="J75" s="378"/>
      <c r="K75" s="378"/>
      <c r="L75" s="378"/>
      <c r="M75" s="51"/>
      <c r="N75" s="378"/>
      <c r="O75" s="378"/>
      <c r="P75" s="378"/>
      <c r="Q75" s="378"/>
      <c r="R75" s="378"/>
      <c r="S75" s="378"/>
      <c r="T75" s="378"/>
      <c r="U75" s="378"/>
      <c r="V75" s="378"/>
      <c r="W75" s="378"/>
      <c r="X75" s="378"/>
      <c r="Y75" s="378"/>
      <c r="Z75" s="378"/>
      <c r="AA75" s="378"/>
      <c r="AB75" s="378"/>
      <c r="AC75" s="378"/>
      <c r="AD75" s="378"/>
      <c r="AE75" s="378"/>
      <c r="AF75" s="378"/>
      <c r="AG75" s="378"/>
      <c r="AH75" s="378"/>
      <c r="AI75" s="378"/>
      <c r="AJ75" s="378"/>
      <c r="AK75" s="378"/>
      <c r="AL75" s="378"/>
      <c r="AM75" s="378"/>
      <c r="AN75" s="378"/>
      <c r="AO75" s="378"/>
      <c r="AP75" s="378"/>
      <c r="AQ75" s="378"/>
      <c r="AR75" s="378"/>
      <c r="AS75" s="378"/>
      <c r="AT75" s="378"/>
      <c r="AU75" s="378"/>
      <c r="AV75" s="378"/>
      <c r="AW75" s="378"/>
      <c r="AX75" s="378"/>
      <c r="AY75" s="378"/>
      <c r="AZ75" s="378"/>
    </row>
    <row r="76" spans="1:52" x14ac:dyDescent="0.25">
      <c r="A76" s="45"/>
      <c r="B76" s="1570"/>
      <c r="C76" s="1671"/>
      <c r="D76" s="867"/>
      <c r="E76" s="868"/>
      <c r="F76" s="13"/>
      <c r="G76" s="13"/>
      <c r="H76" s="378"/>
      <c r="I76" s="50"/>
      <c r="J76" s="378"/>
      <c r="K76" s="378"/>
      <c r="L76" s="378"/>
      <c r="M76" s="51"/>
      <c r="N76" s="378"/>
      <c r="O76" s="378"/>
      <c r="P76" s="378"/>
      <c r="Q76" s="378"/>
      <c r="R76" s="378"/>
      <c r="S76" s="378"/>
      <c r="T76" s="378"/>
      <c r="U76" s="378"/>
      <c r="V76" s="378"/>
      <c r="W76" s="378"/>
      <c r="X76" s="378"/>
      <c r="Y76" s="378"/>
      <c r="Z76" s="378"/>
      <c r="AA76" s="378"/>
      <c r="AB76" s="378"/>
      <c r="AC76" s="378"/>
      <c r="AD76" s="378"/>
      <c r="AE76" s="378"/>
      <c r="AF76" s="378"/>
      <c r="AG76" s="378"/>
      <c r="AH76" s="378"/>
      <c r="AI76" s="378"/>
      <c r="AJ76" s="378"/>
      <c r="AK76" s="378"/>
      <c r="AL76" s="378"/>
      <c r="AM76" s="378"/>
      <c r="AN76" s="378"/>
      <c r="AO76" s="378"/>
      <c r="AP76" s="378"/>
      <c r="AQ76" s="378"/>
      <c r="AR76" s="378"/>
      <c r="AS76" s="378"/>
      <c r="AT76" s="378"/>
      <c r="AU76" s="378"/>
      <c r="AV76" s="378"/>
      <c r="AW76" s="378"/>
      <c r="AX76" s="378"/>
      <c r="AY76" s="378"/>
      <c r="AZ76" s="378"/>
    </row>
    <row r="77" spans="1:52" x14ac:dyDescent="0.25">
      <c r="A77" s="45"/>
      <c r="B77" s="1570"/>
      <c r="C77" s="1671"/>
      <c r="D77" s="867"/>
      <c r="E77" s="868"/>
      <c r="F77" s="13"/>
      <c r="G77" s="13"/>
      <c r="H77" s="378"/>
      <c r="I77" s="50"/>
      <c r="J77" s="378"/>
      <c r="K77" s="378"/>
      <c r="L77" s="378"/>
      <c r="M77" s="51"/>
      <c r="N77" s="378"/>
      <c r="O77" s="378"/>
      <c r="P77" s="378"/>
      <c r="Q77" s="378"/>
      <c r="R77" s="378"/>
      <c r="S77" s="378"/>
      <c r="T77" s="378"/>
      <c r="U77" s="378"/>
      <c r="V77" s="378"/>
      <c r="W77" s="378"/>
      <c r="X77" s="378"/>
      <c r="Y77" s="378"/>
      <c r="Z77" s="378"/>
      <c r="AA77" s="378"/>
      <c r="AB77" s="378"/>
      <c r="AC77" s="378"/>
      <c r="AD77" s="378"/>
      <c r="AE77" s="378"/>
      <c r="AF77" s="378"/>
      <c r="AG77" s="378"/>
      <c r="AH77" s="378"/>
      <c r="AI77" s="378"/>
      <c r="AJ77" s="378"/>
      <c r="AK77" s="378"/>
      <c r="AL77" s="378"/>
      <c r="AM77" s="378"/>
      <c r="AN77" s="378"/>
      <c r="AO77" s="378"/>
      <c r="AP77" s="378"/>
      <c r="AQ77" s="378"/>
      <c r="AR77" s="378"/>
      <c r="AS77" s="378"/>
      <c r="AT77" s="378"/>
      <c r="AU77" s="378"/>
      <c r="AV77" s="378"/>
      <c r="AW77" s="378"/>
      <c r="AX77" s="378"/>
      <c r="AY77" s="378"/>
      <c r="AZ77" s="378"/>
    </row>
    <row r="78" spans="1:52" x14ac:dyDescent="0.25">
      <c r="A78" s="45"/>
      <c r="B78" s="1570"/>
      <c r="C78" s="1671"/>
      <c r="D78" s="867"/>
      <c r="E78" s="868"/>
      <c r="F78" s="13"/>
      <c r="G78" s="13"/>
      <c r="H78" s="378"/>
      <c r="I78" s="50"/>
      <c r="J78" s="378"/>
      <c r="K78" s="378"/>
      <c r="L78" s="378"/>
      <c r="M78" s="378"/>
      <c r="N78" s="378"/>
      <c r="O78" s="378"/>
      <c r="P78" s="378"/>
      <c r="Q78" s="378"/>
      <c r="R78" s="378"/>
      <c r="S78" s="378"/>
      <c r="T78" s="378"/>
      <c r="U78" s="378"/>
      <c r="V78" s="378"/>
      <c r="W78" s="378"/>
      <c r="X78" s="378"/>
      <c r="Y78" s="378"/>
      <c r="Z78" s="378"/>
      <c r="AA78" s="378"/>
      <c r="AB78" s="378"/>
      <c r="AC78" s="378"/>
      <c r="AD78" s="378"/>
      <c r="AE78" s="378"/>
      <c r="AF78" s="378"/>
      <c r="AG78" s="378"/>
      <c r="AH78" s="378"/>
      <c r="AI78" s="378"/>
      <c r="AJ78" s="378"/>
      <c r="AK78" s="378"/>
      <c r="AL78" s="378"/>
      <c r="AM78" s="378"/>
      <c r="AN78" s="378"/>
      <c r="AO78" s="378"/>
      <c r="AP78" s="378"/>
      <c r="AQ78" s="378"/>
      <c r="AR78" s="378"/>
      <c r="AS78" s="378"/>
      <c r="AT78" s="378"/>
      <c r="AU78" s="378"/>
      <c r="AV78" s="378"/>
      <c r="AW78" s="378"/>
      <c r="AX78" s="378"/>
      <c r="AY78" s="378"/>
      <c r="AZ78" s="378"/>
    </row>
    <row r="79" spans="1:52" x14ac:dyDescent="0.25">
      <c r="A79" s="45"/>
      <c r="B79" s="1570"/>
      <c r="C79" s="1671"/>
      <c r="D79" s="867"/>
      <c r="E79" s="868"/>
      <c r="F79" s="13"/>
      <c r="G79" s="13"/>
      <c r="H79" s="378"/>
      <c r="I79" s="50"/>
      <c r="J79" s="378"/>
      <c r="K79" s="378"/>
      <c r="L79" s="378"/>
      <c r="M79" s="378"/>
      <c r="N79" s="378"/>
      <c r="O79" s="378"/>
      <c r="P79" s="378"/>
      <c r="Q79" s="378"/>
      <c r="R79" s="378"/>
      <c r="S79" s="378"/>
      <c r="T79" s="378"/>
      <c r="U79" s="378"/>
      <c r="V79" s="378"/>
      <c r="W79" s="378"/>
      <c r="X79" s="378"/>
      <c r="Y79" s="378"/>
      <c r="Z79" s="378"/>
      <c r="AA79" s="378"/>
      <c r="AB79" s="378"/>
      <c r="AC79" s="378"/>
      <c r="AD79" s="378"/>
      <c r="AE79" s="378"/>
      <c r="AF79" s="378"/>
      <c r="AG79" s="378"/>
      <c r="AH79" s="378"/>
      <c r="AI79" s="378"/>
      <c r="AJ79" s="378"/>
      <c r="AK79" s="378"/>
      <c r="AL79" s="378"/>
      <c r="AM79" s="378"/>
      <c r="AN79" s="378"/>
      <c r="AO79" s="378"/>
      <c r="AP79" s="378"/>
      <c r="AQ79" s="378"/>
      <c r="AR79" s="378"/>
      <c r="AS79" s="378"/>
      <c r="AT79" s="378"/>
      <c r="AU79" s="378"/>
      <c r="AV79" s="378"/>
      <c r="AW79" s="378"/>
      <c r="AX79" s="378"/>
      <c r="AY79" s="378"/>
      <c r="AZ79" s="378"/>
    </row>
    <row r="80" spans="1:52" x14ac:dyDescent="0.25">
      <c r="A80" s="45"/>
      <c r="B80" s="1570"/>
      <c r="C80" s="1671"/>
      <c r="D80" s="867"/>
      <c r="E80" s="868"/>
      <c r="F80" s="13"/>
      <c r="G80" s="13"/>
      <c r="H80" s="378"/>
      <c r="I80" s="50"/>
      <c r="J80" s="378"/>
      <c r="K80" s="378"/>
      <c r="L80" s="378"/>
      <c r="M80" s="378"/>
      <c r="N80" s="378"/>
      <c r="O80" s="378"/>
      <c r="P80" s="378"/>
      <c r="Q80" s="378"/>
      <c r="R80" s="378"/>
      <c r="S80" s="378"/>
      <c r="T80" s="378"/>
      <c r="U80" s="378"/>
      <c r="V80" s="378"/>
      <c r="W80" s="378"/>
      <c r="X80" s="378"/>
      <c r="Y80" s="378"/>
      <c r="Z80" s="378"/>
      <c r="AA80" s="378"/>
      <c r="AB80" s="378"/>
      <c r="AC80" s="378"/>
      <c r="AD80" s="378"/>
      <c r="AE80" s="378"/>
      <c r="AF80" s="378"/>
      <c r="AG80" s="378"/>
      <c r="AH80" s="378"/>
      <c r="AI80" s="378"/>
      <c r="AJ80" s="378"/>
      <c r="AK80" s="378"/>
      <c r="AL80" s="378"/>
      <c r="AM80" s="378"/>
      <c r="AN80" s="378"/>
      <c r="AO80" s="378"/>
      <c r="AP80" s="378"/>
      <c r="AQ80" s="378"/>
      <c r="AR80" s="378"/>
      <c r="AS80" s="378"/>
      <c r="AT80" s="378"/>
      <c r="AU80" s="378"/>
      <c r="AV80" s="378"/>
      <c r="AW80" s="378"/>
      <c r="AX80" s="378"/>
      <c r="AY80" s="378"/>
      <c r="AZ80" s="378"/>
    </row>
    <row r="81" spans="1:52" x14ac:dyDescent="0.25">
      <c r="A81" s="45"/>
      <c r="B81" s="1570"/>
      <c r="C81" s="1671"/>
      <c r="D81" s="867"/>
      <c r="E81" s="868"/>
      <c r="F81" s="13"/>
      <c r="G81" s="13"/>
      <c r="H81" s="378"/>
      <c r="I81" s="50"/>
      <c r="J81" s="378"/>
      <c r="K81" s="378"/>
      <c r="L81" s="378"/>
      <c r="M81" s="378"/>
      <c r="N81" s="378"/>
      <c r="O81" s="378"/>
      <c r="P81" s="378"/>
      <c r="Q81" s="378"/>
      <c r="R81" s="378"/>
      <c r="S81" s="378"/>
      <c r="T81" s="378"/>
      <c r="U81" s="378"/>
      <c r="V81" s="378"/>
      <c r="W81" s="378"/>
      <c r="X81" s="378"/>
      <c r="Y81" s="378"/>
      <c r="Z81" s="378"/>
      <c r="AA81" s="378"/>
      <c r="AB81" s="378"/>
      <c r="AC81" s="378"/>
      <c r="AD81" s="378"/>
      <c r="AE81" s="378"/>
      <c r="AF81" s="378"/>
      <c r="AG81" s="378"/>
      <c r="AH81" s="378"/>
      <c r="AI81" s="378"/>
      <c r="AJ81" s="378"/>
      <c r="AK81" s="378"/>
      <c r="AL81" s="378"/>
      <c r="AM81" s="378"/>
      <c r="AN81" s="378"/>
      <c r="AO81" s="378"/>
      <c r="AP81" s="378"/>
      <c r="AQ81" s="378"/>
      <c r="AR81" s="378"/>
      <c r="AS81" s="378"/>
      <c r="AT81" s="378"/>
      <c r="AU81" s="378"/>
      <c r="AV81" s="378"/>
      <c r="AW81" s="378"/>
      <c r="AX81" s="378"/>
      <c r="AY81" s="378"/>
      <c r="AZ81" s="378"/>
    </row>
    <row r="82" spans="1:52" x14ac:dyDescent="0.25">
      <c r="A82" s="45"/>
      <c r="B82" s="1570"/>
      <c r="C82" s="1671"/>
      <c r="D82" s="867"/>
      <c r="E82" s="868"/>
      <c r="F82" s="13"/>
      <c r="G82" s="13"/>
      <c r="H82" s="378"/>
      <c r="I82" s="50"/>
      <c r="J82" s="378"/>
      <c r="K82" s="378"/>
      <c r="L82" s="378"/>
      <c r="M82" s="378"/>
      <c r="N82" s="378"/>
      <c r="O82" s="378"/>
      <c r="P82" s="378"/>
      <c r="Q82" s="378"/>
      <c r="R82" s="378"/>
      <c r="S82" s="378"/>
      <c r="T82" s="378"/>
      <c r="U82" s="378"/>
      <c r="V82" s="378"/>
      <c r="W82" s="378"/>
      <c r="X82" s="378"/>
      <c r="Y82" s="378"/>
      <c r="Z82" s="378"/>
      <c r="AA82" s="378"/>
      <c r="AB82" s="378"/>
      <c r="AC82" s="378"/>
      <c r="AD82" s="378"/>
      <c r="AE82" s="378"/>
      <c r="AF82" s="378"/>
      <c r="AG82" s="378"/>
      <c r="AH82" s="378"/>
      <c r="AI82" s="378"/>
      <c r="AJ82" s="378"/>
      <c r="AK82" s="378"/>
      <c r="AL82" s="378"/>
      <c r="AM82" s="378"/>
      <c r="AN82" s="378"/>
      <c r="AO82" s="378"/>
      <c r="AP82" s="378"/>
      <c r="AQ82" s="378"/>
      <c r="AR82" s="378"/>
      <c r="AS82" s="378"/>
      <c r="AT82" s="378"/>
      <c r="AU82" s="378"/>
      <c r="AV82" s="378"/>
      <c r="AW82" s="378"/>
      <c r="AX82" s="378"/>
      <c r="AY82" s="378"/>
      <c r="AZ82" s="378"/>
    </row>
    <row r="83" spans="1:52" ht="15" customHeight="1" x14ac:dyDescent="0.25">
      <c r="A83" s="45"/>
      <c r="B83" s="72"/>
      <c r="C83" s="72"/>
      <c r="D83" s="72"/>
      <c r="E83" s="378"/>
      <c r="F83" s="13"/>
      <c r="G83" s="13"/>
      <c r="H83" s="378"/>
      <c r="I83" s="50"/>
      <c r="J83" s="378"/>
      <c r="K83" s="1033"/>
      <c r="L83" s="378"/>
      <c r="M83" s="378"/>
      <c r="N83" s="378"/>
      <c r="O83" s="378"/>
      <c r="P83" s="378"/>
      <c r="Q83" s="378"/>
      <c r="R83" s="378"/>
      <c r="S83" s="378"/>
      <c r="T83" s="378"/>
      <c r="U83" s="378"/>
      <c r="V83" s="378"/>
      <c r="W83" s="378"/>
      <c r="X83" s="378"/>
      <c r="Y83" s="378"/>
      <c r="Z83" s="378"/>
      <c r="AA83" s="378"/>
      <c r="AB83" s="378"/>
      <c r="AC83" s="378"/>
      <c r="AD83" s="378"/>
      <c r="AE83" s="378"/>
      <c r="AF83" s="378"/>
      <c r="AG83" s="378"/>
      <c r="AH83" s="378"/>
      <c r="AI83" s="378"/>
      <c r="AJ83" s="378"/>
      <c r="AK83" s="378"/>
      <c r="AL83" s="378"/>
      <c r="AM83" s="378"/>
      <c r="AN83" s="378"/>
      <c r="AO83" s="378"/>
      <c r="AP83" s="378"/>
      <c r="AQ83" s="378"/>
      <c r="AR83" s="378"/>
      <c r="AS83" s="378"/>
      <c r="AT83" s="378"/>
      <c r="AU83" s="378"/>
      <c r="AV83" s="378"/>
      <c r="AW83" s="378"/>
      <c r="AX83" s="378"/>
      <c r="AY83" s="378"/>
      <c r="AZ83" s="378"/>
    </row>
    <row r="84" spans="1:52" ht="15.75" customHeight="1" x14ac:dyDescent="0.25">
      <c r="A84" s="45"/>
      <c r="B84" s="1630" t="s">
        <v>63</v>
      </c>
      <c r="C84" s="1631"/>
      <c r="D84" s="1628" t="s">
        <v>62</v>
      </c>
      <c r="E84" s="72"/>
      <c r="F84" s="378"/>
      <c r="G84" s="378"/>
      <c r="H84" s="378"/>
      <c r="I84" s="378"/>
      <c r="J84" s="378"/>
      <c r="K84" s="709"/>
      <c r="L84" s="378"/>
      <c r="M84" s="378"/>
      <c r="N84" s="378"/>
      <c r="O84" s="378"/>
      <c r="P84" s="378"/>
      <c r="Q84" s="378"/>
      <c r="R84" s="378"/>
      <c r="S84" s="378"/>
      <c r="T84" s="378"/>
      <c r="U84" s="378"/>
      <c r="V84" s="378"/>
      <c r="W84" s="378"/>
      <c r="X84" s="378"/>
      <c r="Y84" s="378"/>
      <c r="Z84" s="378"/>
      <c r="AA84" s="378"/>
      <c r="AB84" s="378"/>
      <c r="AC84" s="378"/>
      <c r="AD84" s="378"/>
      <c r="AE84" s="378"/>
      <c r="AF84" s="378"/>
      <c r="AG84" s="378"/>
      <c r="AH84" s="378"/>
      <c r="AI84" s="378"/>
      <c r="AJ84" s="378"/>
      <c r="AK84" s="378"/>
      <c r="AL84" s="378"/>
      <c r="AM84" s="378"/>
      <c r="AN84" s="378"/>
      <c r="AO84" s="378"/>
      <c r="AP84" s="378"/>
      <c r="AQ84" s="378"/>
      <c r="AR84" s="378"/>
      <c r="AS84" s="378"/>
      <c r="AT84" s="378"/>
      <c r="AU84" s="378"/>
      <c r="AV84" s="378"/>
      <c r="AW84" s="378"/>
      <c r="AX84" s="378"/>
      <c r="AY84" s="378"/>
      <c r="AZ84" s="378"/>
    </row>
    <row r="85" spans="1:52" ht="21" customHeight="1" x14ac:dyDescent="0.25">
      <c r="A85" s="45"/>
      <c r="B85" s="1632"/>
      <c r="C85" s="1633"/>
      <c r="D85" s="1629"/>
      <c r="E85" s="72"/>
      <c r="F85" s="378"/>
      <c r="G85" s="378"/>
      <c r="H85" s="378"/>
      <c r="I85" s="378"/>
      <c r="J85" s="378"/>
      <c r="K85" s="709"/>
      <c r="L85" s="378"/>
      <c r="M85" s="378"/>
      <c r="N85" s="378"/>
      <c r="O85" s="378"/>
      <c r="P85" s="378"/>
      <c r="Q85" s="378"/>
      <c r="R85" s="378"/>
      <c r="S85" s="378"/>
      <c r="T85" s="378"/>
      <c r="U85" s="378"/>
      <c r="V85" s="378"/>
      <c r="W85" s="378"/>
      <c r="X85" s="378"/>
      <c r="Y85" s="378"/>
      <c r="Z85" s="378"/>
      <c r="AA85" s="378"/>
      <c r="AB85" s="378"/>
      <c r="AC85" s="378"/>
      <c r="AD85" s="378"/>
      <c r="AE85" s="378"/>
      <c r="AF85" s="378"/>
      <c r="AG85" s="378"/>
      <c r="AH85" s="378"/>
      <c r="AI85" s="378"/>
      <c r="AJ85" s="378"/>
      <c r="AK85" s="378"/>
      <c r="AL85" s="378"/>
      <c r="AM85" s="378"/>
      <c r="AN85" s="378"/>
      <c r="AO85" s="378"/>
      <c r="AP85" s="378"/>
      <c r="AQ85" s="378"/>
      <c r="AR85" s="378"/>
      <c r="AS85" s="378"/>
      <c r="AT85" s="378"/>
      <c r="AU85" s="378"/>
      <c r="AV85" s="378"/>
      <c r="AW85" s="378"/>
      <c r="AX85" s="378"/>
      <c r="AY85" s="378"/>
      <c r="AZ85" s="378"/>
    </row>
    <row r="86" spans="1:52" ht="15.75" customHeight="1" x14ac:dyDescent="0.25">
      <c r="A86" s="45"/>
      <c r="B86" s="1569"/>
      <c r="C86" s="1570"/>
      <c r="D86" s="869"/>
      <c r="E86" s="72"/>
      <c r="F86" s="378"/>
      <c r="G86" s="378"/>
      <c r="H86" s="378"/>
      <c r="I86" s="378"/>
      <c r="J86" s="378"/>
      <c r="K86" s="709"/>
      <c r="L86" s="378"/>
      <c r="M86" s="378"/>
      <c r="N86" s="378"/>
      <c r="O86" s="378"/>
      <c r="P86" s="378"/>
      <c r="Q86" s="378"/>
      <c r="R86" s="378"/>
      <c r="S86" s="378"/>
      <c r="T86" s="378"/>
      <c r="U86" s="378"/>
      <c r="V86" s="378"/>
      <c r="W86" s="378"/>
      <c r="X86" s="378"/>
      <c r="Y86" s="378"/>
      <c r="Z86" s="378"/>
      <c r="AA86" s="378"/>
      <c r="AB86" s="378"/>
      <c r="AC86" s="378"/>
      <c r="AD86" s="378"/>
      <c r="AE86" s="378"/>
      <c r="AF86" s="378"/>
      <c r="AG86" s="378"/>
      <c r="AH86" s="378"/>
      <c r="AI86" s="378"/>
      <c r="AJ86" s="378"/>
      <c r="AK86" s="378"/>
      <c r="AL86" s="378"/>
      <c r="AM86" s="378"/>
      <c r="AN86" s="378"/>
      <c r="AO86" s="378"/>
      <c r="AP86" s="378"/>
      <c r="AQ86" s="378"/>
      <c r="AR86" s="378"/>
      <c r="AS86" s="378"/>
      <c r="AT86" s="378"/>
      <c r="AU86" s="378"/>
      <c r="AV86" s="378"/>
      <c r="AW86" s="378"/>
      <c r="AX86" s="378"/>
      <c r="AY86" s="378"/>
      <c r="AZ86" s="378"/>
    </row>
    <row r="87" spans="1:52" ht="15.75" x14ac:dyDescent="0.25">
      <c r="A87" s="45"/>
      <c r="B87" s="1557"/>
      <c r="C87" s="1557"/>
      <c r="D87" s="869"/>
      <c r="E87" s="72"/>
      <c r="F87" s="378"/>
      <c r="G87" s="378"/>
      <c r="H87" s="378"/>
      <c r="I87" s="378"/>
      <c r="J87" s="378"/>
      <c r="K87" s="709"/>
      <c r="L87" s="378"/>
      <c r="M87" s="378"/>
      <c r="N87" s="378"/>
      <c r="O87" s="378"/>
      <c r="P87" s="378"/>
      <c r="Q87" s="378"/>
      <c r="R87" s="378"/>
      <c r="S87" s="378"/>
      <c r="T87" s="378"/>
      <c r="U87" s="378"/>
      <c r="V87" s="378"/>
      <c r="W87" s="378"/>
      <c r="X87" s="378"/>
      <c r="Y87" s="378"/>
      <c r="Z87" s="378"/>
      <c r="AA87" s="378"/>
      <c r="AB87" s="378"/>
      <c r="AC87" s="378"/>
      <c r="AD87" s="378"/>
      <c r="AE87" s="378"/>
      <c r="AF87" s="378"/>
      <c r="AG87" s="378"/>
      <c r="AH87" s="378"/>
      <c r="AI87" s="378"/>
      <c r="AJ87" s="378"/>
      <c r="AK87" s="378"/>
      <c r="AL87" s="378"/>
      <c r="AM87" s="378"/>
      <c r="AN87" s="378"/>
      <c r="AO87" s="378"/>
      <c r="AP87" s="378"/>
      <c r="AQ87" s="378"/>
      <c r="AR87" s="378"/>
      <c r="AS87" s="378"/>
      <c r="AT87" s="378"/>
      <c r="AU87" s="378"/>
      <c r="AV87" s="378"/>
      <c r="AW87" s="378"/>
      <c r="AX87" s="378"/>
      <c r="AY87" s="378"/>
      <c r="AZ87" s="378"/>
    </row>
    <row r="88" spans="1:52" s="532" customFormat="1" ht="15.75" x14ac:dyDescent="0.25">
      <c r="A88" s="45"/>
      <c r="B88" s="1557"/>
      <c r="C88" s="1557"/>
      <c r="D88" s="869"/>
      <c r="E88" s="72"/>
      <c r="F88" s="378"/>
      <c r="G88" s="378"/>
      <c r="H88" s="378"/>
      <c r="I88" s="378"/>
      <c r="J88" s="378"/>
      <c r="K88" s="709"/>
      <c r="L88" s="378"/>
      <c r="M88" s="378"/>
      <c r="N88" s="378"/>
      <c r="O88" s="378"/>
      <c r="P88" s="378"/>
      <c r="Q88" s="378"/>
      <c r="R88" s="378"/>
      <c r="S88" s="378"/>
      <c r="T88" s="378"/>
      <c r="U88" s="378"/>
      <c r="V88" s="378"/>
      <c r="W88" s="378"/>
      <c r="X88" s="378"/>
      <c r="Y88" s="378"/>
      <c r="Z88" s="378"/>
      <c r="AA88" s="378"/>
      <c r="AB88" s="378"/>
      <c r="AC88" s="378"/>
      <c r="AD88" s="378"/>
      <c r="AE88" s="378"/>
      <c r="AF88" s="378"/>
      <c r="AG88" s="378"/>
      <c r="AH88" s="378"/>
      <c r="AI88" s="378"/>
      <c r="AJ88" s="378"/>
      <c r="AK88" s="378"/>
      <c r="AL88" s="378"/>
      <c r="AM88" s="378"/>
      <c r="AN88" s="378"/>
      <c r="AO88" s="378"/>
      <c r="AP88" s="378"/>
      <c r="AQ88" s="378"/>
      <c r="AR88" s="378"/>
      <c r="AS88" s="378"/>
      <c r="AT88" s="378"/>
      <c r="AU88" s="378"/>
      <c r="AV88" s="378"/>
      <c r="AW88" s="378"/>
      <c r="AX88" s="378"/>
      <c r="AY88" s="378"/>
      <c r="AZ88" s="378"/>
    </row>
    <row r="89" spans="1:52" s="532" customFormat="1" ht="15.75" x14ac:dyDescent="0.25">
      <c r="A89" s="45"/>
      <c r="B89" s="1557"/>
      <c r="C89" s="1557"/>
      <c r="D89" s="869"/>
      <c r="E89" s="72"/>
      <c r="F89" s="378"/>
      <c r="G89" s="378"/>
      <c r="H89" s="378"/>
      <c r="I89" s="378"/>
      <c r="J89" s="378"/>
      <c r="K89" s="709"/>
      <c r="L89" s="378"/>
      <c r="M89" s="378"/>
      <c r="N89" s="378"/>
      <c r="O89" s="378"/>
      <c r="P89" s="378"/>
      <c r="Q89" s="378"/>
      <c r="R89" s="378"/>
      <c r="S89" s="378"/>
      <c r="T89" s="378"/>
      <c r="U89" s="378"/>
      <c r="V89" s="378"/>
      <c r="W89" s="378"/>
      <c r="X89" s="378"/>
      <c r="Y89" s="378"/>
      <c r="Z89" s="378"/>
      <c r="AA89" s="378"/>
      <c r="AB89" s="378"/>
      <c r="AC89" s="378"/>
      <c r="AD89" s="378"/>
      <c r="AE89" s="378"/>
      <c r="AF89" s="378"/>
      <c r="AG89" s="378"/>
      <c r="AH89" s="378"/>
      <c r="AI89" s="378"/>
      <c r="AJ89" s="378"/>
      <c r="AK89" s="378"/>
      <c r="AL89" s="378"/>
      <c r="AM89" s="378"/>
      <c r="AN89" s="378"/>
      <c r="AO89" s="378"/>
      <c r="AP89" s="378"/>
      <c r="AQ89" s="378"/>
      <c r="AR89" s="378"/>
      <c r="AS89" s="378"/>
      <c r="AT89" s="378"/>
      <c r="AU89" s="378"/>
      <c r="AV89" s="378"/>
      <c r="AW89" s="378"/>
      <c r="AX89" s="378"/>
      <c r="AY89" s="378"/>
      <c r="AZ89" s="378"/>
    </row>
    <row r="90" spans="1:52" s="532" customFormat="1" ht="15.75" x14ac:dyDescent="0.25">
      <c r="A90" s="45"/>
      <c r="B90" s="1557"/>
      <c r="C90" s="1557"/>
      <c r="D90" s="869"/>
      <c r="E90" s="72"/>
      <c r="F90" s="378"/>
      <c r="G90" s="378"/>
      <c r="H90" s="378"/>
      <c r="I90" s="378"/>
      <c r="J90" s="378"/>
      <c r="K90" s="709"/>
      <c r="L90" s="378"/>
      <c r="M90" s="378"/>
      <c r="N90" s="378"/>
      <c r="O90" s="378"/>
      <c r="P90" s="378"/>
      <c r="Q90" s="378"/>
      <c r="R90" s="378"/>
      <c r="S90" s="378"/>
      <c r="T90" s="378"/>
      <c r="U90" s="378"/>
      <c r="V90" s="378"/>
      <c r="W90" s="378"/>
      <c r="X90" s="378"/>
      <c r="Y90" s="378"/>
      <c r="Z90" s="378"/>
      <c r="AA90" s="378"/>
      <c r="AB90" s="378"/>
      <c r="AC90" s="378"/>
      <c r="AD90" s="378"/>
      <c r="AE90" s="378"/>
      <c r="AF90" s="378"/>
      <c r="AG90" s="378"/>
      <c r="AH90" s="378"/>
      <c r="AI90" s="378"/>
      <c r="AJ90" s="378"/>
      <c r="AK90" s="378"/>
      <c r="AL90" s="378"/>
      <c r="AM90" s="378"/>
      <c r="AN90" s="378"/>
      <c r="AO90" s="378"/>
      <c r="AP90" s="378"/>
      <c r="AQ90" s="378"/>
      <c r="AR90" s="378"/>
      <c r="AS90" s="378"/>
      <c r="AT90" s="378"/>
      <c r="AU90" s="378"/>
      <c r="AV90" s="378"/>
      <c r="AW90" s="378"/>
      <c r="AX90" s="378"/>
      <c r="AY90" s="378"/>
      <c r="AZ90" s="378"/>
    </row>
    <row r="91" spans="1:52" ht="15.75" x14ac:dyDescent="0.25">
      <c r="A91" s="45"/>
      <c r="B91" s="1569"/>
      <c r="C91" s="1570"/>
      <c r="D91" s="869"/>
      <c r="E91" s="72"/>
      <c r="F91" s="378"/>
      <c r="G91" s="378"/>
      <c r="H91" s="378"/>
      <c r="I91" s="378"/>
      <c r="J91" s="378"/>
      <c r="K91" s="709"/>
      <c r="L91" s="378"/>
      <c r="M91" s="378"/>
      <c r="N91" s="378"/>
      <c r="O91" s="378"/>
      <c r="P91" s="378"/>
      <c r="Q91" s="378"/>
      <c r="R91" s="378"/>
      <c r="S91" s="378"/>
      <c r="T91" s="378"/>
      <c r="U91" s="378"/>
      <c r="V91" s="378"/>
      <c r="W91" s="378"/>
      <c r="X91" s="378"/>
      <c r="Y91" s="378"/>
      <c r="Z91" s="378"/>
      <c r="AA91" s="378"/>
      <c r="AB91" s="378"/>
      <c r="AC91" s="378"/>
      <c r="AD91" s="378"/>
      <c r="AE91" s="378"/>
      <c r="AF91" s="378"/>
      <c r="AG91" s="378"/>
      <c r="AH91" s="378"/>
      <c r="AI91" s="378"/>
      <c r="AJ91" s="378"/>
      <c r="AK91" s="378"/>
      <c r="AL91" s="378"/>
      <c r="AM91" s="378"/>
      <c r="AN91" s="378"/>
      <c r="AO91" s="378"/>
      <c r="AP91" s="378"/>
      <c r="AQ91" s="378"/>
      <c r="AR91" s="378"/>
      <c r="AS91" s="378"/>
      <c r="AT91" s="378"/>
      <c r="AU91" s="378"/>
      <c r="AV91" s="378"/>
      <c r="AW91" s="378"/>
      <c r="AX91" s="378"/>
      <c r="AY91" s="378"/>
      <c r="AZ91" s="378"/>
    </row>
    <row r="92" spans="1:52" ht="15.75" x14ac:dyDescent="0.25">
      <c r="A92" s="45"/>
      <c r="B92" s="1569"/>
      <c r="C92" s="1570"/>
      <c r="D92" s="869"/>
      <c r="E92" s="72"/>
      <c r="F92" s="378"/>
      <c r="G92" s="378"/>
      <c r="H92" s="378"/>
      <c r="I92" s="378"/>
      <c r="J92" s="378"/>
      <c r="K92" s="709"/>
      <c r="L92" s="378"/>
      <c r="M92" s="378"/>
      <c r="N92" s="378"/>
      <c r="O92" s="378"/>
      <c r="P92" s="378"/>
      <c r="Q92" s="378"/>
      <c r="R92" s="378"/>
      <c r="S92" s="378"/>
      <c r="T92" s="378"/>
      <c r="U92" s="378"/>
      <c r="V92" s="378"/>
      <c r="W92" s="378"/>
      <c r="X92" s="378"/>
      <c r="Y92" s="378"/>
      <c r="Z92" s="378"/>
      <c r="AA92" s="378"/>
      <c r="AB92" s="378"/>
      <c r="AC92" s="378"/>
      <c r="AD92" s="378"/>
      <c r="AE92" s="378"/>
      <c r="AF92" s="378"/>
      <c r="AG92" s="378"/>
      <c r="AH92" s="378"/>
      <c r="AI92" s="378"/>
      <c r="AJ92" s="378"/>
      <c r="AK92" s="378"/>
      <c r="AL92" s="378"/>
      <c r="AM92" s="378"/>
      <c r="AN92" s="378"/>
      <c r="AO92" s="378"/>
      <c r="AP92" s="378"/>
      <c r="AQ92" s="378"/>
      <c r="AR92" s="378"/>
      <c r="AS92" s="378"/>
      <c r="AT92" s="378"/>
      <c r="AU92" s="378"/>
      <c r="AV92" s="378"/>
      <c r="AW92" s="378"/>
      <c r="AX92" s="378"/>
      <c r="AY92" s="378"/>
      <c r="AZ92" s="378"/>
    </row>
    <row r="93" spans="1:52" s="532" customFormat="1" ht="15.75" x14ac:dyDescent="0.25">
      <c r="A93" s="45"/>
      <c r="B93" s="1569"/>
      <c r="C93" s="1570"/>
      <c r="D93" s="869"/>
      <c r="E93" s="72"/>
      <c r="F93" s="378"/>
      <c r="G93" s="378"/>
      <c r="H93" s="378"/>
      <c r="I93" s="378"/>
      <c r="J93" s="378"/>
      <c r="K93" s="709"/>
      <c r="L93" s="378"/>
      <c r="M93" s="378"/>
      <c r="N93" s="378"/>
      <c r="O93" s="378"/>
      <c r="P93" s="378"/>
      <c r="Q93" s="378"/>
      <c r="R93" s="378"/>
      <c r="S93" s="378"/>
      <c r="T93" s="378"/>
      <c r="U93" s="378"/>
      <c r="V93" s="378"/>
      <c r="W93" s="378"/>
      <c r="X93" s="378"/>
      <c r="Y93" s="378"/>
      <c r="Z93" s="378"/>
      <c r="AA93" s="378"/>
      <c r="AB93" s="378"/>
      <c r="AC93" s="378"/>
      <c r="AD93" s="378"/>
      <c r="AE93" s="378"/>
      <c r="AF93" s="378"/>
      <c r="AG93" s="378"/>
      <c r="AH93" s="378"/>
      <c r="AI93" s="378"/>
      <c r="AJ93" s="378"/>
      <c r="AK93" s="378"/>
      <c r="AL93" s="378"/>
      <c r="AM93" s="378"/>
      <c r="AN93" s="378"/>
      <c r="AO93" s="378"/>
      <c r="AP93" s="378"/>
      <c r="AQ93" s="378"/>
      <c r="AR93" s="378"/>
      <c r="AS93" s="378"/>
      <c r="AT93" s="378"/>
      <c r="AU93" s="378"/>
      <c r="AV93" s="378"/>
      <c r="AW93" s="378"/>
      <c r="AX93" s="378"/>
      <c r="AY93" s="378"/>
      <c r="AZ93" s="378"/>
    </row>
    <row r="94" spans="1:52" ht="15.75" x14ac:dyDescent="0.25">
      <c r="A94" s="45"/>
      <c r="B94" s="1569"/>
      <c r="C94" s="1570"/>
      <c r="D94" s="869"/>
      <c r="E94" s="72"/>
      <c r="F94" s="378"/>
      <c r="G94" s="378"/>
      <c r="H94" s="378"/>
      <c r="I94" s="378"/>
      <c r="J94" s="378"/>
      <c r="K94" s="709"/>
      <c r="L94" s="378"/>
      <c r="M94" s="378"/>
      <c r="N94" s="378"/>
      <c r="O94" s="378"/>
      <c r="P94" s="378"/>
      <c r="Q94" s="378"/>
      <c r="R94" s="378"/>
      <c r="S94" s="378"/>
      <c r="T94" s="378"/>
      <c r="U94" s="378"/>
      <c r="V94" s="378"/>
      <c r="W94" s="378"/>
      <c r="X94" s="378"/>
      <c r="Y94" s="378"/>
      <c r="Z94" s="378"/>
      <c r="AA94" s="378"/>
      <c r="AB94" s="378"/>
      <c r="AC94" s="378"/>
      <c r="AD94" s="378"/>
      <c r="AE94" s="378"/>
      <c r="AF94" s="378"/>
      <c r="AG94" s="378"/>
      <c r="AH94" s="378"/>
      <c r="AI94" s="378"/>
      <c r="AJ94" s="378"/>
      <c r="AK94" s="378"/>
      <c r="AL94" s="378"/>
      <c r="AM94" s="378"/>
      <c r="AN94" s="378"/>
      <c r="AO94" s="378"/>
      <c r="AP94" s="378"/>
      <c r="AQ94" s="378"/>
      <c r="AR94" s="378"/>
      <c r="AS94" s="378"/>
      <c r="AT94" s="378"/>
      <c r="AU94" s="378"/>
      <c r="AV94" s="378"/>
      <c r="AW94" s="378"/>
      <c r="AX94" s="378"/>
      <c r="AY94" s="378"/>
      <c r="AZ94" s="378"/>
    </row>
    <row r="95" spans="1:52" ht="11.25" customHeight="1" x14ac:dyDescent="0.25">
      <c r="A95" s="45"/>
      <c r="B95" s="13"/>
      <c r="C95" s="13"/>
      <c r="D95" s="1494"/>
      <c r="E95" s="72"/>
      <c r="F95" s="378"/>
      <c r="G95" s="378"/>
      <c r="H95" s="378"/>
      <c r="I95" s="378"/>
      <c r="J95" s="378"/>
      <c r="K95" s="709"/>
      <c r="L95" s="378"/>
      <c r="M95" s="378"/>
      <c r="N95" s="378"/>
      <c r="O95" s="378"/>
      <c r="P95" s="378"/>
      <c r="Q95" s="378"/>
      <c r="R95" s="378"/>
      <c r="S95" s="378"/>
      <c r="T95" s="378"/>
      <c r="U95" s="378"/>
      <c r="V95" s="378"/>
      <c r="W95" s="378"/>
      <c r="X95" s="378"/>
      <c r="Y95" s="378"/>
      <c r="Z95" s="378"/>
      <c r="AA95" s="378"/>
      <c r="AB95" s="378"/>
      <c r="AC95" s="378"/>
      <c r="AD95" s="378"/>
      <c r="AE95" s="378"/>
      <c r="AF95" s="378"/>
      <c r="AG95" s="378"/>
      <c r="AH95" s="378"/>
      <c r="AI95" s="378"/>
      <c r="AJ95" s="378"/>
      <c r="AK95" s="378"/>
      <c r="AL95" s="378"/>
      <c r="AM95" s="378"/>
      <c r="AN95" s="378"/>
      <c r="AO95" s="378"/>
      <c r="AP95" s="378"/>
      <c r="AQ95" s="378"/>
      <c r="AR95" s="378"/>
      <c r="AS95" s="378"/>
      <c r="AT95" s="378"/>
      <c r="AU95" s="378"/>
      <c r="AV95" s="378"/>
      <c r="AW95" s="378"/>
      <c r="AX95" s="378"/>
      <c r="AY95" s="378"/>
      <c r="AZ95" s="378"/>
    </row>
    <row r="96" spans="1:52" ht="15" customHeight="1" x14ac:dyDescent="0.25">
      <c r="A96" s="45"/>
      <c r="B96" s="1630" t="s">
        <v>64</v>
      </c>
      <c r="C96" s="1631"/>
      <c r="D96" s="1628" t="s">
        <v>62</v>
      </c>
      <c r="E96" s="72"/>
      <c r="F96" s="378"/>
      <c r="G96" s="378"/>
      <c r="H96" s="378"/>
      <c r="I96" s="378"/>
      <c r="J96" s="378"/>
      <c r="K96" s="709"/>
      <c r="L96" s="378"/>
      <c r="M96" s="378"/>
      <c r="N96" s="378"/>
      <c r="O96" s="378"/>
      <c r="P96" s="378"/>
      <c r="Q96" s="378"/>
      <c r="R96" s="378"/>
      <c r="S96" s="378"/>
      <c r="T96" s="378"/>
      <c r="U96" s="378"/>
      <c r="V96" s="378"/>
      <c r="W96" s="378"/>
      <c r="X96" s="378"/>
      <c r="Y96" s="378"/>
      <c r="Z96" s="378"/>
      <c r="AA96" s="378"/>
      <c r="AB96" s="378"/>
      <c r="AC96" s="378"/>
      <c r="AD96" s="378"/>
      <c r="AE96" s="378"/>
      <c r="AF96" s="378"/>
      <c r="AG96" s="378"/>
      <c r="AH96" s="378"/>
      <c r="AI96" s="378"/>
      <c r="AJ96" s="378"/>
      <c r="AK96" s="378"/>
      <c r="AL96" s="378"/>
      <c r="AM96" s="378"/>
      <c r="AN96" s="378"/>
      <c r="AO96" s="378"/>
      <c r="AP96" s="378"/>
      <c r="AQ96" s="378"/>
      <c r="AR96" s="378"/>
      <c r="AS96" s="378"/>
      <c r="AT96" s="378"/>
      <c r="AU96" s="378"/>
      <c r="AV96" s="378"/>
      <c r="AW96" s="378"/>
      <c r="AX96" s="378"/>
      <c r="AY96" s="378"/>
      <c r="AZ96" s="378"/>
    </row>
    <row r="97" spans="1:52" ht="21" customHeight="1" x14ac:dyDescent="0.25">
      <c r="A97" s="45"/>
      <c r="B97" s="1632"/>
      <c r="C97" s="1633"/>
      <c r="D97" s="1629"/>
      <c r="E97" s="72"/>
      <c r="F97" s="378"/>
      <c r="G97" s="378"/>
      <c r="H97" s="378"/>
      <c r="I97" s="378"/>
      <c r="J97" s="378"/>
      <c r="K97" s="709"/>
      <c r="L97" s="378"/>
      <c r="M97" s="378"/>
      <c r="N97" s="378"/>
      <c r="O97" s="378"/>
      <c r="P97" s="378"/>
      <c r="Q97" s="378"/>
      <c r="R97" s="378"/>
      <c r="S97" s="378"/>
      <c r="T97" s="378"/>
      <c r="U97" s="378"/>
      <c r="V97" s="378"/>
      <c r="W97" s="378"/>
      <c r="X97" s="378"/>
      <c r="Y97" s="378"/>
      <c r="Z97" s="378"/>
      <c r="AA97" s="378"/>
      <c r="AB97" s="378"/>
      <c r="AC97" s="378"/>
      <c r="AD97" s="378"/>
      <c r="AE97" s="378"/>
      <c r="AF97" s="378"/>
      <c r="AG97" s="378"/>
      <c r="AH97" s="378"/>
      <c r="AI97" s="378"/>
      <c r="AJ97" s="378"/>
      <c r="AK97" s="378"/>
      <c r="AL97" s="378"/>
      <c r="AM97" s="378"/>
      <c r="AN97" s="378"/>
      <c r="AO97" s="378"/>
      <c r="AP97" s="378"/>
      <c r="AQ97" s="378"/>
      <c r="AR97" s="378"/>
      <c r="AS97" s="378"/>
      <c r="AT97" s="378"/>
      <c r="AU97" s="378"/>
      <c r="AV97" s="378"/>
      <c r="AW97" s="378"/>
      <c r="AX97" s="378"/>
      <c r="AY97" s="378"/>
      <c r="AZ97" s="378"/>
    </row>
    <row r="98" spans="1:52" ht="15.75" x14ac:dyDescent="0.25">
      <c r="A98" s="45"/>
      <c r="B98" s="1557"/>
      <c r="C98" s="1557"/>
      <c r="D98" s="869"/>
      <c r="E98" s="72"/>
      <c r="F98" s="378"/>
      <c r="G98" s="378"/>
      <c r="H98" s="378"/>
      <c r="I98" s="378"/>
      <c r="J98" s="378"/>
      <c r="K98" s="709"/>
      <c r="L98" s="378"/>
      <c r="M98" s="378"/>
      <c r="N98" s="378"/>
      <c r="O98" s="378"/>
      <c r="P98" s="378"/>
      <c r="Q98" s="378"/>
      <c r="R98" s="378"/>
      <c r="S98" s="378"/>
      <c r="T98" s="378"/>
      <c r="U98" s="378"/>
      <c r="V98" s="378"/>
      <c r="W98" s="378"/>
      <c r="X98" s="378"/>
      <c r="Y98" s="378"/>
      <c r="Z98" s="378"/>
      <c r="AA98" s="378"/>
      <c r="AB98" s="378"/>
      <c r="AC98" s="378"/>
      <c r="AD98" s="378"/>
      <c r="AE98" s="378"/>
      <c r="AF98" s="378"/>
      <c r="AG98" s="378"/>
      <c r="AH98" s="378"/>
      <c r="AI98" s="378"/>
      <c r="AJ98" s="378"/>
      <c r="AK98" s="378"/>
      <c r="AL98" s="378"/>
      <c r="AM98" s="378"/>
      <c r="AN98" s="378"/>
      <c r="AO98" s="378"/>
      <c r="AP98" s="378"/>
      <c r="AQ98" s="378"/>
      <c r="AR98" s="378"/>
      <c r="AS98" s="378"/>
      <c r="AT98" s="378"/>
      <c r="AU98" s="378"/>
      <c r="AV98" s="378"/>
      <c r="AW98" s="378"/>
      <c r="AX98" s="378"/>
      <c r="AY98" s="378"/>
      <c r="AZ98" s="378"/>
    </row>
    <row r="99" spans="1:52" s="404" customFormat="1" ht="15.75" x14ac:dyDescent="0.25">
      <c r="A99" s="45"/>
      <c r="B99" s="1557"/>
      <c r="C99" s="1557"/>
      <c r="D99" s="869"/>
      <c r="E99" s="72"/>
      <c r="F99" s="378"/>
      <c r="G99" s="378"/>
      <c r="H99" s="378"/>
      <c r="I99" s="378"/>
      <c r="J99" s="378"/>
      <c r="K99" s="709"/>
      <c r="L99" s="378"/>
      <c r="M99" s="378"/>
      <c r="N99" s="378"/>
      <c r="O99" s="378"/>
      <c r="P99" s="378"/>
      <c r="Q99" s="378"/>
      <c r="R99" s="378"/>
      <c r="S99" s="378"/>
      <c r="T99" s="378"/>
      <c r="U99" s="378"/>
      <c r="V99" s="378"/>
      <c r="W99" s="378"/>
      <c r="X99" s="378"/>
      <c r="Y99" s="378"/>
      <c r="Z99" s="378"/>
      <c r="AA99" s="378"/>
      <c r="AB99" s="378"/>
      <c r="AC99" s="378"/>
      <c r="AD99" s="378"/>
      <c r="AE99" s="378"/>
      <c r="AF99" s="378"/>
      <c r="AG99" s="378"/>
      <c r="AH99" s="378"/>
      <c r="AI99" s="378"/>
      <c r="AJ99" s="378"/>
      <c r="AK99" s="378"/>
      <c r="AL99" s="378"/>
      <c r="AM99" s="378"/>
      <c r="AN99" s="378"/>
      <c r="AO99" s="378"/>
      <c r="AP99" s="378"/>
      <c r="AQ99" s="378"/>
      <c r="AR99" s="378"/>
      <c r="AS99" s="378"/>
      <c r="AT99" s="378"/>
      <c r="AU99" s="378"/>
      <c r="AV99" s="378"/>
      <c r="AW99" s="378"/>
      <c r="AX99" s="378"/>
      <c r="AY99" s="378"/>
      <c r="AZ99" s="378"/>
    </row>
    <row r="100" spans="1:52" ht="15.75" x14ac:dyDescent="0.25">
      <c r="A100" s="45"/>
      <c r="B100" s="1557"/>
      <c r="C100" s="1557"/>
      <c r="D100" s="869"/>
      <c r="E100" s="72"/>
      <c r="F100" s="378"/>
      <c r="G100" s="378"/>
      <c r="H100" s="378"/>
      <c r="I100" s="378"/>
      <c r="J100" s="378"/>
      <c r="K100" s="709"/>
      <c r="L100" s="378"/>
      <c r="M100" s="378"/>
      <c r="N100" s="378"/>
      <c r="O100" s="378"/>
      <c r="P100" s="378"/>
      <c r="Q100" s="378"/>
      <c r="R100" s="378"/>
      <c r="S100" s="378"/>
      <c r="T100" s="378"/>
      <c r="U100" s="378"/>
      <c r="V100" s="378"/>
      <c r="W100" s="378"/>
      <c r="X100" s="378"/>
      <c r="Y100" s="378"/>
      <c r="Z100" s="378"/>
      <c r="AA100" s="378"/>
      <c r="AB100" s="378"/>
      <c r="AC100" s="378"/>
      <c r="AD100" s="378"/>
      <c r="AE100" s="378"/>
      <c r="AF100" s="378"/>
      <c r="AG100" s="378"/>
      <c r="AH100" s="378"/>
      <c r="AI100" s="378"/>
      <c r="AJ100" s="378"/>
      <c r="AK100" s="378"/>
      <c r="AL100" s="378"/>
      <c r="AM100" s="378"/>
      <c r="AN100" s="378"/>
      <c r="AO100" s="378"/>
      <c r="AP100" s="378"/>
      <c r="AQ100" s="378"/>
      <c r="AR100" s="378"/>
      <c r="AS100" s="378"/>
      <c r="AT100" s="378"/>
      <c r="AU100" s="378"/>
      <c r="AV100" s="378"/>
      <c r="AW100" s="378"/>
      <c r="AX100" s="378"/>
      <c r="AY100" s="378"/>
      <c r="AZ100" s="378"/>
    </row>
    <row r="101" spans="1:52" s="437" customFormat="1" ht="15.75" x14ac:dyDescent="0.25">
      <c r="A101" s="45"/>
      <c r="B101" s="1569"/>
      <c r="C101" s="1570"/>
      <c r="D101" s="869"/>
      <c r="E101" s="72"/>
      <c r="F101" s="378"/>
      <c r="G101" s="378"/>
      <c r="H101" s="378"/>
      <c r="I101" s="378"/>
      <c r="J101" s="378"/>
      <c r="K101" s="709"/>
      <c r="L101" s="378"/>
      <c r="M101" s="378"/>
      <c r="N101" s="378"/>
      <c r="O101" s="378"/>
      <c r="P101" s="378"/>
      <c r="Q101" s="378"/>
      <c r="R101" s="378"/>
      <c r="S101" s="378"/>
      <c r="T101" s="378"/>
      <c r="U101" s="378"/>
      <c r="V101" s="378"/>
      <c r="W101" s="378"/>
      <c r="X101" s="378"/>
      <c r="Y101" s="378"/>
      <c r="Z101" s="378"/>
      <c r="AA101" s="378"/>
      <c r="AB101" s="378"/>
      <c r="AC101" s="378"/>
      <c r="AD101" s="378"/>
      <c r="AE101" s="378"/>
      <c r="AF101" s="378"/>
      <c r="AG101" s="378"/>
      <c r="AH101" s="378"/>
      <c r="AI101" s="378"/>
      <c r="AJ101" s="378"/>
      <c r="AK101" s="378"/>
      <c r="AL101" s="378"/>
      <c r="AM101" s="378"/>
      <c r="AN101" s="378"/>
      <c r="AO101" s="378"/>
      <c r="AP101" s="378"/>
      <c r="AQ101" s="378"/>
      <c r="AR101" s="378"/>
      <c r="AS101" s="378"/>
      <c r="AT101" s="378"/>
      <c r="AU101" s="378"/>
      <c r="AV101" s="378"/>
      <c r="AW101" s="378"/>
      <c r="AX101" s="378"/>
      <c r="AY101" s="378"/>
      <c r="AZ101" s="378"/>
    </row>
    <row r="102" spans="1:52" ht="15.75" x14ac:dyDescent="0.25">
      <c r="A102" s="45"/>
      <c r="B102" s="1569"/>
      <c r="C102" s="1570"/>
      <c r="D102" s="869"/>
      <c r="E102" s="72"/>
      <c r="F102" s="378"/>
      <c r="G102" s="378"/>
      <c r="H102" s="378"/>
      <c r="I102" s="378"/>
      <c r="J102" s="378"/>
      <c r="K102" s="709"/>
      <c r="L102" s="378"/>
      <c r="M102" s="378"/>
      <c r="N102" s="378"/>
      <c r="O102" s="378"/>
      <c r="P102" s="378"/>
      <c r="Q102" s="378"/>
      <c r="R102" s="378"/>
      <c r="S102" s="378"/>
      <c r="T102" s="378"/>
      <c r="U102" s="378"/>
      <c r="V102" s="378"/>
      <c r="W102" s="378"/>
      <c r="X102" s="378"/>
      <c r="Y102" s="378"/>
      <c r="Z102" s="378"/>
      <c r="AA102" s="378"/>
      <c r="AB102" s="378"/>
      <c r="AC102" s="378"/>
      <c r="AD102" s="378"/>
      <c r="AE102" s="378"/>
      <c r="AF102" s="378"/>
      <c r="AG102" s="378"/>
      <c r="AH102" s="378"/>
      <c r="AI102" s="378"/>
      <c r="AJ102" s="378"/>
      <c r="AK102" s="378"/>
      <c r="AL102" s="378"/>
      <c r="AM102" s="378"/>
      <c r="AN102" s="378"/>
      <c r="AO102" s="378"/>
      <c r="AP102" s="378"/>
      <c r="AQ102" s="378"/>
      <c r="AR102" s="378"/>
      <c r="AS102" s="378"/>
      <c r="AT102" s="378"/>
      <c r="AU102" s="378"/>
      <c r="AV102" s="378"/>
      <c r="AW102" s="378"/>
      <c r="AX102" s="378"/>
      <c r="AY102" s="378"/>
      <c r="AZ102" s="378"/>
    </row>
    <row r="103" spans="1:52" s="532" customFormat="1" ht="15.75" x14ac:dyDescent="0.25">
      <c r="A103" s="45"/>
      <c r="B103" s="33"/>
      <c r="C103" s="13"/>
      <c r="D103" s="13"/>
      <c r="E103" s="72"/>
      <c r="F103" s="378"/>
      <c r="G103" s="378"/>
      <c r="H103" s="378"/>
      <c r="I103" s="378"/>
      <c r="J103" s="378"/>
      <c r="K103" s="709"/>
      <c r="L103" s="378"/>
      <c r="M103" s="378"/>
      <c r="N103" s="378"/>
      <c r="O103" s="378"/>
      <c r="P103" s="378"/>
      <c r="Q103" s="378"/>
      <c r="R103" s="378"/>
      <c r="S103" s="378"/>
      <c r="T103" s="378"/>
      <c r="U103" s="378"/>
      <c r="V103" s="378"/>
      <c r="W103" s="378"/>
      <c r="X103" s="378"/>
      <c r="Y103" s="378"/>
      <c r="Z103" s="378"/>
      <c r="AA103" s="378"/>
      <c r="AB103" s="378"/>
      <c r="AC103" s="378"/>
      <c r="AD103" s="378"/>
      <c r="AE103" s="378"/>
      <c r="AF103" s="378"/>
      <c r="AG103" s="378"/>
      <c r="AH103" s="378"/>
      <c r="AI103" s="378"/>
      <c r="AJ103" s="378"/>
      <c r="AK103" s="378"/>
      <c r="AL103" s="378"/>
      <c r="AM103" s="378"/>
      <c r="AN103" s="378"/>
      <c r="AO103" s="378"/>
      <c r="AP103" s="378"/>
      <c r="AQ103" s="378"/>
      <c r="AR103" s="378"/>
      <c r="AS103" s="378"/>
      <c r="AT103" s="378"/>
      <c r="AU103" s="378"/>
      <c r="AV103" s="378"/>
      <c r="AW103" s="378"/>
      <c r="AX103" s="378"/>
      <c r="AY103" s="378"/>
      <c r="AZ103" s="378"/>
    </row>
    <row r="104" spans="1:52" ht="15" customHeight="1" x14ac:dyDescent="0.25">
      <c r="A104" s="45"/>
      <c r="B104" s="1630" t="s">
        <v>65</v>
      </c>
      <c r="C104" s="1631"/>
      <c r="D104" s="1628" t="s">
        <v>62</v>
      </c>
      <c r="E104" s="72"/>
      <c r="F104" s="378"/>
      <c r="G104" s="378"/>
      <c r="H104" s="378"/>
      <c r="I104" s="378"/>
      <c r="J104" s="378"/>
      <c r="K104" s="709"/>
      <c r="L104" s="378"/>
      <c r="M104" s="378"/>
      <c r="N104" s="378"/>
      <c r="O104" s="378"/>
      <c r="P104" s="378"/>
      <c r="Q104" s="378"/>
      <c r="R104" s="378"/>
      <c r="S104" s="378"/>
      <c r="T104" s="378"/>
      <c r="U104" s="378"/>
      <c r="V104" s="378"/>
      <c r="W104" s="378"/>
      <c r="X104" s="378"/>
      <c r="Y104" s="378"/>
      <c r="Z104" s="378"/>
      <c r="AA104" s="378"/>
      <c r="AB104" s="378"/>
      <c r="AC104" s="378"/>
      <c r="AD104" s="378"/>
      <c r="AE104" s="378"/>
      <c r="AF104" s="378"/>
      <c r="AG104" s="378"/>
      <c r="AH104" s="378"/>
      <c r="AI104" s="378"/>
      <c r="AJ104" s="378"/>
      <c r="AK104" s="378"/>
      <c r="AL104" s="378"/>
      <c r="AM104" s="378"/>
      <c r="AN104" s="378"/>
      <c r="AO104" s="378"/>
      <c r="AP104" s="378"/>
      <c r="AQ104" s="378"/>
      <c r="AR104" s="378"/>
      <c r="AS104" s="378"/>
      <c r="AT104" s="378"/>
      <c r="AU104" s="378"/>
      <c r="AV104" s="378"/>
      <c r="AW104" s="378"/>
      <c r="AX104" s="378"/>
      <c r="AY104" s="378"/>
      <c r="AZ104" s="378"/>
    </row>
    <row r="105" spans="1:52" ht="18.75" customHeight="1" x14ac:dyDescent="0.25">
      <c r="A105" s="45"/>
      <c r="B105" s="1632"/>
      <c r="C105" s="1633"/>
      <c r="D105" s="1629"/>
      <c r="E105" s="72"/>
      <c r="F105" s="378"/>
      <c r="G105" s="378"/>
      <c r="H105" s="378"/>
      <c r="I105" s="378"/>
      <c r="J105" s="378"/>
      <c r="K105" s="709"/>
      <c r="L105" s="378"/>
      <c r="M105" s="378"/>
      <c r="N105" s="378"/>
      <c r="O105" s="378"/>
      <c r="P105" s="378"/>
      <c r="Q105" s="378"/>
      <c r="R105" s="378"/>
      <c r="S105" s="378"/>
      <c r="T105" s="378"/>
      <c r="U105" s="378"/>
      <c r="V105" s="378"/>
      <c r="W105" s="378"/>
      <c r="X105" s="378"/>
      <c r="Y105" s="378"/>
      <c r="Z105" s="378"/>
      <c r="AA105" s="378"/>
      <c r="AB105" s="378"/>
      <c r="AC105" s="378"/>
      <c r="AD105" s="378"/>
      <c r="AE105" s="378"/>
      <c r="AF105" s="378"/>
      <c r="AG105" s="378"/>
      <c r="AH105" s="378"/>
      <c r="AI105" s="378"/>
      <c r="AJ105" s="378"/>
      <c r="AK105" s="378"/>
      <c r="AL105" s="378"/>
      <c r="AM105" s="378"/>
      <c r="AN105" s="378"/>
      <c r="AO105" s="378"/>
      <c r="AP105" s="378"/>
      <c r="AQ105" s="378"/>
      <c r="AR105" s="378"/>
      <c r="AS105" s="378"/>
      <c r="AT105" s="378"/>
      <c r="AU105" s="378"/>
      <c r="AV105" s="378"/>
      <c r="AW105" s="378"/>
      <c r="AX105" s="378"/>
      <c r="AY105" s="378"/>
      <c r="AZ105" s="378"/>
    </row>
    <row r="106" spans="1:52" ht="15.75" x14ac:dyDescent="0.25">
      <c r="A106" s="45"/>
      <c r="B106" s="1569"/>
      <c r="C106" s="1570"/>
      <c r="D106" s="870"/>
      <c r="E106" s="72"/>
      <c r="F106" s="378"/>
      <c r="G106" s="378"/>
      <c r="H106" s="378"/>
      <c r="I106" s="378"/>
      <c r="J106" s="378"/>
      <c r="K106" s="709"/>
      <c r="L106" s="378"/>
      <c r="M106" s="378"/>
      <c r="N106" s="378"/>
      <c r="O106" s="378"/>
      <c r="P106" s="378"/>
      <c r="Q106" s="378"/>
      <c r="R106" s="378"/>
      <c r="S106" s="378"/>
      <c r="T106" s="378"/>
      <c r="U106" s="378"/>
      <c r="V106" s="378"/>
      <c r="W106" s="378"/>
      <c r="X106" s="378"/>
      <c r="Y106" s="378"/>
      <c r="Z106" s="378"/>
      <c r="AA106" s="378"/>
      <c r="AB106" s="378"/>
      <c r="AC106" s="378"/>
      <c r="AD106" s="378"/>
      <c r="AE106" s="378"/>
      <c r="AF106" s="378"/>
      <c r="AG106" s="378"/>
      <c r="AH106" s="378"/>
      <c r="AI106" s="378"/>
      <c r="AJ106" s="378"/>
      <c r="AK106" s="378"/>
      <c r="AL106" s="378"/>
      <c r="AM106" s="378"/>
      <c r="AN106" s="378"/>
      <c r="AO106" s="378"/>
      <c r="AP106" s="378"/>
      <c r="AQ106" s="378"/>
      <c r="AR106" s="378"/>
      <c r="AS106" s="378"/>
      <c r="AT106" s="378"/>
      <c r="AU106" s="378"/>
      <c r="AV106" s="378"/>
      <c r="AW106" s="378"/>
      <c r="AX106" s="378"/>
      <c r="AY106" s="378"/>
      <c r="AZ106" s="378"/>
    </row>
    <row r="107" spans="1:52" s="404" customFormat="1" ht="15.75" x14ac:dyDescent="0.25">
      <c r="A107" s="45"/>
      <c r="B107" s="1569"/>
      <c r="C107" s="1570"/>
      <c r="D107" s="871"/>
      <c r="E107" s="72"/>
      <c r="F107" s="378"/>
      <c r="G107" s="378"/>
      <c r="H107" s="378"/>
      <c r="I107" s="378"/>
      <c r="J107" s="378"/>
      <c r="K107" s="709"/>
      <c r="L107" s="378"/>
      <c r="M107" s="378"/>
      <c r="N107" s="378"/>
      <c r="O107" s="378"/>
      <c r="P107" s="378"/>
      <c r="Q107" s="378"/>
      <c r="R107" s="378"/>
      <c r="S107" s="378"/>
      <c r="T107" s="378"/>
      <c r="U107" s="378"/>
      <c r="V107" s="378"/>
      <c r="W107" s="378"/>
      <c r="X107" s="378"/>
      <c r="Y107" s="378"/>
      <c r="Z107" s="378"/>
      <c r="AA107" s="378"/>
      <c r="AB107" s="378"/>
      <c r="AC107" s="378"/>
      <c r="AD107" s="378"/>
      <c r="AE107" s="378"/>
      <c r="AF107" s="378"/>
      <c r="AG107" s="378"/>
      <c r="AH107" s="378"/>
      <c r="AI107" s="378"/>
      <c r="AJ107" s="378"/>
      <c r="AK107" s="378"/>
      <c r="AL107" s="378"/>
      <c r="AM107" s="378"/>
      <c r="AN107" s="378"/>
      <c r="AO107" s="378"/>
      <c r="AP107" s="378"/>
      <c r="AQ107" s="378"/>
      <c r="AR107" s="378"/>
      <c r="AS107" s="378"/>
      <c r="AT107" s="378"/>
      <c r="AU107" s="378"/>
      <c r="AV107" s="378"/>
      <c r="AW107" s="378"/>
      <c r="AX107" s="378"/>
      <c r="AY107" s="378"/>
      <c r="AZ107" s="378"/>
    </row>
    <row r="108" spans="1:52" ht="15.75" x14ac:dyDescent="0.25">
      <c r="A108" s="45"/>
      <c r="B108" s="1569"/>
      <c r="C108" s="1570"/>
      <c r="D108" s="871"/>
      <c r="E108" s="72"/>
      <c r="F108" s="378"/>
      <c r="G108" s="378"/>
      <c r="H108" s="378"/>
      <c r="I108" s="378"/>
      <c r="J108" s="378"/>
      <c r="K108" s="709"/>
      <c r="L108" s="378"/>
      <c r="M108" s="378"/>
      <c r="N108" s="378"/>
      <c r="O108" s="378"/>
      <c r="P108" s="378"/>
      <c r="Q108" s="378"/>
      <c r="R108" s="378"/>
      <c r="S108" s="378"/>
      <c r="T108" s="378"/>
      <c r="U108" s="378"/>
      <c r="V108" s="378"/>
      <c r="W108" s="378"/>
      <c r="X108" s="378"/>
      <c r="Y108" s="378"/>
      <c r="Z108" s="378"/>
      <c r="AA108" s="378"/>
      <c r="AB108" s="378"/>
      <c r="AC108" s="378"/>
      <c r="AD108" s="378"/>
      <c r="AE108" s="378"/>
      <c r="AF108" s="378"/>
      <c r="AG108" s="378"/>
      <c r="AH108" s="378"/>
      <c r="AI108" s="378"/>
      <c r="AJ108" s="378"/>
      <c r="AK108" s="378"/>
      <c r="AL108" s="378"/>
      <c r="AM108" s="378"/>
      <c r="AN108" s="378"/>
      <c r="AO108" s="378"/>
      <c r="AP108" s="378"/>
      <c r="AQ108" s="378"/>
      <c r="AR108" s="378"/>
      <c r="AS108" s="378"/>
      <c r="AT108" s="378"/>
      <c r="AU108" s="378"/>
      <c r="AV108" s="378"/>
      <c r="AW108" s="378"/>
      <c r="AX108" s="378"/>
      <c r="AY108" s="378"/>
      <c r="AZ108" s="378"/>
    </row>
    <row r="109" spans="1:52" ht="15.75" x14ac:dyDescent="0.25">
      <c r="A109" s="45"/>
      <c r="B109" s="1569"/>
      <c r="C109" s="1570"/>
      <c r="D109" s="871"/>
      <c r="E109" s="72"/>
      <c r="F109" s="378"/>
      <c r="G109" s="378"/>
      <c r="H109" s="378"/>
      <c r="I109" s="378"/>
      <c r="J109" s="378"/>
      <c r="K109" s="709"/>
      <c r="L109" s="378"/>
      <c r="M109" s="378"/>
      <c r="N109" s="378"/>
      <c r="O109" s="378"/>
      <c r="P109" s="378"/>
      <c r="Q109" s="378"/>
      <c r="R109" s="378"/>
      <c r="S109" s="378"/>
      <c r="T109" s="378"/>
      <c r="U109" s="378"/>
      <c r="V109" s="378"/>
      <c r="W109" s="378"/>
      <c r="X109" s="378"/>
      <c r="Y109" s="378"/>
      <c r="Z109" s="378"/>
      <c r="AA109" s="378"/>
      <c r="AB109" s="378"/>
      <c r="AC109" s="378"/>
      <c r="AD109" s="378"/>
      <c r="AE109" s="378"/>
      <c r="AF109" s="378"/>
      <c r="AG109" s="378"/>
      <c r="AH109" s="378"/>
      <c r="AI109" s="378"/>
      <c r="AJ109" s="378"/>
      <c r="AK109" s="378"/>
      <c r="AL109" s="378"/>
      <c r="AM109" s="378"/>
      <c r="AN109" s="378"/>
      <c r="AO109" s="378"/>
      <c r="AP109" s="378"/>
      <c r="AQ109" s="378"/>
      <c r="AR109" s="378"/>
      <c r="AS109" s="378"/>
      <c r="AT109" s="378"/>
      <c r="AU109" s="378"/>
      <c r="AV109" s="378"/>
      <c r="AW109" s="378"/>
      <c r="AX109" s="378"/>
      <c r="AY109" s="378"/>
      <c r="AZ109" s="378"/>
    </row>
    <row r="110" spans="1:52" s="532" customFormat="1" ht="15.75" x14ac:dyDescent="0.25">
      <c r="A110" s="45"/>
      <c r="B110" s="378"/>
      <c r="C110" s="378"/>
      <c r="D110" s="378"/>
      <c r="E110" s="72"/>
      <c r="F110" s="378"/>
      <c r="G110" s="378"/>
      <c r="H110" s="378"/>
      <c r="I110" s="378"/>
      <c r="J110" s="378"/>
      <c r="K110" s="709"/>
      <c r="L110" s="378"/>
      <c r="M110" s="378"/>
      <c r="N110" s="378"/>
      <c r="O110" s="378"/>
      <c r="P110" s="378"/>
      <c r="Q110" s="378"/>
      <c r="R110" s="378"/>
      <c r="S110" s="378"/>
      <c r="T110" s="378"/>
      <c r="U110" s="378"/>
      <c r="V110" s="378"/>
      <c r="W110" s="378"/>
      <c r="X110" s="378"/>
      <c r="Y110" s="378"/>
      <c r="Z110" s="378"/>
      <c r="AA110" s="378"/>
      <c r="AB110" s="378"/>
      <c r="AC110" s="378"/>
      <c r="AD110" s="378"/>
      <c r="AE110" s="378"/>
      <c r="AF110" s="378"/>
      <c r="AG110" s="378"/>
      <c r="AH110" s="378"/>
      <c r="AI110" s="378"/>
      <c r="AJ110" s="378"/>
      <c r="AK110" s="378"/>
      <c r="AL110" s="378"/>
      <c r="AM110" s="378"/>
      <c r="AN110" s="378"/>
      <c r="AO110" s="378"/>
      <c r="AP110" s="378"/>
      <c r="AQ110" s="378"/>
      <c r="AR110" s="378"/>
      <c r="AS110" s="378"/>
      <c r="AT110" s="378"/>
      <c r="AU110" s="378"/>
      <c r="AV110" s="378"/>
      <c r="AW110" s="378"/>
      <c r="AX110" s="378"/>
      <c r="AY110" s="378"/>
      <c r="AZ110" s="378"/>
    </row>
    <row r="111" spans="1:52" ht="15.75" x14ac:dyDescent="0.25">
      <c r="A111" s="45"/>
      <c r="B111" s="54" t="s">
        <v>66</v>
      </c>
      <c r="C111" s="577"/>
      <c r="D111" s="52"/>
      <c r="E111" s="13"/>
      <c r="F111" s="3"/>
      <c r="G111" s="378"/>
      <c r="H111" s="378"/>
      <c r="I111" s="814"/>
      <c r="J111" s="814"/>
      <c r="K111" s="814"/>
      <c r="L111" s="55"/>
      <c r="M111" s="55"/>
      <c r="N111" s="55"/>
      <c r="O111" s="55"/>
      <c r="P111" s="55"/>
      <c r="Q111" s="55"/>
      <c r="R111" s="55"/>
      <c r="S111" s="38"/>
      <c r="T111" s="38"/>
      <c r="U111" s="378"/>
      <c r="V111" s="378"/>
      <c r="W111" s="378"/>
      <c r="X111" s="378"/>
      <c r="Y111" s="378"/>
      <c r="Z111" s="378"/>
      <c r="AA111" s="378"/>
      <c r="AB111" s="378"/>
      <c r="AC111" s="378"/>
      <c r="AD111" s="378"/>
      <c r="AE111" s="378"/>
      <c r="AF111" s="378"/>
      <c r="AG111" s="378"/>
      <c r="AH111" s="378"/>
      <c r="AI111" s="378"/>
      <c r="AJ111" s="378"/>
      <c r="AK111" s="378"/>
      <c r="AL111" s="378"/>
      <c r="AM111" s="378"/>
      <c r="AN111" s="378"/>
      <c r="AO111" s="378"/>
      <c r="AP111" s="378"/>
      <c r="AQ111" s="378"/>
      <c r="AR111" s="378"/>
      <c r="AS111" s="378"/>
      <c r="AT111" s="378"/>
      <c r="AU111" s="378"/>
      <c r="AV111" s="378"/>
      <c r="AW111" s="378"/>
      <c r="AX111" s="378"/>
      <c r="AY111" s="378"/>
      <c r="AZ111" s="378"/>
    </row>
    <row r="112" spans="1:52" ht="35.25" customHeight="1" x14ac:dyDescent="0.25">
      <c r="A112" s="45"/>
      <c r="B112" s="1585" t="s">
        <v>67</v>
      </c>
      <c r="C112" s="1586"/>
      <c r="D112" s="521" t="s">
        <v>68</v>
      </c>
      <c r="E112" s="756" t="s">
        <v>69</v>
      </c>
      <c r="F112" s="815" t="s">
        <v>70</v>
      </c>
      <c r="G112" s="13"/>
      <c r="H112" s="13"/>
      <c r="I112" s="13"/>
      <c r="J112" s="13"/>
      <c r="K112" s="13"/>
      <c r="L112" s="13" t="s">
        <v>71</v>
      </c>
      <c r="M112" s="13"/>
      <c r="N112" s="13"/>
      <c r="O112" s="13"/>
      <c r="P112" s="13"/>
      <c r="Q112" s="13"/>
      <c r="R112" s="13"/>
      <c r="S112" s="13"/>
      <c r="T112" s="13"/>
      <c r="U112" s="378"/>
      <c r="V112" s="378"/>
      <c r="W112" s="378"/>
      <c r="X112" s="378"/>
      <c r="Y112" s="378"/>
      <c r="Z112" s="378"/>
      <c r="AA112" s="378"/>
      <c r="AB112" s="378"/>
      <c r="AC112" s="378"/>
      <c r="AD112" s="378"/>
      <c r="AE112" s="378"/>
      <c r="AF112" s="378"/>
      <c r="AG112" s="378"/>
      <c r="AH112" s="378"/>
      <c r="AI112" s="378"/>
      <c r="AJ112" s="378"/>
      <c r="AK112" s="378"/>
      <c r="AL112" s="378"/>
      <c r="AM112" s="378"/>
      <c r="AN112" s="378"/>
      <c r="AO112" s="378"/>
      <c r="AP112" s="378"/>
      <c r="AQ112" s="378"/>
      <c r="AR112" s="378"/>
      <c r="AS112" s="378"/>
      <c r="AT112" s="378"/>
      <c r="AU112" s="378"/>
      <c r="AV112" s="378"/>
      <c r="AW112" s="378"/>
      <c r="AX112" s="378"/>
      <c r="AY112" s="378"/>
      <c r="AZ112" s="378"/>
    </row>
    <row r="113" spans="1:52" ht="15.75" x14ac:dyDescent="0.25">
      <c r="A113" s="45"/>
      <c r="B113" s="1558" t="s">
        <v>61</v>
      </c>
      <c r="C113" s="1558"/>
      <c r="D113" s="873">
        <f>SUM(D76:D82)</f>
        <v>0</v>
      </c>
      <c r="E113" s="755" t="e">
        <f>D113/'4 RELATÓRIO'!$G$11</f>
        <v>#DIV/0!</v>
      </c>
      <c r="F113" s="872">
        <f>+D113</f>
        <v>0</v>
      </c>
      <c r="G113" s="13"/>
      <c r="H113" s="13"/>
      <c r="I113" s="13"/>
      <c r="J113" s="13"/>
      <c r="K113" s="13"/>
      <c r="L113" s="13"/>
      <c r="M113" s="13"/>
      <c r="N113" s="13"/>
      <c r="O113" s="13"/>
      <c r="P113" s="13"/>
      <c r="Q113" s="13"/>
      <c r="R113" s="13"/>
      <c r="S113" s="13"/>
      <c r="T113" s="13"/>
      <c r="U113" s="378"/>
      <c r="V113" s="378"/>
      <c r="W113" s="378"/>
      <c r="X113" s="378"/>
      <c r="Y113" s="378"/>
      <c r="Z113" s="378"/>
      <c r="AA113" s="378"/>
      <c r="AB113" s="378"/>
      <c r="AC113" s="378"/>
      <c r="AD113" s="378"/>
      <c r="AE113" s="378"/>
      <c r="AF113" s="378"/>
      <c r="AG113" s="378"/>
      <c r="AH113" s="378"/>
      <c r="AI113" s="378"/>
      <c r="AJ113" s="378"/>
      <c r="AK113" s="378"/>
      <c r="AL113" s="378"/>
      <c r="AM113" s="378"/>
      <c r="AN113" s="378"/>
      <c r="AO113" s="378"/>
      <c r="AP113" s="378"/>
      <c r="AQ113" s="378"/>
      <c r="AR113" s="378"/>
      <c r="AS113" s="378"/>
      <c r="AT113" s="378"/>
      <c r="AU113" s="378"/>
      <c r="AV113" s="378"/>
      <c r="AW113" s="378"/>
      <c r="AX113" s="378"/>
      <c r="AY113" s="378"/>
      <c r="AZ113" s="378"/>
    </row>
    <row r="114" spans="1:52" ht="15.75" x14ac:dyDescent="0.25">
      <c r="A114" s="45"/>
      <c r="B114" s="1558" t="s">
        <v>72</v>
      </c>
      <c r="C114" s="1558"/>
      <c r="D114" s="873">
        <f>SUM(D86:D94)</f>
        <v>0</v>
      </c>
      <c r="E114" s="755" t="e">
        <f>D114/'4 RELATÓRIO'!$G$11</f>
        <v>#DIV/0!</v>
      </c>
      <c r="F114" s="872">
        <f>+D114</f>
        <v>0</v>
      </c>
      <c r="G114" s="13"/>
      <c r="H114" s="13"/>
      <c r="I114" s="13"/>
      <c r="J114" s="13"/>
      <c r="K114" s="13"/>
      <c r="L114" s="13"/>
      <c r="M114" s="13"/>
      <c r="N114" s="13"/>
      <c r="O114" s="13"/>
      <c r="P114" s="13"/>
      <c r="Q114" s="13"/>
      <c r="R114" s="13"/>
      <c r="S114" s="13"/>
      <c r="T114" s="13"/>
      <c r="U114" s="378"/>
      <c r="V114" s="378"/>
      <c r="W114" s="378"/>
      <c r="X114" s="378"/>
      <c r="Y114" s="378"/>
      <c r="Z114" s="378"/>
      <c r="AA114" s="378"/>
      <c r="AB114" s="378"/>
      <c r="AC114" s="378"/>
      <c r="AD114" s="378"/>
      <c r="AE114" s="378"/>
      <c r="AF114" s="378"/>
      <c r="AG114" s="378"/>
      <c r="AH114" s="378"/>
      <c r="AI114" s="378"/>
      <c r="AJ114" s="378"/>
      <c r="AK114" s="378"/>
      <c r="AL114" s="378"/>
      <c r="AM114" s="378"/>
      <c r="AN114" s="378"/>
      <c r="AO114" s="378"/>
      <c r="AP114" s="378"/>
      <c r="AQ114" s="378"/>
      <c r="AR114" s="378"/>
      <c r="AS114" s="378"/>
      <c r="AT114" s="378"/>
      <c r="AU114" s="378"/>
      <c r="AV114" s="378"/>
      <c r="AW114" s="378"/>
      <c r="AX114" s="378"/>
      <c r="AY114" s="378"/>
      <c r="AZ114" s="378"/>
    </row>
    <row r="115" spans="1:52" ht="15.75" x14ac:dyDescent="0.25">
      <c r="A115" s="45"/>
      <c r="B115" s="1558" t="s">
        <v>64</v>
      </c>
      <c r="C115" s="1558"/>
      <c r="D115" s="873">
        <f>SUM(D98:D102)</f>
        <v>0</v>
      </c>
      <c r="E115" s="755" t="e">
        <f>D115/'4 RELATÓRIO'!$G$11</f>
        <v>#DIV/0!</v>
      </c>
      <c r="F115" s="872">
        <f>+D115</f>
        <v>0</v>
      </c>
      <c r="G115" s="13"/>
      <c r="H115" s="13"/>
      <c r="I115" s="13"/>
      <c r="J115" s="13"/>
      <c r="K115" s="13"/>
      <c r="L115" s="13"/>
      <c r="M115" s="13"/>
      <c r="N115" s="13"/>
      <c r="O115" s="13"/>
      <c r="P115" s="13"/>
      <c r="Q115" s="13"/>
      <c r="R115" s="13"/>
      <c r="S115" s="13"/>
      <c r="T115" s="13"/>
      <c r="U115" s="378"/>
      <c r="V115" s="378"/>
      <c r="W115" s="378"/>
      <c r="X115" s="378"/>
      <c r="Y115" s="378"/>
      <c r="Z115" s="378"/>
      <c r="AA115" s="378"/>
      <c r="AB115" s="378"/>
      <c r="AC115" s="378"/>
      <c r="AD115" s="378"/>
      <c r="AE115" s="378"/>
      <c r="AF115" s="378"/>
      <c r="AG115" s="378"/>
      <c r="AH115" s="378"/>
      <c r="AI115" s="378"/>
      <c r="AJ115" s="378"/>
      <c r="AK115" s="378"/>
      <c r="AL115" s="378"/>
      <c r="AM115" s="378"/>
      <c r="AN115" s="378"/>
      <c r="AO115" s="378"/>
      <c r="AP115" s="378"/>
      <c r="AQ115" s="378"/>
      <c r="AR115" s="378"/>
      <c r="AS115" s="378"/>
      <c r="AT115" s="378"/>
      <c r="AU115" s="378"/>
      <c r="AV115" s="378"/>
      <c r="AW115" s="378"/>
      <c r="AX115" s="378"/>
      <c r="AY115" s="378"/>
      <c r="AZ115" s="378"/>
    </row>
    <row r="116" spans="1:52" ht="15.75" x14ac:dyDescent="0.25">
      <c r="A116" s="45"/>
      <c r="B116" s="1558" t="s">
        <v>73</v>
      </c>
      <c r="C116" s="1558"/>
      <c r="D116" s="873">
        <f>SUM(D106:D109)</f>
        <v>0</v>
      </c>
      <c r="E116" s="755" t="e">
        <f>D116/'4 RELATÓRIO'!$G$11</f>
        <v>#DIV/0!</v>
      </c>
      <c r="F116" s="872">
        <f t="shared" ref="F116:F121" si="0">+D116</f>
        <v>0</v>
      </c>
      <c r="G116" s="13"/>
      <c r="H116" s="13"/>
      <c r="I116" s="13"/>
      <c r="J116" s="13"/>
      <c r="K116" s="13"/>
      <c r="L116" s="13"/>
      <c r="M116" s="13"/>
      <c r="N116" s="13"/>
      <c r="O116" s="13"/>
      <c r="P116" s="13"/>
      <c r="Q116" s="13"/>
      <c r="R116" s="13"/>
      <c r="S116" s="13"/>
      <c r="T116" s="13"/>
      <c r="U116" s="378"/>
      <c r="V116" s="378"/>
      <c r="W116" s="378"/>
      <c r="X116" s="378"/>
      <c r="Y116" s="378"/>
      <c r="Z116" s="378"/>
      <c r="AA116" s="378"/>
      <c r="AB116" s="378"/>
      <c r="AC116" s="378"/>
      <c r="AD116" s="378"/>
      <c r="AE116" s="378"/>
      <c r="AF116" s="378"/>
      <c r="AG116" s="378"/>
      <c r="AH116" s="378"/>
      <c r="AI116" s="378"/>
      <c r="AJ116" s="378"/>
      <c r="AK116" s="378"/>
      <c r="AL116" s="378"/>
      <c r="AM116" s="378"/>
      <c r="AN116" s="378"/>
      <c r="AO116" s="378"/>
      <c r="AP116" s="378"/>
      <c r="AQ116" s="378"/>
      <c r="AR116" s="378"/>
      <c r="AS116" s="378"/>
      <c r="AT116" s="378"/>
      <c r="AU116" s="378"/>
      <c r="AV116" s="378"/>
      <c r="AW116" s="378"/>
      <c r="AX116" s="378"/>
      <c r="AY116" s="378"/>
      <c r="AZ116" s="378"/>
    </row>
    <row r="117" spans="1:52" ht="15.75" x14ac:dyDescent="0.25">
      <c r="A117" s="45"/>
      <c r="B117" s="1583" t="s">
        <v>74</v>
      </c>
      <c r="C117" s="1584"/>
      <c r="D117" s="1342"/>
      <c r="E117" s="755" t="e">
        <f>D117/'4 RELATÓRIO'!$G$11</f>
        <v>#DIV/0!</v>
      </c>
      <c r="F117" s="872">
        <f t="shared" si="0"/>
        <v>0</v>
      </c>
      <c r="G117" s="13"/>
      <c r="H117" s="13"/>
      <c r="I117" s="13"/>
      <c r="J117" s="13"/>
      <c r="K117" s="13"/>
      <c r="L117" s="13"/>
      <c r="M117" s="13"/>
      <c r="N117" s="13"/>
      <c r="O117" s="13"/>
      <c r="P117" s="13"/>
      <c r="Q117" s="13"/>
      <c r="R117" s="13"/>
      <c r="S117" s="13"/>
      <c r="T117" s="13"/>
      <c r="U117" s="378"/>
      <c r="V117" s="378"/>
      <c r="W117" s="378"/>
      <c r="X117" s="378"/>
      <c r="Y117" s="378"/>
      <c r="Z117" s="378"/>
      <c r="AA117" s="378"/>
      <c r="AB117" s="378"/>
      <c r="AC117" s="378"/>
      <c r="AD117" s="378"/>
      <c r="AE117" s="378"/>
      <c r="AF117" s="378"/>
      <c r="AG117" s="378"/>
      <c r="AH117" s="378"/>
      <c r="AI117" s="378"/>
      <c r="AJ117" s="378"/>
      <c r="AK117" s="378"/>
      <c r="AL117" s="378"/>
      <c r="AM117" s="378"/>
      <c r="AN117" s="378"/>
      <c r="AO117" s="378"/>
      <c r="AP117" s="378"/>
      <c r="AQ117" s="378"/>
      <c r="AR117" s="378"/>
      <c r="AS117" s="378"/>
      <c r="AT117" s="378"/>
      <c r="AU117" s="378"/>
      <c r="AV117" s="378"/>
      <c r="AW117" s="378"/>
      <c r="AX117" s="378"/>
      <c r="AY117" s="378"/>
      <c r="AZ117" s="378"/>
    </row>
    <row r="118" spans="1:52" ht="15.75" x14ac:dyDescent="0.25">
      <c r="A118" s="45"/>
      <c r="B118" s="1558" t="s">
        <v>75</v>
      </c>
      <c r="C118" s="1558"/>
      <c r="D118" s="1342"/>
      <c r="E118" s="755" t="e">
        <f>D118/'4 RELATÓRIO'!$G$11</f>
        <v>#DIV/0!</v>
      </c>
      <c r="F118" s="872">
        <f t="shared" si="0"/>
        <v>0</v>
      </c>
      <c r="G118" s="13"/>
      <c r="H118" s="13"/>
      <c r="I118" s="13"/>
      <c r="J118" s="13"/>
      <c r="K118" s="13"/>
      <c r="L118" s="13"/>
      <c r="M118" s="13"/>
      <c r="N118" s="13"/>
      <c r="O118" s="13"/>
      <c r="P118" s="13"/>
      <c r="Q118" s="13"/>
      <c r="R118" s="13"/>
      <c r="S118" s="13"/>
      <c r="T118" s="13"/>
      <c r="U118" s="378"/>
      <c r="V118" s="378"/>
      <c r="W118" s="378"/>
      <c r="X118" s="378"/>
      <c r="Y118" s="378"/>
      <c r="Z118" s="378"/>
      <c r="AA118" s="378"/>
      <c r="AB118" s="378"/>
      <c r="AC118" s="378"/>
      <c r="AD118" s="378"/>
      <c r="AE118" s="378"/>
      <c r="AF118" s="378"/>
      <c r="AG118" s="378"/>
      <c r="AH118" s="378"/>
      <c r="AI118" s="378"/>
      <c r="AJ118" s="378"/>
      <c r="AK118" s="378"/>
      <c r="AL118" s="378"/>
      <c r="AM118" s="378"/>
      <c r="AN118" s="378"/>
      <c r="AO118" s="378"/>
      <c r="AP118" s="378"/>
      <c r="AQ118" s="378"/>
      <c r="AR118" s="378"/>
      <c r="AS118" s="378"/>
      <c r="AT118" s="378"/>
      <c r="AU118" s="378"/>
      <c r="AV118" s="378"/>
      <c r="AW118" s="378"/>
      <c r="AX118" s="378"/>
      <c r="AY118" s="378"/>
      <c r="AZ118" s="378"/>
    </row>
    <row r="119" spans="1:52" ht="15.75" x14ac:dyDescent="0.25">
      <c r="A119" s="45"/>
      <c r="B119" s="1558" t="s">
        <v>76</v>
      </c>
      <c r="C119" s="1558"/>
      <c r="D119" s="1342"/>
      <c r="E119" s="755" t="e">
        <f>D119/'4 RELATÓRIO'!$G$11</f>
        <v>#DIV/0!</v>
      </c>
      <c r="F119" s="872">
        <f t="shared" si="0"/>
        <v>0</v>
      </c>
      <c r="G119" s="13"/>
      <c r="H119" s="13"/>
      <c r="I119" s="13"/>
      <c r="J119" s="13"/>
      <c r="K119" s="13"/>
      <c r="L119" s="13"/>
      <c r="M119" s="13"/>
      <c r="N119" s="13"/>
      <c r="O119" s="13"/>
      <c r="P119" s="13"/>
      <c r="Q119" s="13"/>
      <c r="R119" s="13"/>
      <c r="S119" s="13"/>
      <c r="T119" s="13"/>
      <c r="U119" s="378"/>
      <c r="V119" s="378"/>
      <c r="W119" s="378"/>
      <c r="X119" s="378"/>
      <c r="Y119" s="378"/>
      <c r="Z119" s="378"/>
      <c r="AA119" s="378"/>
      <c r="AB119" s="378"/>
      <c r="AC119" s="378"/>
      <c r="AD119" s="378"/>
      <c r="AE119" s="378"/>
      <c r="AF119" s="378"/>
      <c r="AG119" s="378"/>
      <c r="AH119" s="378"/>
      <c r="AI119" s="378"/>
      <c r="AJ119" s="378"/>
      <c r="AK119" s="378"/>
      <c r="AL119" s="378"/>
      <c r="AM119" s="378"/>
      <c r="AN119" s="378"/>
      <c r="AO119" s="378"/>
      <c r="AP119" s="378"/>
      <c r="AQ119" s="378"/>
      <c r="AR119" s="378"/>
      <c r="AS119" s="378"/>
      <c r="AT119" s="378"/>
      <c r="AU119" s="378"/>
      <c r="AV119" s="378"/>
      <c r="AW119" s="378"/>
      <c r="AX119" s="378"/>
      <c r="AY119" s="378"/>
      <c r="AZ119" s="378"/>
    </row>
    <row r="120" spans="1:52" ht="15.75" x14ac:dyDescent="0.25">
      <c r="A120" s="45"/>
      <c r="B120" s="1558" t="s">
        <v>77</v>
      </c>
      <c r="C120" s="1558"/>
      <c r="D120" s="1342"/>
      <c r="E120" s="755" t="e">
        <f>D120/'4 RELATÓRIO'!$G$11</f>
        <v>#DIV/0!</v>
      </c>
      <c r="F120" s="872">
        <f t="shared" si="0"/>
        <v>0</v>
      </c>
      <c r="G120" s="13"/>
      <c r="H120" s="13"/>
      <c r="I120" s="13"/>
      <c r="J120" s="13"/>
      <c r="K120" s="13"/>
      <c r="L120" s="13"/>
      <c r="M120" s="13"/>
      <c r="N120" s="13"/>
      <c r="O120" s="13"/>
      <c r="P120" s="13"/>
      <c r="Q120" s="13"/>
      <c r="R120" s="13"/>
      <c r="S120" s="13"/>
      <c r="T120" s="13"/>
      <c r="U120" s="378"/>
      <c r="V120" s="378"/>
      <c r="W120" s="378"/>
      <c r="X120" s="378"/>
      <c r="Y120" s="378"/>
      <c r="Z120" s="378"/>
      <c r="AA120" s="378"/>
      <c r="AB120" s="378"/>
      <c r="AC120" s="378"/>
      <c r="AD120" s="378"/>
      <c r="AE120" s="378"/>
      <c r="AF120" s="378"/>
      <c r="AG120" s="378"/>
      <c r="AH120" s="378"/>
      <c r="AI120" s="378"/>
      <c r="AJ120" s="378"/>
      <c r="AK120" s="378"/>
      <c r="AL120" s="378"/>
      <c r="AM120" s="378"/>
      <c r="AN120" s="378"/>
      <c r="AO120" s="378"/>
      <c r="AP120" s="378"/>
      <c r="AQ120" s="378"/>
      <c r="AR120" s="378"/>
      <c r="AS120" s="378"/>
      <c r="AT120" s="378"/>
      <c r="AU120" s="378"/>
      <c r="AV120" s="378"/>
      <c r="AW120" s="378"/>
      <c r="AX120" s="378"/>
      <c r="AY120" s="378"/>
      <c r="AZ120" s="378"/>
    </row>
    <row r="121" spans="1:52" ht="15.75" x14ac:dyDescent="0.25">
      <c r="A121" s="45"/>
      <c r="B121" s="1583" t="s">
        <v>78</v>
      </c>
      <c r="C121" s="1584"/>
      <c r="D121" s="1342"/>
      <c r="E121" s="755" t="e">
        <f>D121/'4 RELATÓRIO'!$G$11</f>
        <v>#DIV/0!</v>
      </c>
      <c r="F121" s="872">
        <f t="shared" si="0"/>
        <v>0</v>
      </c>
      <c r="G121" s="13"/>
      <c r="H121" s="13"/>
      <c r="I121" s="13"/>
      <c r="J121" s="13"/>
      <c r="K121" s="13"/>
      <c r="L121" s="13"/>
      <c r="M121" s="13"/>
      <c r="N121" s="13"/>
      <c r="O121" s="13"/>
      <c r="P121" s="13"/>
      <c r="Q121" s="13"/>
      <c r="R121" s="13"/>
      <c r="S121" s="13"/>
      <c r="T121" s="13"/>
      <c r="U121" s="378"/>
      <c r="V121" s="378"/>
      <c r="W121" s="378"/>
      <c r="X121" s="378"/>
      <c r="Y121" s="378"/>
      <c r="Z121" s="378"/>
      <c r="AA121" s="378"/>
      <c r="AB121" s="378"/>
      <c r="AC121" s="378"/>
      <c r="AD121" s="378"/>
      <c r="AE121" s="378"/>
      <c r="AF121" s="378"/>
      <c r="AG121" s="378"/>
      <c r="AH121" s="378"/>
      <c r="AI121" s="378"/>
      <c r="AJ121" s="378"/>
      <c r="AK121" s="378"/>
      <c r="AL121" s="378"/>
      <c r="AM121" s="378"/>
      <c r="AN121" s="378"/>
      <c r="AO121" s="378"/>
      <c r="AP121" s="378"/>
      <c r="AQ121" s="378"/>
      <c r="AR121" s="378"/>
      <c r="AS121" s="378"/>
      <c r="AT121" s="378"/>
      <c r="AU121" s="378"/>
      <c r="AV121" s="378"/>
      <c r="AW121" s="378"/>
      <c r="AX121" s="378"/>
      <c r="AY121" s="378"/>
      <c r="AZ121" s="378"/>
    </row>
    <row r="122" spans="1:52" x14ac:dyDescent="0.25">
      <c r="A122" s="45"/>
      <c r="B122" s="1570"/>
      <c r="C122" s="1601"/>
      <c r="D122" s="378"/>
      <c r="E122" s="378"/>
      <c r="F122" s="13"/>
      <c r="G122" s="13"/>
      <c r="H122" s="13"/>
      <c r="I122" s="13"/>
      <c r="J122" s="13"/>
      <c r="K122" s="13"/>
      <c r="L122" s="13"/>
      <c r="M122" s="13"/>
      <c r="N122" s="13"/>
      <c r="O122" s="13"/>
      <c r="P122" s="13"/>
      <c r="Q122" s="13"/>
      <c r="R122" s="13"/>
      <c r="S122" s="13"/>
      <c r="T122" s="13"/>
      <c r="U122" s="378"/>
      <c r="V122" s="378"/>
      <c r="W122" s="378"/>
      <c r="X122" s="378"/>
      <c r="Y122" s="378"/>
      <c r="Z122" s="378"/>
      <c r="AA122" s="378"/>
      <c r="AB122" s="378"/>
      <c r="AC122" s="378"/>
      <c r="AD122" s="378"/>
      <c r="AE122" s="378"/>
      <c r="AF122" s="378"/>
      <c r="AG122" s="378"/>
      <c r="AH122" s="378"/>
      <c r="AI122" s="378"/>
      <c r="AJ122" s="378"/>
      <c r="AK122" s="378"/>
      <c r="AL122" s="378"/>
      <c r="AM122" s="378"/>
      <c r="AN122" s="378"/>
      <c r="AO122" s="378"/>
      <c r="AP122" s="378"/>
      <c r="AQ122" s="378"/>
      <c r="AR122" s="378"/>
      <c r="AS122" s="378"/>
      <c r="AT122" s="378"/>
      <c r="AU122" s="378"/>
      <c r="AV122" s="378"/>
      <c r="AW122" s="378"/>
      <c r="AX122" s="378"/>
      <c r="AY122" s="378"/>
      <c r="AZ122" s="378"/>
    </row>
    <row r="123" spans="1:52" ht="17.25" customHeight="1" x14ac:dyDescent="0.25">
      <c r="A123" s="45"/>
      <c r="B123" s="1636" t="s">
        <v>79</v>
      </c>
      <c r="C123" s="1636"/>
      <c r="D123" s="591">
        <f>SUM(D113:D121)</f>
        <v>0</v>
      </c>
      <c r="E123" s="398" t="e">
        <f>D123/'4 RELATÓRIO'!G11</f>
        <v>#DIV/0!</v>
      </c>
      <c r="F123" s="591">
        <f>SUM(F113:F121)</f>
        <v>0</v>
      </c>
      <c r="G123" s="13"/>
      <c r="H123" s="13"/>
      <c r="I123" s="13"/>
      <c r="J123" s="13"/>
      <c r="K123" s="13"/>
      <c r="L123" s="13"/>
      <c r="M123" s="13"/>
      <c r="N123" s="13"/>
      <c r="O123" s="13"/>
      <c r="P123" s="13"/>
      <c r="Q123" s="13"/>
      <c r="R123" s="13"/>
      <c r="S123" s="13"/>
      <c r="T123" s="13"/>
      <c r="U123" s="378"/>
      <c r="V123" s="378"/>
      <c r="W123" s="378"/>
      <c r="X123" s="378"/>
      <c r="Y123" s="378"/>
      <c r="Z123" s="378"/>
      <c r="AA123" s="378"/>
      <c r="AB123" s="378"/>
      <c r="AC123" s="378"/>
      <c r="AD123" s="378"/>
      <c r="AE123" s="378"/>
      <c r="AF123" s="378"/>
      <c r="AG123" s="378"/>
      <c r="AH123" s="378"/>
      <c r="AI123" s="378"/>
      <c r="AJ123" s="378"/>
      <c r="AK123" s="378"/>
      <c r="AL123" s="378"/>
      <c r="AM123" s="378"/>
      <c r="AN123" s="378"/>
      <c r="AO123" s="378"/>
      <c r="AP123" s="378"/>
      <c r="AQ123" s="378"/>
      <c r="AR123" s="378"/>
      <c r="AS123" s="378"/>
      <c r="AT123" s="378"/>
      <c r="AU123" s="378"/>
      <c r="AV123" s="378"/>
      <c r="AW123" s="378"/>
      <c r="AX123" s="378"/>
      <c r="AY123" s="378"/>
      <c r="AZ123" s="378"/>
    </row>
    <row r="124" spans="1:52" s="532" customFormat="1" ht="13.5" customHeight="1" x14ac:dyDescent="0.25">
      <c r="A124" s="45"/>
      <c r="B124" s="860"/>
      <c r="C124" s="860"/>
      <c r="D124" s="591"/>
      <c r="E124" s="398"/>
      <c r="F124" s="591"/>
      <c r="G124" s="13"/>
      <c r="H124" s="13"/>
      <c r="I124" s="13"/>
      <c r="J124" s="13"/>
      <c r="K124" s="13"/>
      <c r="L124" s="13"/>
      <c r="M124" s="13"/>
      <c r="N124" s="13"/>
      <c r="O124" s="13"/>
      <c r="P124" s="13"/>
      <c r="Q124" s="13"/>
      <c r="R124" s="13"/>
      <c r="S124" s="13"/>
      <c r="T124" s="13"/>
      <c r="U124" s="378"/>
      <c r="V124" s="378"/>
      <c r="W124" s="378"/>
      <c r="X124" s="378"/>
      <c r="Y124" s="378"/>
      <c r="Z124" s="378"/>
      <c r="AA124" s="378"/>
      <c r="AB124" s="378"/>
      <c r="AC124" s="378"/>
      <c r="AD124" s="378"/>
      <c r="AE124" s="378"/>
      <c r="AF124" s="378"/>
      <c r="AG124" s="378"/>
      <c r="AH124" s="378"/>
      <c r="AI124" s="378"/>
      <c r="AJ124" s="378"/>
      <c r="AK124" s="378"/>
      <c r="AL124" s="378"/>
      <c r="AM124" s="378"/>
      <c r="AN124" s="378"/>
      <c r="AO124" s="378"/>
      <c r="AP124" s="378"/>
      <c r="AQ124" s="378"/>
      <c r="AR124" s="378"/>
      <c r="AS124" s="378"/>
      <c r="AT124" s="378"/>
      <c r="AU124" s="378"/>
      <c r="AV124" s="378"/>
      <c r="AW124" s="378"/>
      <c r="AX124" s="378"/>
      <c r="AY124" s="378"/>
      <c r="AZ124" s="378"/>
    </row>
    <row r="125" spans="1:52" s="532" customFormat="1" ht="15.75" customHeight="1" x14ac:dyDescent="0.25">
      <c r="A125" s="45"/>
      <c r="B125" s="54" t="s">
        <v>80</v>
      </c>
      <c r="C125" s="13"/>
      <c r="D125" s="591"/>
      <c r="E125" s="398"/>
      <c r="F125" s="338"/>
      <c r="G125" s="378"/>
      <c r="H125" s="378"/>
      <c r="I125" s="378"/>
      <c r="J125" s="378"/>
      <c r="K125" s="378"/>
      <c r="L125" s="13"/>
      <c r="M125" s="13"/>
      <c r="N125" s="13"/>
      <c r="O125" s="13"/>
      <c r="P125" s="13"/>
      <c r="Q125" s="13"/>
      <c r="R125" s="13"/>
      <c r="S125" s="13"/>
      <c r="T125" s="13"/>
      <c r="U125" s="378"/>
      <c r="V125" s="378"/>
      <c r="W125" s="378"/>
      <c r="X125" s="378"/>
      <c r="Y125" s="378"/>
      <c r="Z125" s="378"/>
      <c r="AA125" s="378"/>
      <c r="AB125" s="378"/>
      <c r="AC125" s="378"/>
      <c r="AD125" s="378"/>
      <c r="AE125" s="378"/>
      <c r="AF125" s="378"/>
      <c r="AG125" s="378"/>
      <c r="AH125" s="378"/>
      <c r="AI125" s="378"/>
      <c r="AJ125" s="378"/>
      <c r="AK125" s="378"/>
      <c r="AL125" s="378"/>
      <c r="AM125" s="378"/>
      <c r="AN125" s="378"/>
      <c r="AO125" s="378"/>
      <c r="AP125" s="378"/>
      <c r="AQ125" s="378"/>
      <c r="AR125" s="378"/>
      <c r="AS125" s="378"/>
      <c r="AT125" s="378"/>
      <c r="AU125" s="378"/>
      <c r="AV125" s="378"/>
      <c r="AW125" s="378"/>
      <c r="AX125" s="378"/>
      <c r="AY125" s="378"/>
      <c r="AZ125" s="378"/>
    </row>
    <row r="126" spans="1:52" ht="15.75" customHeight="1" x14ac:dyDescent="0.25">
      <c r="A126" s="45"/>
      <c r="B126" s="1582" t="s">
        <v>81</v>
      </c>
      <c r="C126" s="1582"/>
      <c r="D126" s="1582"/>
      <c r="E126" s="1582"/>
      <c r="F126" s="1582"/>
      <c r="G126" s="1582"/>
      <c r="H126" s="1582"/>
      <c r="I126" s="812"/>
      <c r="J126" s="812"/>
      <c r="K126" s="813"/>
      <c r="L126" s="13"/>
      <c r="M126" s="13"/>
      <c r="N126" s="13"/>
      <c r="O126" s="13"/>
      <c r="P126" s="13"/>
      <c r="Q126" s="13"/>
      <c r="R126" s="13"/>
      <c r="S126" s="13"/>
      <c r="T126" s="13"/>
      <c r="U126" s="378"/>
      <c r="V126" s="378"/>
      <c r="W126" s="378"/>
      <c r="X126" s="378"/>
      <c r="Y126" s="378"/>
      <c r="Z126" s="378"/>
      <c r="AA126" s="378"/>
      <c r="AB126" s="378"/>
      <c r="AC126" s="378"/>
      <c r="AD126" s="378"/>
      <c r="AE126" s="378"/>
      <c r="AF126" s="378"/>
      <c r="AG126" s="378"/>
      <c r="AH126" s="378"/>
      <c r="AI126" s="378"/>
      <c r="AJ126" s="378"/>
      <c r="AK126" s="378"/>
      <c r="AL126" s="378"/>
      <c r="AM126" s="378"/>
      <c r="AN126" s="378"/>
      <c r="AO126" s="378"/>
      <c r="AP126" s="378"/>
      <c r="AQ126" s="378"/>
      <c r="AR126" s="378"/>
      <c r="AS126" s="378"/>
      <c r="AT126" s="378"/>
      <c r="AU126" s="378"/>
      <c r="AV126" s="378"/>
      <c r="AW126" s="378"/>
      <c r="AX126" s="378"/>
      <c r="AY126" s="378"/>
      <c r="AZ126" s="378"/>
    </row>
    <row r="127" spans="1:52" s="532" customFormat="1" ht="15.75" customHeight="1" x14ac:dyDescent="0.25">
      <c r="A127" s="45"/>
      <c r="B127" s="1506"/>
      <c r="C127" s="1506"/>
      <c r="D127" s="1506"/>
      <c r="E127" s="1506"/>
      <c r="F127" s="1506"/>
      <c r="G127" s="1506"/>
      <c r="H127" s="1506"/>
      <c r="I127" s="812"/>
      <c r="J127" s="812"/>
      <c r="K127" s="813"/>
      <c r="L127" s="13"/>
      <c r="M127" s="13"/>
      <c r="N127" s="13"/>
      <c r="O127" s="13"/>
      <c r="P127" s="13"/>
      <c r="Q127" s="13"/>
      <c r="R127" s="13"/>
      <c r="S127" s="13"/>
      <c r="T127" s="13"/>
      <c r="U127" s="378"/>
      <c r="V127" s="378"/>
      <c r="W127" s="378"/>
      <c r="X127" s="378"/>
      <c r="Y127" s="378"/>
      <c r="Z127" s="378"/>
      <c r="AA127" s="378"/>
      <c r="AB127" s="378"/>
      <c r="AC127" s="378"/>
      <c r="AD127" s="378"/>
      <c r="AE127" s="378"/>
      <c r="AF127" s="378"/>
      <c r="AG127" s="378"/>
      <c r="AH127" s="378"/>
      <c r="AI127" s="378"/>
      <c r="AJ127" s="378"/>
      <c r="AK127" s="378"/>
      <c r="AL127" s="378"/>
      <c r="AM127" s="378"/>
      <c r="AN127" s="378"/>
      <c r="AO127" s="378"/>
      <c r="AP127" s="378"/>
      <c r="AQ127" s="378"/>
      <c r="AR127" s="378"/>
      <c r="AS127" s="378"/>
      <c r="AT127" s="378"/>
      <c r="AU127" s="378"/>
      <c r="AV127" s="378"/>
      <c r="AW127" s="378"/>
      <c r="AX127" s="378"/>
      <c r="AY127" s="378"/>
      <c r="AZ127" s="378"/>
    </row>
    <row r="128" spans="1:52" s="532" customFormat="1" ht="15.75" customHeight="1" x14ac:dyDescent="0.25">
      <c r="A128" s="582">
        <v>11</v>
      </c>
      <c r="B128" s="1595" t="s">
        <v>82</v>
      </c>
      <c r="C128" s="1595"/>
      <c r="D128" s="1595"/>
      <c r="E128" s="1595"/>
      <c r="F128" s="1595"/>
      <c r="G128" s="1595"/>
      <c r="H128" s="1595"/>
      <c r="I128" s="1595"/>
      <c r="J128" s="1595"/>
      <c r="K128" s="13"/>
      <c r="L128" s="13"/>
      <c r="M128" s="13"/>
      <c r="N128" s="13"/>
      <c r="O128" s="13"/>
      <c r="P128" s="13"/>
      <c r="Q128" s="13"/>
      <c r="R128" s="13"/>
      <c r="S128" s="13"/>
      <c r="T128" s="13"/>
      <c r="U128" s="378"/>
      <c r="V128" s="378"/>
      <c r="W128" s="378"/>
      <c r="X128" s="378"/>
      <c r="Y128" s="378"/>
      <c r="Z128" s="378"/>
      <c r="AA128" s="378"/>
      <c r="AB128" s="378"/>
      <c r="AC128" s="378"/>
      <c r="AD128" s="378"/>
      <c r="AE128" s="378"/>
      <c r="AF128" s="378"/>
      <c r="AG128" s="378"/>
      <c r="AH128" s="378"/>
      <c r="AI128" s="378"/>
      <c r="AJ128" s="378"/>
      <c r="AK128" s="378"/>
      <c r="AL128" s="378"/>
      <c r="AM128" s="378"/>
      <c r="AN128" s="378"/>
      <c r="AO128" s="378"/>
      <c r="AP128" s="378"/>
      <c r="AQ128" s="378"/>
      <c r="AR128" s="378"/>
      <c r="AS128" s="378"/>
      <c r="AT128" s="378"/>
      <c r="AU128" s="378"/>
      <c r="AV128" s="378"/>
      <c r="AW128" s="378"/>
      <c r="AX128" s="378"/>
      <c r="AY128" s="378"/>
      <c r="AZ128" s="378"/>
    </row>
    <row r="129" spans="1:52" s="532" customFormat="1" ht="9" customHeight="1" x14ac:dyDescent="0.25">
      <c r="A129" s="589"/>
      <c r="B129" s="1508"/>
      <c r="C129" s="1508"/>
      <c r="D129" s="1508"/>
      <c r="E129" s="1508"/>
      <c r="F129" s="1508"/>
      <c r="G129" s="1508"/>
      <c r="H129" s="1508"/>
      <c r="I129" s="13"/>
      <c r="J129" s="13"/>
      <c r="K129" s="13"/>
      <c r="L129" s="13"/>
      <c r="M129" s="13"/>
      <c r="N129" s="13"/>
      <c r="O129" s="13"/>
      <c r="P129" s="13"/>
      <c r="Q129" s="13"/>
      <c r="R129" s="13"/>
      <c r="S129" s="13"/>
      <c r="T129" s="13"/>
      <c r="U129" s="378"/>
      <c r="V129" s="378"/>
      <c r="W129" s="378"/>
      <c r="X129" s="378"/>
      <c r="Y129" s="378"/>
      <c r="Z129" s="378"/>
      <c r="AA129" s="378"/>
      <c r="AB129" s="378"/>
      <c r="AC129" s="378"/>
      <c r="AD129" s="378"/>
      <c r="AE129" s="378"/>
      <c r="AF129" s="378"/>
      <c r="AG129" s="378"/>
      <c r="AH129" s="378"/>
      <c r="AI129" s="378"/>
      <c r="AJ129" s="378"/>
      <c r="AK129" s="378"/>
      <c r="AL129" s="378"/>
      <c r="AM129" s="378"/>
      <c r="AN129" s="378"/>
      <c r="AO129" s="378"/>
      <c r="AP129" s="378"/>
      <c r="AQ129" s="378"/>
      <c r="AR129" s="378"/>
      <c r="AS129" s="378"/>
      <c r="AT129" s="378"/>
      <c r="AU129" s="378"/>
      <c r="AV129" s="378"/>
      <c r="AW129" s="378"/>
      <c r="AX129" s="378"/>
      <c r="AY129" s="378"/>
      <c r="AZ129" s="378"/>
    </row>
    <row r="130" spans="1:52" ht="15.75" x14ac:dyDescent="0.25">
      <c r="A130" s="532"/>
      <c r="B130" s="30" t="s">
        <v>83</v>
      </c>
      <c r="C130" s="13"/>
      <c r="D130" s="13"/>
      <c r="E130" s="13"/>
      <c r="F130" s="13"/>
      <c r="G130" s="13"/>
      <c r="H130" s="13"/>
      <c r="I130" s="13"/>
      <c r="J130" s="30"/>
      <c r="K130" s="13"/>
      <c r="L130" s="13"/>
      <c r="M130" s="13"/>
      <c r="N130" s="13"/>
      <c r="O130" s="13"/>
      <c r="P130" s="13"/>
      <c r="Q130" s="13"/>
      <c r="R130" s="13"/>
      <c r="S130" s="13"/>
      <c r="T130" s="13"/>
      <c r="U130" s="378"/>
      <c r="V130" s="378"/>
      <c r="W130" s="378"/>
      <c r="X130" s="378"/>
      <c r="Y130" s="378"/>
      <c r="Z130" s="378"/>
      <c r="AA130" s="378"/>
      <c r="AB130" s="378"/>
      <c r="AC130" s="378"/>
      <c r="AD130" s="378"/>
      <c r="AE130" s="378"/>
      <c r="AF130" s="378"/>
      <c r="AG130" s="378"/>
      <c r="AH130" s="378"/>
      <c r="AI130" s="378"/>
      <c r="AJ130" s="378"/>
      <c r="AK130" s="378"/>
      <c r="AL130" s="378"/>
      <c r="AM130" s="378"/>
      <c r="AN130" s="378"/>
      <c r="AO130" s="378"/>
      <c r="AP130" s="378"/>
      <c r="AQ130" s="378"/>
      <c r="AR130" s="378"/>
      <c r="AS130" s="378"/>
      <c r="AT130" s="378"/>
      <c r="AU130" s="378"/>
      <c r="AV130" s="378"/>
      <c r="AW130" s="378"/>
      <c r="AX130" s="378"/>
      <c r="AY130" s="378"/>
      <c r="AZ130" s="378"/>
    </row>
    <row r="131" spans="1:52" ht="15.75" x14ac:dyDescent="0.25">
      <c r="A131" s="45"/>
      <c r="B131" s="1583" t="s">
        <v>84</v>
      </c>
      <c r="C131" s="1680"/>
      <c r="D131" s="1680"/>
      <c r="E131" s="1680"/>
      <c r="F131" s="1584"/>
      <c r="G131" s="1623" t="s">
        <v>85</v>
      </c>
      <c r="H131" s="1624"/>
      <c r="I131" s="577"/>
      <c r="J131" s="30"/>
      <c r="K131" s="577"/>
      <c r="L131" s="13"/>
      <c r="M131" s="13"/>
      <c r="N131" s="13"/>
      <c r="O131" s="13"/>
      <c r="P131" s="13"/>
      <c r="Q131" s="13"/>
      <c r="R131" s="13"/>
      <c r="S131" s="13"/>
      <c r="T131" s="13"/>
      <c r="U131" s="378"/>
      <c r="V131" s="378"/>
      <c r="W131" s="378"/>
      <c r="X131" s="378"/>
      <c r="Y131" s="378"/>
      <c r="Z131" s="378"/>
      <c r="AA131" s="378"/>
      <c r="AB131" s="378"/>
      <c r="AC131" s="378"/>
      <c r="AD131" s="378"/>
      <c r="AE131" s="378"/>
      <c r="AF131" s="378"/>
      <c r="AG131" s="378"/>
      <c r="AH131" s="378"/>
      <c r="AI131" s="378"/>
      <c r="AJ131" s="378"/>
      <c r="AK131" s="378"/>
      <c r="AL131" s="378"/>
      <c r="AM131" s="378"/>
      <c r="AN131" s="378"/>
      <c r="AO131" s="378"/>
      <c r="AP131" s="378"/>
      <c r="AQ131" s="378"/>
      <c r="AR131" s="378"/>
      <c r="AS131" s="378"/>
      <c r="AT131" s="378"/>
      <c r="AU131" s="378"/>
      <c r="AV131" s="378"/>
      <c r="AW131" s="378"/>
      <c r="AX131" s="378"/>
      <c r="AY131" s="378"/>
      <c r="AZ131" s="378"/>
    </row>
    <row r="132" spans="1:52" ht="15.75" x14ac:dyDescent="0.25">
      <c r="A132" s="1515"/>
      <c r="B132" s="1569"/>
      <c r="C132" s="1569"/>
      <c r="D132" s="1569"/>
      <c r="E132" s="1569"/>
      <c r="F132" s="1569"/>
      <c r="G132" s="1676"/>
      <c r="H132" s="1677"/>
      <c r="I132" s="569" t="str">
        <f>IF(G132&gt;0,(G132/($G$132+$G$133+$G$134+$G$135+$G$137+$D$141+I141)),"")</f>
        <v/>
      </c>
      <c r="J132" s="30"/>
      <c r="K132" s="378"/>
      <c r="L132" s="13"/>
      <c r="M132" s="13"/>
      <c r="N132" s="13"/>
      <c r="O132" s="13"/>
      <c r="P132" s="13"/>
      <c r="Q132" s="13"/>
      <c r="R132" s="13"/>
      <c r="S132" s="13"/>
      <c r="T132" s="13"/>
      <c r="U132" s="378"/>
      <c r="V132" s="378"/>
      <c r="W132" s="378"/>
      <c r="X132" s="378"/>
      <c r="Y132" s="378"/>
      <c r="Z132" s="378"/>
      <c r="AA132" s="378"/>
      <c r="AB132" s="378"/>
      <c r="AC132" s="378"/>
      <c r="AD132" s="378"/>
      <c r="AE132" s="378"/>
      <c r="AF132" s="378"/>
      <c r="AG132" s="378"/>
      <c r="AH132" s="378"/>
      <c r="AI132" s="378"/>
      <c r="AJ132" s="378"/>
      <c r="AK132" s="378"/>
      <c r="AL132" s="378"/>
      <c r="AM132" s="378"/>
      <c r="AN132" s="378"/>
      <c r="AO132" s="378"/>
      <c r="AP132" s="378"/>
      <c r="AQ132" s="378"/>
      <c r="AR132" s="378"/>
      <c r="AS132" s="378"/>
      <c r="AT132" s="378"/>
      <c r="AU132" s="378"/>
      <c r="AV132" s="378"/>
      <c r="AW132" s="378"/>
      <c r="AX132" s="378"/>
      <c r="AY132" s="378"/>
      <c r="AZ132" s="378"/>
    </row>
    <row r="133" spans="1:52" ht="15.75" x14ac:dyDescent="0.25">
      <c r="A133" s="1515"/>
      <c r="B133" s="1569"/>
      <c r="C133" s="1569"/>
      <c r="D133" s="1569"/>
      <c r="E133" s="1569"/>
      <c r="F133" s="1569"/>
      <c r="G133" s="1676"/>
      <c r="H133" s="1677"/>
      <c r="I133" s="569" t="str">
        <f>IF(G133&gt;0,(G133/($G$132+$G$133+$G$134+$G$135+$G$137+$D$141+I141)),"")</f>
        <v/>
      </c>
      <c r="J133" s="30"/>
      <c r="K133" s="378"/>
      <c r="L133" s="13"/>
      <c r="M133" s="13"/>
      <c r="N133" s="13"/>
      <c r="O133" s="13"/>
      <c r="P133" s="13"/>
      <c r="Q133" s="13"/>
      <c r="R133" s="13"/>
      <c r="S133" s="13"/>
      <c r="T133" s="13"/>
      <c r="U133" s="378"/>
      <c r="V133" s="378"/>
      <c r="W133" s="378"/>
      <c r="X133" s="378"/>
      <c r="Y133" s="378"/>
      <c r="Z133" s="378"/>
      <c r="AA133" s="378"/>
      <c r="AB133" s="378"/>
      <c r="AC133" s="378"/>
      <c r="AD133" s="378"/>
      <c r="AE133" s="378"/>
      <c r="AF133" s="378"/>
      <c r="AG133" s="378"/>
      <c r="AH133" s="378"/>
      <c r="AI133" s="378"/>
      <c r="AJ133" s="378"/>
      <c r="AK133" s="378"/>
      <c r="AL133" s="378"/>
      <c r="AM133" s="378"/>
      <c r="AN133" s="378"/>
      <c r="AO133" s="378"/>
      <c r="AP133" s="378"/>
      <c r="AQ133" s="378"/>
      <c r="AR133" s="378"/>
      <c r="AS133" s="378"/>
      <c r="AT133" s="378"/>
      <c r="AU133" s="378"/>
      <c r="AV133" s="378"/>
      <c r="AW133" s="378"/>
      <c r="AX133" s="378"/>
      <c r="AY133" s="378"/>
      <c r="AZ133" s="378"/>
    </row>
    <row r="134" spans="1:52" ht="15.75" x14ac:dyDescent="0.25">
      <c r="A134" s="1515"/>
      <c r="B134" s="1569"/>
      <c r="C134" s="1569"/>
      <c r="D134" s="1569"/>
      <c r="E134" s="1569"/>
      <c r="F134" s="1569"/>
      <c r="G134" s="1676"/>
      <c r="H134" s="1677"/>
      <c r="I134" s="569" t="str">
        <f>IF(G134&gt;0,(G134/($G$132+$G$133+$G$134+$G$135+$G$137+$D$141+I141)),"")</f>
        <v/>
      </c>
      <c r="J134" s="30"/>
      <c r="K134" s="378"/>
      <c r="L134" s="13"/>
      <c r="M134" s="13"/>
      <c r="N134" s="13"/>
      <c r="O134" s="13"/>
      <c r="P134" s="13"/>
      <c r="Q134" s="13"/>
      <c r="R134" s="13"/>
      <c r="S134" s="13"/>
      <c r="T134" s="13"/>
      <c r="U134" s="378"/>
      <c r="V134" s="378"/>
      <c r="W134" s="378"/>
      <c r="X134" s="378"/>
      <c r="Y134" s="378"/>
      <c r="Z134" s="378"/>
      <c r="AA134" s="378"/>
      <c r="AB134" s="378"/>
      <c r="AC134" s="378"/>
      <c r="AD134" s="378"/>
      <c r="AE134" s="378"/>
      <c r="AF134" s="378"/>
      <c r="AG134" s="378"/>
      <c r="AH134" s="378"/>
      <c r="AI134" s="378"/>
      <c r="AJ134" s="378"/>
      <c r="AK134" s="378"/>
      <c r="AL134" s="378"/>
      <c r="AM134" s="378"/>
      <c r="AN134" s="378"/>
      <c r="AO134" s="378"/>
      <c r="AP134" s="378"/>
      <c r="AQ134" s="378"/>
      <c r="AR134" s="378"/>
      <c r="AS134" s="378"/>
      <c r="AT134" s="378"/>
      <c r="AU134" s="378"/>
      <c r="AV134" s="378"/>
      <c r="AW134" s="378"/>
      <c r="AX134" s="378"/>
      <c r="AY134" s="378"/>
      <c r="AZ134" s="378"/>
    </row>
    <row r="135" spans="1:52" ht="15.75" x14ac:dyDescent="0.25">
      <c r="A135" s="1515"/>
      <c r="B135" s="1569"/>
      <c r="C135" s="1569"/>
      <c r="D135" s="1569"/>
      <c r="E135" s="1569"/>
      <c r="F135" s="1569"/>
      <c r="G135" s="1676"/>
      <c r="H135" s="1677"/>
      <c r="I135" s="569" t="str">
        <f>IF(G135&gt;0,(G135/($G$132+$G$133+$G$134+$G$135+$G$137+$D$141+I141)),"")</f>
        <v/>
      </c>
      <c r="J135" s="30"/>
      <c r="K135" s="378"/>
      <c r="L135" s="13"/>
      <c r="M135" s="13"/>
      <c r="N135" s="13"/>
      <c r="O135" s="13"/>
      <c r="P135" s="13"/>
      <c r="Q135" s="13"/>
      <c r="R135" s="13"/>
      <c r="S135" s="13"/>
      <c r="T135" s="13"/>
      <c r="U135" s="378"/>
      <c r="V135" s="378"/>
      <c r="W135" s="378"/>
      <c r="X135" s="378"/>
      <c r="Y135" s="378"/>
      <c r="Z135" s="378"/>
      <c r="AA135" s="378"/>
      <c r="AB135" s="378"/>
      <c r="AC135" s="378"/>
      <c r="AD135" s="378"/>
      <c r="AE135" s="378"/>
      <c r="AF135" s="378"/>
      <c r="AG135" s="378"/>
      <c r="AH135" s="378"/>
      <c r="AI135" s="378"/>
      <c r="AJ135" s="378"/>
      <c r="AK135" s="378"/>
      <c r="AL135" s="378"/>
      <c r="AM135" s="378"/>
      <c r="AN135" s="378"/>
      <c r="AO135" s="378"/>
      <c r="AP135" s="378"/>
      <c r="AQ135" s="378"/>
      <c r="AR135" s="378"/>
      <c r="AS135" s="378"/>
      <c r="AT135" s="378"/>
      <c r="AU135" s="378"/>
      <c r="AV135" s="378"/>
      <c r="AW135" s="378"/>
      <c r="AX135" s="378"/>
      <c r="AY135" s="378"/>
      <c r="AZ135" s="378"/>
    </row>
    <row r="136" spans="1:52" s="532" customFormat="1" ht="15.75" x14ac:dyDescent="0.25">
      <c r="A136" s="1515"/>
      <c r="B136" s="1569"/>
      <c r="C136" s="1569"/>
      <c r="D136" s="1569"/>
      <c r="E136" s="1569"/>
      <c r="F136" s="1569"/>
      <c r="G136" s="1646"/>
      <c r="H136" s="1647"/>
      <c r="I136" s="569" t="str">
        <f>IF(G136&gt;0,(G136/($G$132+$G$133+$G$134+$G$135+$G$137+$D$141+I142)),"")</f>
        <v/>
      </c>
      <c r="J136" s="30"/>
      <c r="K136" s="378"/>
      <c r="L136" s="13"/>
      <c r="M136" s="13"/>
      <c r="N136" s="13"/>
      <c r="O136" s="13"/>
      <c r="P136" s="13"/>
      <c r="Q136" s="13"/>
      <c r="R136" s="13"/>
      <c r="S136" s="13"/>
      <c r="T136" s="13"/>
      <c r="U136" s="378"/>
      <c r="V136" s="378"/>
      <c r="W136" s="378"/>
      <c r="X136" s="378"/>
      <c r="Y136" s="378"/>
      <c r="Z136" s="378"/>
      <c r="AA136" s="378"/>
      <c r="AB136" s="378"/>
      <c r="AC136" s="378"/>
      <c r="AD136" s="378"/>
      <c r="AE136" s="378"/>
      <c r="AF136" s="378"/>
      <c r="AG136" s="378"/>
      <c r="AH136" s="378"/>
      <c r="AI136" s="378"/>
      <c r="AJ136" s="378"/>
      <c r="AK136" s="378"/>
      <c r="AL136" s="378"/>
      <c r="AM136" s="378"/>
      <c r="AN136" s="378"/>
      <c r="AO136" s="378"/>
      <c r="AP136" s="378"/>
      <c r="AQ136" s="378"/>
      <c r="AR136" s="378"/>
      <c r="AS136" s="378"/>
      <c r="AT136" s="378"/>
      <c r="AU136" s="378"/>
      <c r="AV136" s="378"/>
      <c r="AW136" s="378"/>
      <c r="AX136" s="378"/>
      <c r="AY136" s="378"/>
      <c r="AZ136" s="378"/>
    </row>
    <row r="137" spans="1:52" ht="15.75" x14ac:dyDescent="0.25">
      <c r="A137" s="1515"/>
      <c r="B137" s="1569"/>
      <c r="C137" s="1569"/>
      <c r="D137" s="1569"/>
      <c r="E137" s="1569"/>
      <c r="F137" s="1569"/>
      <c r="G137" s="1593">
        <v>1E-4</v>
      </c>
      <c r="H137" s="1594"/>
      <c r="I137" s="569">
        <f>IF(G137&gt;0,(G137/($G$132+$G$133+$G$134+$G$135+$G$137+$D$141+I141)),"")</f>
        <v>1</v>
      </c>
      <c r="J137" s="30"/>
      <c r="K137" s="378"/>
      <c r="L137" s="13"/>
      <c r="M137" s="13"/>
      <c r="N137" s="13"/>
      <c r="O137" s="13"/>
      <c r="P137" s="13"/>
      <c r="Q137" s="13"/>
      <c r="R137" s="13"/>
      <c r="S137" s="13"/>
      <c r="T137" s="13"/>
      <c r="U137" s="378"/>
      <c r="V137" s="378"/>
      <c r="W137" s="378"/>
      <c r="X137" s="378"/>
      <c r="Y137" s="378"/>
      <c r="Z137" s="378"/>
      <c r="AA137" s="378"/>
      <c r="AB137" s="378"/>
      <c r="AC137" s="378"/>
      <c r="AD137" s="378"/>
      <c r="AE137" s="378"/>
      <c r="AF137" s="378"/>
      <c r="AG137" s="378"/>
      <c r="AH137" s="378"/>
      <c r="AI137" s="378"/>
      <c r="AJ137" s="378"/>
      <c r="AK137" s="378"/>
      <c r="AL137" s="378"/>
      <c r="AM137" s="378"/>
      <c r="AN137" s="378"/>
      <c r="AO137" s="378"/>
      <c r="AP137" s="378"/>
      <c r="AQ137" s="378"/>
      <c r="AR137" s="378"/>
      <c r="AS137" s="378"/>
      <c r="AT137" s="378"/>
      <c r="AU137" s="378"/>
      <c r="AV137" s="378"/>
      <c r="AW137" s="378"/>
      <c r="AX137" s="378"/>
      <c r="AY137" s="378"/>
      <c r="AZ137" s="378"/>
    </row>
    <row r="138" spans="1:52" s="532" customFormat="1" ht="9" customHeight="1" x14ac:dyDescent="0.25">
      <c r="A138" s="45"/>
      <c r="B138" s="13"/>
      <c r="C138" s="13"/>
      <c r="D138" s="13"/>
      <c r="E138" s="13"/>
      <c r="F138" s="13"/>
      <c r="G138" s="58"/>
      <c r="H138" s="58"/>
      <c r="I138" s="13"/>
      <c r="J138" s="30"/>
      <c r="K138" s="378"/>
      <c r="L138" s="13"/>
      <c r="M138" s="13"/>
      <c r="N138" s="13"/>
      <c r="O138" s="13"/>
      <c r="P138" s="13"/>
      <c r="Q138" s="13"/>
      <c r="R138" s="13"/>
      <c r="S138" s="13"/>
      <c r="T138" s="13"/>
      <c r="U138" s="378"/>
      <c r="V138" s="378"/>
      <c r="W138" s="378"/>
      <c r="X138" s="378"/>
      <c r="Y138" s="378"/>
      <c r="Z138" s="378"/>
      <c r="AA138" s="378"/>
      <c r="AB138" s="378"/>
      <c r="AC138" s="378"/>
      <c r="AD138" s="378"/>
      <c r="AE138" s="378"/>
      <c r="AF138" s="378"/>
      <c r="AG138" s="378"/>
      <c r="AH138" s="378"/>
      <c r="AI138" s="378"/>
      <c r="AJ138" s="378"/>
      <c r="AK138" s="378"/>
      <c r="AL138" s="378"/>
      <c r="AM138" s="378"/>
      <c r="AN138" s="378"/>
      <c r="AO138" s="378"/>
      <c r="AP138" s="378"/>
      <c r="AQ138" s="378"/>
      <c r="AR138" s="378"/>
      <c r="AS138" s="378"/>
      <c r="AT138" s="378"/>
      <c r="AU138" s="378"/>
      <c r="AV138" s="378"/>
      <c r="AW138" s="378"/>
      <c r="AX138" s="378"/>
      <c r="AY138" s="378"/>
      <c r="AZ138" s="378"/>
    </row>
    <row r="139" spans="1:52" ht="15.75" x14ac:dyDescent="0.25">
      <c r="A139" s="45"/>
      <c r="B139" s="33" t="s">
        <v>86</v>
      </c>
      <c r="C139" s="13"/>
      <c r="D139" s="13"/>
      <c r="E139" s="13"/>
      <c r="F139" s="13"/>
      <c r="G139" s="532"/>
      <c r="H139" s="584"/>
      <c r="I139" s="59"/>
      <c r="J139" s="59"/>
      <c r="K139" s="378"/>
      <c r="L139" s="13"/>
      <c r="M139" s="13"/>
      <c r="N139" s="13"/>
      <c r="O139" s="13"/>
      <c r="P139" s="13"/>
      <c r="Q139" s="13"/>
      <c r="R139" s="13"/>
      <c r="S139" s="13"/>
      <c r="T139" s="13"/>
      <c r="U139" s="378"/>
      <c r="V139" s="378"/>
      <c r="W139" s="378"/>
      <c r="X139" s="378"/>
      <c r="Y139" s="378"/>
      <c r="Z139" s="378"/>
      <c r="AA139" s="378"/>
      <c r="AB139" s="378"/>
      <c r="AC139" s="378"/>
      <c r="AD139" s="378"/>
      <c r="AE139" s="378"/>
      <c r="AF139" s="378"/>
      <c r="AG139" s="378"/>
      <c r="AH139" s="378"/>
      <c r="AI139" s="378"/>
      <c r="AJ139" s="378"/>
      <c r="AK139" s="378"/>
      <c r="AL139" s="378"/>
      <c r="AM139" s="378"/>
      <c r="AN139" s="378"/>
      <c r="AO139" s="378"/>
      <c r="AP139" s="378"/>
      <c r="AQ139" s="378"/>
      <c r="AR139" s="378"/>
      <c r="AS139" s="378"/>
      <c r="AT139" s="378"/>
      <c r="AU139" s="378"/>
      <c r="AV139" s="378"/>
      <c r="AW139" s="378"/>
      <c r="AX139" s="378"/>
      <c r="AY139" s="378"/>
      <c r="AZ139" s="378"/>
    </row>
    <row r="140" spans="1:52" s="517" customFormat="1" ht="15.75" x14ac:dyDescent="0.25">
      <c r="A140" s="45"/>
      <c r="B140" s="13" t="s">
        <v>87</v>
      </c>
      <c r="C140" s="13"/>
      <c r="D140" s="13"/>
      <c r="E140" s="13"/>
      <c r="F140" s="13"/>
      <c r="G140" s="33" t="s">
        <v>88</v>
      </c>
      <c r="H140" s="58"/>
      <c r="I140" s="59"/>
      <c r="J140" s="59"/>
      <c r="K140" s="378"/>
      <c r="L140" s="13"/>
      <c r="M140" s="13"/>
      <c r="N140" s="13"/>
      <c r="O140" s="13"/>
      <c r="P140" s="13"/>
      <c r="Q140" s="13"/>
      <c r="R140" s="13"/>
      <c r="S140" s="13"/>
      <c r="T140" s="13"/>
      <c r="U140" s="378"/>
      <c r="V140" s="378"/>
      <c r="W140" s="378"/>
      <c r="X140" s="378"/>
      <c r="Y140" s="378"/>
      <c r="Z140" s="378"/>
      <c r="AA140" s="378"/>
      <c r="AB140" s="378"/>
      <c r="AC140" s="378"/>
      <c r="AD140" s="378"/>
      <c r="AE140" s="378"/>
      <c r="AF140" s="378"/>
      <c r="AG140" s="378"/>
      <c r="AH140" s="378"/>
      <c r="AI140" s="378"/>
      <c r="AJ140" s="378"/>
      <c r="AK140" s="378"/>
      <c r="AL140" s="378"/>
      <c r="AM140" s="378"/>
      <c r="AN140" s="378"/>
      <c r="AO140" s="378"/>
      <c r="AP140" s="378"/>
      <c r="AQ140" s="378"/>
      <c r="AR140" s="378"/>
      <c r="AS140" s="378"/>
      <c r="AT140" s="378"/>
      <c r="AU140" s="378"/>
      <c r="AV140" s="378"/>
      <c r="AW140" s="378"/>
      <c r="AX140" s="378"/>
      <c r="AY140" s="378"/>
      <c r="AZ140" s="378"/>
    </row>
    <row r="141" spans="1:52" ht="15.75" x14ac:dyDescent="0.25">
      <c r="A141" s="45"/>
      <c r="B141" s="1625" t="s">
        <v>85</v>
      </c>
      <c r="C141" s="1625"/>
      <c r="D141" s="1675"/>
      <c r="E141" s="1675"/>
      <c r="F141" s="569">
        <f>IF(D141&gt;0,(D141/($G$132+$G$133+$G$134+$G$135+$G$137+$D$141+I141)),0)</f>
        <v>0</v>
      </c>
      <c r="G141" s="1625" t="s">
        <v>85</v>
      </c>
      <c r="H141" s="1625"/>
      <c r="I141" s="1581"/>
      <c r="J141" s="1581"/>
      <c r="K141" s="569">
        <f>IF(I141&gt;0,(I141/($G$132+$G$133+$G$134+$G$135+$G$137+$I$141+D141)),0)</f>
        <v>0</v>
      </c>
      <c r="L141" s="13"/>
      <c r="M141" s="13"/>
      <c r="N141" s="13"/>
      <c r="O141" s="13"/>
      <c r="P141" s="13"/>
      <c r="Q141" s="13"/>
      <c r="R141" s="13"/>
      <c r="S141" s="13"/>
      <c r="T141" s="13"/>
      <c r="U141" s="378"/>
      <c r="V141" s="378"/>
      <c r="W141" s="378"/>
      <c r="X141" s="378"/>
      <c r="Y141" s="378"/>
      <c r="Z141" s="378"/>
      <c r="AA141" s="378"/>
      <c r="AB141" s="378"/>
      <c r="AC141" s="378"/>
      <c r="AD141" s="378"/>
      <c r="AE141" s="378"/>
      <c r="AF141" s="378"/>
      <c r="AG141" s="378"/>
      <c r="AH141" s="378"/>
      <c r="AI141" s="378"/>
      <c r="AJ141" s="378"/>
      <c r="AK141" s="378"/>
      <c r="AL141" s="378"/>
      <c r="AM141" s="378"/>
      <c r="AN141" s="378"/>
      <c r="AO141" s="378"/>
      <c r="AP141" s="378"/>
      <c r="AQ141" s="378"/>
      <c r="AR141" s="378"/>
      <c r="AS141" s="378"/>
      <c r="AT141" s="378"/>
      <c r="AU141" s="378"/>
      <c r="AV141" s="378"/>
      <c r="AW141" s="378"/>
      <c r="AX141" s="378"/>
      <c r="AY141" s="378"/>
      <c r="AZ141" s="378"/>
    </row>
    <row r="142" spans="1:52" ht="15.75" customHeight="1" x14ac:dyDescent="0.25">
      <c r="A142" s="45"/>
      <c r="B142" s="515" t="s">
        <v>67</v>
      </c>
      <c r="C142" s="1643"/>
      <c r="D142" s="1644"/>
      <c r="E142" s="1645"/>
      <c r="F142" s="333"/>
      <c r="G142" s="515" t="s">
        <v>67</v>
      </c>
      <c r="H142" s="1643"/>
      <c r="I142" s="1644"/>
      <c r="J142" s="1645"/>
      <c r="K142" s="13"/>
      <c r="L142" s="13"/>
      <c r="M142" s="13"/>
      <c r="N142" s="13"/>
      <c r="O142" s="13"/>
      <c r="P142" s="13"/>
      <c r="Q142" s="13"/>
      <c r="R142" s="13"/>
      <c r="S142" s="13"/>
      <c r="T142" s="13"/>
      <c r="U142" s="378"/>
      <c r="V142" s="378"/>
      <c r="W142" s="378"/>
      <c r="X142" s="378"/>
      <c r="Y142" s="378"/>
      <c r="Z142" s="378"/>
      <c r="AA142" s="378"/>
      <c r="AB142" s="378"/>
      <c r="AC142" s="378"/>
      <c r="AD142" s="378"/>
      <c r="AE142" s="378"/>
      <c r="AF142" s="378"/>
      <c r="AG142" s="378"/>
      <c r="AH142" s="378"/>
      <c r="AI142" s="378"/>
      <c r="AJ142" s="378"/>
      <c r="AK142" s="378"/>
      <c r="AL142" s="378"/>
      <c r="AM142" s="378"/>
      <c r="AN142" s="378"/>
      <c r="AO142" s="378"/>
      <c r="AP142" s="378"/>
      <c r="AQ142" s="378"/>
      <c r="AR142" s="378"/>
      <c r="AS142" s="378"/>
      <c r="AT142" s="378"/>
      <c r="AU142" s="378"/>
      <c r="AV142" s="378"/>
      <c r="AW142" s="378"/>
      <c r="AX142" s="378"/>
      <c r="AY142" s="378"/>
      <c r="AZ142" s="378"/>
    </row>
    <row r="143" spans="1:52" s="532" customFormat="1" ht="15.75" x14ac:dyDescent="0.25">
      <c r="A143" s="45"/>
      <c r="B143" s="761" t="s">
        <v>89</v>
      </c>
      <c r="C143" s="13"/>
      <c r="D143" s="13"/>
      <c r="E143" s="378"/>
      <c r="F143" s="3"/>
      <c r="G143" s="63"/>
      <c r="H143" s="33"/>
      <c r="I143" s="13"/>
      <c r="J143" s="13"/>
      <c r="K143" s="13"/>
      <c r="L143" s="13"/>
      <c r="M143" s="13"/>
      <c r="N143" s="13"/>
      <c r="O143" s="13"/>
      <c r="P143" s="13"/>
      <c r="Q143" s="13"/>
      <c r="R143" s="13"/>
      <c r="S143" s="13"/>
      <c r="T143" s="13"/>
      <c r="U143" s="378"/>
      <c r="V143" s="378"/>
      <c r="W143" s="378"/>
      <c r="X143" s="378"/>
      <c r="Y143" s="378"/>
      <c r="Z143" s="378"/>
      <c r="AA143" s="378"/>
      <c r="AB143" s="378"/>
      <c r="AC143" s="378"/>
      <c r="AD143" s="378"/>
      <c r="AE143" s="378"/>
      <c r="AF143" s="378"/>
      <c r="AG143" s="378"/>
      <c r="AH143" s="378"/>
      <c r="AI143" s="378"/>
      <c r="AJ143" s="378"/>
      <c r="AK143" s="378"/>
      <c r="AL143" s="378"/>
      <c r="AM143" s="378"/>
      <c r="AN143" s="378"/>
      <c r="AO143" s="378"/>
      <c r="AP143" s="378"/>
      <c r="AQ143" s="378"/>
      <c r="AR143" s="378"/>
      <c r="AS143" s="378"/>
      <c r="AT143" s="378"/>
      <c r="AU143" s="378"/>
      <c r="AV143" s="378"/>
      <c r="AW143" s="378"/>
      <c r="AX143" s="378"/>
      <c r="AY143" s="378"/>
      <c r="AZ143" s="378"/>
    </row>
    <row r="144" spans="1:52" s="532" customFormat="1" ht="15.75" x14ac:dyDescent="0.25">
      <c r="A144" s="45"/>
      <c r="B144" s="761"/>
      <c r="C144" s="13"/>
      <c r="D144" s="13"/>
      <c r="E144" s="378"/>
      <c r="F144" s="3"/>
      <c r="G144" s="63"/>
      <c r="H144" s="33"/>
      <c r="I144" s="13"/>
      <c r="J144" s="13"/>
      <c r="K144" s="13"/>
      <c r="L144" s="13"/>
      <c r="M144" s="13"/>
      <c r="N144" s="13"/>
      <c r="O144" s="13"/>
      <c r="P144" s="13"/>
      <c r="Q144" s="13"/>
      <c r="R144" s="13"/>
      <c r="S144" s="13"/>
      <c r="T144" s="13"/>
      <c r="U144" s="378"/>
      <c r="V144" s="378"/>
      <c r="W144" s="378"/>
      <c r="X144" s="378"/>
      <c r="Y144" s="378"/>
      <c r="Z144" s="378"/>
      <c r="AA144" s="378"/>
      <c r="AB144" s="378"/>
      <c r="AC144" s="378"/>
      <c r="AD144" s="378"/>
      <c r="AE144" s="378"/>
      <c r="AF144" s="378"/>
      <c r="AG144" s="378"/>
      <c r="AH144" s="378"/>
      <c r="AI144" s="378"/>
      <c r="AJ144" s="378"/>
      <c r="AK144" s="378"/>
      <c r="AL144" s="378"/>
      <c r="AM144" s="378"/>
      <c r="AN144" s="378"/>
      <c r="AO144" s="378"/>
      <c r="AP144" s="378"/>
      <c r="AQ144" s="378"/>
      <c r="AR144" s="378"/>
      <c r="AS144" s="378"/>
      <c r="AT144" s="378"/>
      <c r="AU144" s="378"/>
      <c r="AV144" s="378"/>
      <c r="AW144" s="378"/>
      <c r="AX144" s="378"/>
      <c r="AY144" s="378"/>
      <c r="AZ144" s="378"/>
    </row>
    <row r="145" spans="1:52" s="532" customFormat="1" ht="15.75" x14ac:dyDescent="0.25">
      <c r="A145" s="582">
        <v>12</v>
      </c>
      <c r="B145" s="1595" t="s">
        <v>90</v>
      </c>
      <c r="C145" s="1595"/>
      <c r="D145" s="1595"/>
      <c r="E145" s="1595"/>
      <c r="F145" s="1595"/>
      <c r="G145" s="1595"/>
      <c r="H145" s="33"/>
      <c r="I145" s="13"/>
      <c r="J145" s="13"/>
      <c r="K145" s="13"/>
      <c r="L145" s="13"/>
      <c r="M145" s="13"/>
      <c r="N145" s="13"/>
      <c r="O145" s="13"/>
      <c r="P145" s="13"/>
      <c r="Q145" s="13"/>
      <c r="R145" s="13"/>
      <c r="S145" s="13"/>
      <c r="T145" s="13"/>
      <c r="U145" s="378"/>
      <c r="V145" s="378"/>
      <c r="W145" s="378"/>
      <c r="X145" s="378"/>
      <c r="Y145" s="378"/>
      <c r="Z145" s="378"/>
      <c r="AA145" s="378"/>
      <c r="AB145" s="378"/>
      <c r="AC145" s="378"/>
      <c r="AD145" s="378"/>
      <c r="AE145" s="378"/>
      <c r="AF145" s="378"/>
      <c r="AG145" s="378"/>
      <c r="AH145" s="378"/>
      <c r="AI145" s="378"/>
      <c r="AJ145" s="378"/>
      <c r="AK145" s="378"/>
      <c r="AL145" s="378"/>
      <c r="AM145" s="378"/>
      <c r="AN145" s="378"/>
      <c r="AO145" s="378"/>
      <c r="AP145" s="378"/>
      <c r="AQ145" s="378"/>
      <c r="AR145" s="378"/>
      <c r="AS145" s="378"/>
      <c r="AT145" s="378"/>
      <c r="AU145" s="378"/>
      <c r="AV145" s="378"/>
      <c r="AW145" s="378"/>
      <c r="AX145" s="378"/>
      <c r="AY145" s="378"/>
      <c r="AZ145" s="378"/>
    </row>
    <row r="146" spans="1:52" ht="15.75" x14ac:dyDescent="0.25">
      <c r="A146" s="532"/>
      <c r="B146" s="30" t="s">
        <v>91</v>
      </c>
      <c r="C146" s="13"/>
      <c r="D146" s="13"/>
      <c r="E146" s="13"/>
      <c r="F146" s="13"/>
      <c r="G146" s="13"/>
      <c r="H146" s="13"/>
      <c r="I146" s="13"/>
      <c r="J146" s="874"/>
      <c r="K146" s="874"/>
      <c r="L146" s="13"/>
      <c r="M146" s="13"/>
      <c r="N146" s="13"/>
      <c r="O146" s="13"/>
      <c r="P146" s="13"/>
      <c r="Q146" s="13"/>
      <c r="R146" s="13"/>
      <c r="S146" s="13"/>
      <c r="T146" s="13"/>
      <c r="U146" s="378"/>
      <c r="V146" s="378"/>
      <c r="W146" s="378"/>
      <c r="X146" s="378"/>
      <c r="Y146" s="378"/>
      <c r="Z146" s="378"/>
      <c r="AA146" s="378"/>
      <c r="AB146" s="378"/>
      <c r="AC146" s="378"/>
      <c r="AD146" s="378"/>
      <c r="AE146" s="378"/>
      <c r="AF146" s="378"/>
      <c r="AG146" s="378"/>
      <c r="AH146" s="378"/>
      <c r="AI146" s="378"/>
      <c r="AJ146" s="378"/>
      <c r="AK146" s="378"/>
      <c r="AL146" s="378"/>
      <c r="AM146" s="378"/>
      <c r="AN146" s="378"/>
      <c r="AO146" s="378"/>
      <c r="AP146" s="378"/>
      <c r="AQ146" s="378"/>
      <c r="AR146" s="378"/>
      <c r="AS146" s="378"/>
      <c r="AT146" s="378"/>
      <c r="AU146" s="378"/>
      <c r="AV146" s="378"/>
      <c r="AW146" s="378"/>
      <c r="AX146" s="378"/>
      <c r="AY146" s="378"/>
      <c r="AZ146" s="378"/>
    </row>
    <row r="147" spans="1:52" ht="15.75" customHeight="1" x14ac:dyDescent="0.25">
      <c r="A147" s="45"/>
      <c r="B147" s="1587" t="s">
        <v>92</v>
      </c>
      <c r="C147" s="1587"/>
      <c r="D147" s="1587"/>
      <c r="E147" s="1678" t="s">
        <v>93</v>
      </c>
      <c r="F147" s="1679"/>
      <c r="G147" s="1572" t="s">
        <v>94</v>
      </c>
      <c r="H147" s="1573"/>
      <c r="I147" s="13"/>
      <c r="J147" s="874"/>
      <c r="K147" s="874"/>
      <c r="L147" s="378"/>
      <c r="M147" s="378"/>
      <c r="N147" s="13"/>
      <c r="O147" s="13"/>
      <c r="P147" s="13"/>
      <c r="Q147" s="13"/>
      <c r="R147" s="13"/>
      <c r="S147" s="61"/>
      <c r="T147" s="13"/>
      <c r="U147" s="378"/>
      <c r="V147" s="378"/>
      <c r="W147" s="378"/>
      <c r="X147" s="378"/>
      <c r="Y147" s="378"/>
      <c r="Z147" s="378"/>
      <c r="AA147" s="378"/>
      <c r="AB147" s="378"/>
      <c r="AC147" s="378"/>
      <c r="AD147" s="378"/>
      <c r="AE147" s="378"/>
      <c r="AF147" s="378"/>
      <c r="AG147" s="378"/>
      <c r="AH147" s="378"/>
      <c r="AI147" s="378"/>
      <c r="AJ147" s="378"/>
      <c r="AK147" s="378"/>
      <c r="AL147" s="378"/>
      <c r="AM147" s="378"/>
      <c r="AN147" s="378"/>
      <c r="AO147" s="378"/>
      <c r="AP147" s="378"/>
      <c r="AQ147" s="378"/>
      <c r="AR147" s="378"/>
      <c r="AS147" s="378"/>
      <c r="AT147" s="378"/>
      <c r="AU147" s="378"/>
      <c r="AV147" s="378"/>
      <c r="AW147" s="378"/>
      <c r="AX147" s="378"/>
      <c r="AY147" s="378"/>
      <c r="AZ147" s="378"/>
    </row>
    <row r="148" spans="1:52" ht="15.75" x14ac:dyDescent="0.25">
      <c r="A148" s="45"/>
      <c r="B148" s="1559"/>
      <c r="C148" s="1560"/>
      <c r="D148" s="1561"/>
      <c r="E148" s="1565"/>
      <c r="F148" s="1566"/>
      <c r="G148" s="1567"/>
      <c r="H148" s="1568"/>
      <c r="I148" s="13"/>
      <c r="J148" s="874"/>
      <c r="K148" s="590"/>
      <c r="L148" s="378"/>
      <c r="M148" s="378"/>
      <c r="N148" s="13"/>
      <c r="O148" s="13"/>
      <c r="P148" s="13"/>
      <c r="Q148" s="62"/>
      <c r="R148" s="13"/>
      <c r="S148" s="63"/>
      <c r="T148" s="64"/>
      <c r="U148" s="65"/>
      <c r="V148" s="378"/>
      <c r="W148" s="378"/>
      <c r="X148" s="378"/>
      <c r="Y148" s="378"/>
      <c r="Z148" s="378"/>
      <c r="AA148" s="378"/>
      <c r="AB148" s="378"/>
      <c r="AC148" s="378"/>
      <c r="AD148" s="378"/>
      <c r="AE148" s="378"/>
      <c r="AF148" s="378"/>
      <c r="AG148" s="378"/>
      <c r="AH148" s="378"/>
      <c r="AI148" s="378"/>
      <c r="AJ148" s="378"/>
      <c r="AK148" s="378"/>
      <c r="AL148" s="378"/>
      <c r="AM148" s="378"/>
      <c r="AN148" s="378"/>
      <c r="AO148" s="378"/>
      <c r="AP148" s="378"/>
      <c r="AQ148" s="378"/>
      <c r="AR148" s="378"/>
      <c r="AS148" s="378"/>
      <c r="AT148" s="378"/>
      <c r="AU148" s="378"/>
      <c r="AV148" s="378"/>
      <c r="AW148" s="378"/>
      <c r="AX148" s="378"/>
      <c r="AY148" s="378"/>
      <c r="AZ148" s="378"/>
    </row>
    <row r="149" spans="1:52" ht="14.1" customHeight="1" x14ac:dyDescent="0.25">
      <c r="A149" s="45"/>
      <c r="B149" s="1559"/>
      <c r="C149" s="1560"/>
      <c r="D149" s="1561"/>
      <c r="E149" s="1565"/>
      <c r="F149" s="1566"/>
      <c r="G149" s="1567"/>
      <c r="H149" s="1568"/>
      <c r="I149" s="13"/>
      <c r="J149" s="757"/>
      <c r="K149" s="757"/>
      <c r="L149" s="378"/>
      <c r="M149" s="378"/>
      <c r="N149" s="13"/>
      <c r="O149" s="62"/>
      <c r="P149" s="13"/>
      <c r="Q149" s="13"/>
      <c r="R149" s="13"/>
      <c r="S149" s="63"/>
      <c r="T149" s="64"/>
      <c r="U149" s="66"/>
      <c r="V149" s="378"/>
      <c r="W149" s="378"/>
      <c r="X149" s="378"/>
      <c r="Y149" s="378"/>
      <c r="Z149" s="378"/>
      <c r="AA149" s="378"/>
      <c r="AB149" s="378"/>
      <c r="AC149" s="378"/>
      <c r="AD149" s="378"/>
      <c r="AE149" s="378"/>
      <c r="AF149" s="378"/>
      <c r="AG149" s="378"/>
      <c r="AH149" s="378"/>
      <c r="AI149" s="378"/>
      <c r="AJ149" s="378"/>
      <c r="AK149" s="378"/>
      <c r="AL149" s="378"/>
      <c r="AM149" s="378"/>
      <c r="AN149" s="378"/>
      <c r="AO149" s="378"/>
      <c r="AP149" s="378"/>
      <c r="AQ149" s="378"/>
      <c r="AR149" s="378"/>
      <c r="AS149" s="378"/>
      <c r="AT149" s="378"/>
      <c r="AU149" s="378"/>
      <c r="AV149" s="378"/>
      <c r="AW149" s="378"/>
      <c r="AX149" s="378"/>
      <c r="AY149" s="378"/>
      <c r="AZ149" s="378"/>
    </row>
    <row r="150" spans="1:52" ht="14.1" customHeight="1" x14ac:dyDescent="0.25">
      <c r="A150" s="45"/>
      <c r="B150" s="1559"/>
      <c r="C150" s="1560"/>
      <c r="D150" s="1561"/>
      <c r="E150" s="1565"/>
      <c r="F150" s="1566"/>
      <c r="G150" s="1567"/>
      <c r="H150" s="1568"/>
      <c r="I150" s="13"/>
      <c r="J150" s="757"/>
      <c r="K150" s="757"/>
      <c r="L150" s="378"/>
      <c r="M150" s="378"/>
      <c r="N150" s="13"/>
      <c r="O150" s="13"/>
      <c r="P150" s="13"/>
      <c r="Q150" s="62"/>
      <c r="R150" s="13"/>
      <c r="S150" s="63"/>
      <c r="T150" s="64"/>
      <c r="U150" s="66"/>
      <c r="V150" s="378"/>
      <c r="W150" s="378"/>
      <c r="X150" s="378"/>
      <c r="Y150" s="378"/>
      <c r="Z150" s="378"/>
      <c r="AA150" s="378"/>
      <c r="AB150" s="378"/>
      <c r="AC150" s="378"/>
      <c r="AD150" s="378"/>
      <c r="AE150" s="378"/>
      <c r="AF150" s="378"/>
      <c r="AG150" s="378"/>
      <c r="AH150" s="378"/>
      <c r="AI150" s="378"/>
      <c r="AJ150" s="378"/>
      <c r="AK150" s="378"/>
      <c r="AL150" s="378"/>
      <c r="AM150" s="378"/>
      <c r="AN150" s="378"/>
      <c r="AO150" s="378"/>
      <c r="AP150" s="378"/>
      <c r="AQ150" s="378"/>
      <c r="AR150" s="378"/>
      <c r="AS150" s="378"/>
      <c r="AT150" s="378"/>
      <c r="AU150" s="378"/>
      <c r="AV150" s="378"/>
      <c r="AW150" s="378"/>
      <c r="AX150" s="378"/>
      <c r="AY150" s="378"/>
      <c r="AZ150" s="378"/>
    </row>
    <row r="151" spans="1:52" ht="14.1" customHeight="1" x14ac:dyDescent="0.25">
      <c r="A151" s="45"/>
      <c r="B151" s="1559"/>
      <c r="C151" s="1560"/>
      <c r="D151" s="1561"/>
      <c r="E151" s="1565"/>
      <c r="F151" s="1566"/>
      <c r="G151" s="1567"/>
      <c r="H151" s="1568"/>
      <c r="I151" s="13"/>
      <c r="J151" s="757"/>
      <c r="K151" s="757"/>
      <c r="L151" s="378"/>
      <c r="M151" s="378"/>
      <c r="N151" s="13"/>
      <c r="O151" s="13"/>
      <c r="P151" s="13"/>
      <c r="Q151" s="67"/>
      <c r="R151" s="13"/>
      <c r="S151" s="63"/>
      <c r="T151" s="64"/>
      <c r="U151" s="66"/>
      <c r="V151" s="378"/>
      <c r="W151" s="378"/>
      <c r="X151" s="378"/>
      <c r="Y151" s="378"/>
      <c r="Z151" s="378"/>
      <c r="AA151" s="378"/>
      <c r="AB151" s="378"/>
      <c r="AC151" s="378"/>
      <c r="AD151" s="378"/>
      <c r="AE151" s="378"/>
      <c r="AF151" s="378"/>
      <c r="AG151" s="378"/>
      <c r="AH151" s="378"/>
      <c r="AI151" s="378"/>
      <c r="AJ151" s="378"/>
      <c r="AK151" s="378"/>
      <c r="AL151" s="378"/>
      <c r="AM151" s="378"/>
      <c r="AN151" s="378"/>
      <c r="AO151" s="378"/>
      <c r="AP151" s="378"/>
      <c r="AQ151" s="378"/>
      <c r="AR151" s="378"/>
      <c r="AS151" s="378"/>
      <c r="AT151" s="378"/>
      <c r="AU151" s="378"/>
      <c r="AV151" s="378"/>
      <c r="AW151" s="378"/>
      <c r="AX151" s="378"/>
      <c r="AY151" s="378"/>
      <c r="AZ151" s="378"/>
    </row>
    <row r="152" spans="1:52" ht="14.1" customHeight="1" x14ac:dyDescent="0.25">
      <c r="A152" s="45"/>
      <c r="B152" s="1562"/>
      <c r="C152" s="1563"/>
      <c r="D152" s="1564"/>
      <c r="E152" s="1565"/>
      <c r="F152" s="1566"/>
      <c r="G152" s="1567"/>
      <c r="H152" s="1568"/>
      <c r="I152" s="13"/>
      <c r="J152" s="757"/>
      <c r="K152" s="757"/>
      <c r="L152" s="378"/>
      <c r="M152" s="378"/>
      <c r="N152" s="13"/>
      <c r="O152" s="13"/>
      <c r="P152" s="13"/>
      <c r="Q152" s="13"/>
      <c r="R152" s="13"/>
      <c r="S152" s="63"/>
      <c r="T152" s="64"/>
      <c r="U152" s="66"/>
      <c r="V152" s="378"/>
      <c r="W152" s="378"/>
      <c r="X152" s="378"/>
      <c r="Y152" s="378"/>
      <c r="Z152" s="378"/>
      <c r="AA152" s="378"/>
      <c r="AB152" s="378"/>
      <c r="AC152" s="378"/>
      <c r="AD152" s="378"/>
      <c r="AE152" s="378"/>
      <c r="AF152" s="378"/>
      <c r="AG152" s="378"/>
      <c r="AH152" s="378"/>
      <c r="AI152" s="378"/>
      <c r="AJ152" s="378"/>
      <c r="AK152" s="378"/>
      <c r="AL152" s="378"/>
      <c r="AM152" s="378"/>
      <c r="AN152" s="378"/>
      <c r="AO152" s="378"/>
      <c r="AP152" s="378"/>
      <c r="AQ152" s="378"/>
      <c r="AR152" s="378"/>
      <c r="AS152" s="378"/>
      <c r="AT152" s="378"/>
      <c r="AU152" s="378"/>
      <c r="AV152" s="378"/>
      <c r="AW152" s="378"/>
      <c r="AX152" s="378"/>
      <c r="AY152" s="378"/>
      <c r="AZ152" s="378"/>
    </row>
    <row r="153" spans="1:52" ht="14.1" customHeight="1" x14ac:dyDescent="0.25">
      <c r="A153" s="45"/>
      <c r="B153" s="1562"/>
      <c r="C153" s="1563"/>
      <c r="D153" s="1564"/>
      <c r="E153" s="1565"/>
      <c r="F153" s="1566"/>
      <c r="G153" s="1567" t="str">
        <f t="shared" ref="G152:G153" si="1">IF(E153&gt;0,((1+0.04167)^$F$125*E153)," ")</f>
        <v xml:space="preserve"> </v>
      </c>
      <c r="H153" s="1568"/>
      <c r="I153" s="13"/>
      <c r="J153" s="757"/>
      <c r="K153" s="757"/>
      <c r="L153" s="378"/>
      <c r="M153" s="378"/>
      <c r="N153" s="13"/>
      <c r="O153" s="13"/>
      <c r="P153" s="13"/>
      <c r="Q153" s="13"/>
      <c r="R153" s="13"/>
      <c r="S153" s="63"/>
      <c r="T153" s="64"/>
      <c r="U153" s="66"/>
      <c r="V153" s="378"/>
      <c r="W153" s="378"/>
      <c r="X153" s="378"/>
      <c r="Y153" s="378"/>
      <c r="Z153" s="378"/>
      <c r="AA153" s="378"/>
      <c r="AB153" s="378"/>
      <c r="AC153" s="378"/>
      <c r="AD153" s="378"/>
      <c r="AE153" s="378"/>
      <c r="AF153" s="378"/>
      <c r="AG153" s="378"/>
      <c r="AH153" s="378"/>
      <c r="AI153" s="378"/>
      <c r="AJ153" s="378"/>
      <c r="AK153" s="378"/>
      <c r="AL153" s="378"/>
      <c r="AM153" s="378"/>
      <c r="AN153" s="378"/>
      <c r="AO153" s="378"/>
      <c r="AP153" s="378"/>
      <c r="AQ153" s="378"/>
      <c r="AR153" s="378"/>
      <c r="AS153" s="378"/>
      <c r="AT153" s="378"/>
      <c r="AU153" s="378"/>
      <c r="AV153" s="378"/>
      <c r="AW153" s="378"/>
      <c r="AX153" s="378"/>
      <c r="AY153" s="378"/>
      <c r="AZ153" s="378"/>
    </row>
    <row r="154" spans="1:52" ht="15.75" x14ac:dyDescent="0.25">
      <c r="A154" s="45"/>
      <c r="B154" s="1562"/>
      <c r="C154" s="1563"/>
      <c r="D154" s="1564"/>
      <c r="E154" s="1565"/>
      <c r="F154" s="1566"/>
      <c r="G154" s="1567" t="str">
        <f t="shared" ref="G154:G155" si="2">IF(E154&gt;0,((1+0.04167)^$F$125*E154)," ")</f>
        <v xml:space="preserve"> </v>
      </c>
      <c r="H154" s="1568"/>
      <c r="I154" s="13"/>
      <c r="J154" s="30"/>
      <c r="K154" s="378"/>
      <c r="L154" s="378"/>
      <c r="M154" s="378"/>
      <c r="N154" s="13"/>
      <c r="O154" s="13"/>
      <c r="P154" s="13"/>
      <c r="Q154" s="13"/>
      <c r="R154" s="13"/>
      <c r="S154" s="63"/>
      <c r="T154" s="64"/>
      <c r="U154" s="66"/>
      <c r="V154" s="378"/>
      <c r="W154" s="378"/>
      <c r="X154" s="378"/>
      <c r="Y154" s="378"/>
      <c r="Z154" s="378"/>
      <c r="AA154" s="378"/>
      <c r="AB154" s="378"/>
      <c r="AC154" s="378"/>
      <c r="AD154" s="378"/>
      <c r="AE154" s="378"/>
      <c r="AF154" s="378"/>
      <c r="AG154" s="378"/>
      <c r="AH154" s="378"/>
      <c r="AI154" s="378"/>
      <c r="AJ154" s="378"/>
      <c r="AK154" s="378"/>
      <c r="AL154" s="378"/>
      <c r="AM154" s="378"/>
      <c r="AN154" s="378"/>
      <c r="AO154" s="378"/>
      <c r="AP154" s="378"/>
      <c r="AQ154" s="378"/>
      <c r="AR154" s="378"/>
      <c r="AS154" s="378"/>
      <c r="AT154" s="378"/>
      <c r="AU154" s="378"/>
      <c r="AV154" s="378"/>
      <c r="AW154" s="378"/>
      <c r="AX154" s="378"/>
      <c r="AY154" s="378"/>
      <c r="AZ154" s="378"/>
    </row>
    <row r="155" spans="1:52" s="517" customFormat="1" ht="15.75" x14ac:dyDescent="0.25">
      <c r="A155" s="45"/>
      <c r="B155" s="1562"/>
      <c r="C155" s="1563"/>
      <c r="D155" s="1564"/>
      <c r="E155" s="1565"/>
      <c r="F155" s="1566"/>
      <c r="G155" s="1567" t="str">
        <f t="shared" si="2"/>
        <v xml:space="preserve"> </v>
      </c>
      <c r="H155" s="1568"/>
      <c r="I155" s="13"/>
      <c r="J155" s="30"/>
      <c r="K155" s="378"/>
      <c r="L155" s="378"/>
      <c r="M155" s="378"/>
      <c r="N155" s="13"/>
      <c r="O155" s="13"/>
      <c r="P155" s="13"/>
      <c r="Q155" s="13"/>
      <c r="R155" s="13"/>
      <c r="S155" s="63"/>
      <c r="T155" s="64"/>
      <c r="U155" s="66"/>
      <c r="V155" s="378"/>
      <c r="W155" s="378"/>
      <c r="X155" s="378"/>
      <c r="Y155" s="378"/>
      <c r="Z155" s="378"/>
      <c r="AA155" s="378"/>
      <c r="AB155" s="378"/>
      <c r="AC155" s="378"/>
      <c r="AD155" s="378"/>
      <c r="AE155" s="378"/>
      <c r="AF155" s="378"/>
      <c r="AG155" s="378"/>
      <c r="AH155" s="378"/>
      <c r="AI155" s="378"/>
      <c r="AJ155" s="378"/>
      <c r="AK155" s="378"/>
      <c r="AL155" s="378"/>
      <c r="AM155" s="378"/>
      <c r="AN155" s="378"/>
      <c r="AO155" s="378"/>
      <c r="AP155" s="378"/>
      <c r="AQ155" s="378"/>
      <c r="AR155" s="378"/>
      <c r="AS155" s="378"/>
      <c r="AT155" s="378"/>
      <c r="AU155" s="378"/>
      <c r="AV155" s="378"/>
      <c r="AW155" s="378"/>
      <c r="AX155" s="378"/>
      <c r="AY155" s="378"/>
      <c r="AZ155" s="378"/>
    </row>
    <row r="156" spans="1:52" ht="15.75" x14ac:dyDescent="0.25">
      <c r="A156" s="45"/>
      <c r="B156" s="1635"/>
      <c r="C156" s="1635"/>
      <c r="D156" s="1635"/>
      <c r="E156" s="1565"/>
      <c r="F156" s="1566"/>
      <c r="G156" s="1593">
        <v>1E-4</v>
      </c>
      <c r="H156" s="1594"/>
      <c r="I156" s="13"/>
      <c r="J156" s="30"/>
      <c r="K156" s="378"/>
      <c r="L156" s="378"/>
      <c r="M156" s="378"/>
      <c r="N156" s="378"/>
      <c r="O156" s="378"/>
      <c r="P156" s="378"/>
      <c r="Q156" s="378"/>
      <c r="R156" s="378"/>
      <c r="S156" s="63"/>
      <c r="T156" s="64"/>
      <c r="U156" s="66"/>
      <c r="V156" s="378"/>
      <c r="W156" s="378"/>
      <c r="X156" s="378"/>
      <c r="Y156" s="378"/>
      <c r="Z156" s="378"/>
      <c r="AA156" s="378"/>
      <c r="AB156" s="378"/>
      <c r="AC156" s="378"/>
      <c r="AD156" s="378"/>
      <c r="AE156" s="378"/>
      <c r="AF156" s="378"/>
      <c r="AG156" s="378"/>
      <c r="AH156" s="378"/>
      <c r="AI156" s="378"/>
      <c r="AJ156" s="378"/>
      <c r="AK156" s="378"/>
      <c r="AL156" s="378"/>
      <c r="AM156" s="378"/>
      <c r="AN156" s="378"/>
      <c r="AO156" s="378"/>
      <c r="AP156" s="378"/>
      <c r="AQ156" s="378"/>
      <c r="AR156" s="378"/>
      <c r="AS156" s="378"/>
      <c r="AT156" s="378"/>
      <c r="AU156" s="378"/>
      <c r="AV156" s="378"/>
      <c r="AW156" s="378"/>
      <c r="AX156" s="378"/>
      <c r="AY156" s="378"/>
      <c r="AZ156" s="378"/>
    </row>
    <row r="157" spans="1:52" ht="15.75" x14ac:dyDescent="0.25">
      <c r="A157" s="45"/>
      <c r="B157" s="759" t="s">
        <v>95</v>
      </c>
      <c r="C157" s="32"/>
      <c r="D157" s="592" t="s">
        <v>79</v>
      </c>
      <c r="E157" s="1575">
        <f>SUM(E148:E156)</f>
        <v>0</v>
      </c>
      <c r="F157" s="1575"/>
      <c r="G157" s="1575">
        <f>SUM(G148:G156)</f>
        <v>1E-4</v>
      </c>
      <c r="H157" s="1575"/>
      <c r="I157" s="378"/>
      <c r="J157" s="532"/>
      <c r="K157" s="68"/>
      <c r="L157" s="378"/>
      <c r="M157" s="378"/>
      <c r="N157" s="378"/>
      <c r="O157" s="378"/>
      <c r="P157" s="378"/>
      <c r="Q157" s="378"/>
      <c r="R157" s="378"/>
      <c r="S157" s="63"/>
      <c r="T157" s="64"/>
      <c r="U157" s="66"/>
      <c r="V157" s="378"/>
      <c r="W157" s="378"/>
      <c r="X157" s="378"/>
      <c r="Y157" s="378"/>
      <c r="Z157" s="378"/>
      <c r="AA157" s="378"/>
      <c r="AB157" s="378"/>
      <c r="AC157" s="378"/>
      <c r="AD157" s="378"/>
      <c r="AE157" s="378"/>
      <c r="AF157" s="378"/>
      <c r="AG157" s="378"/>
      <c r="AH157" s="378"/>
      <c r="AI157" s="378"/>
      <c r="AJ157" s="378"/>
      <c r="AK157" s="378"/>
      <c r="AL157" s="378"/>
      <c r="AM157" s="378"/>
      <c r="AN157" s="378"/>
      <c r="AO157" s="378"/>
      <c r="AP157" s="378"/>
      <c r="AQ157" s="378"/>
      <c r="AR157" s="378"/>
      <c r="AS157" s="378"/>
      <c r="AT157" s="378"/>
      <c r="AU157" s="378"/>
      <c r="AV157" s="378"/>
      <c r="AW157" s="378"/>
      <c r="AX157" s="378"/>
      <c r="AY157" s="378"/>
      <c r="AZ157" s="378"/>
    </row>
    <row r="158" spans="1:52" ht="12.75" customHeight="1" x14ac:dyDescent="0.25">
      <c r="A158" s="45"/>
      <c r="B158" s="1554" t="s">
        <v>96</v>
      </c>
      <c r="C158" s="1554"/>
      <c r="D158" s="1554"/>
      <c r="E158" s="1554"/>
      <c r="F158" s="62"/>
      <c r="G158" s="3"/>
      <c r="H158" s="3"/>
      <c r="I158" s="3"/>
      <c r="J158" s="3"/>
      <c r="K158" s="13"/>
      <c r="L158" s="13"/>
      <c r="M158" s="13"/>
      <c r="N158" s="13"/>
      <c r="O158" s="13"/>
      <c r="P158" s="13"/>
      <c r="Q158" s="13"/>
      <c r="R158" s="13"/>
      <c r="S158" s="70"/>
      <c r="T158" s="71"/>
      <c r="U158" s="66"/>
      <c r="V158" s="378"/>
      <c r="W158" s="378"/>
      <c r="X158" s="378"/>
      <c r="Y158" s="378"/>
      <c r="Z158" s="378"/>
      <c r="AA158" s="378"/>
      <c r="AB158" s="378"/>
      <c r="AC158" s="378"/>
      <c r="AD158" s="378"/>
      <c r="AE158" s="378"/>
      <c r="AF158" s="378"/>
      <c r="AG158" s="378"/>
      <c r="AH158" s="378"/>
      <c r="AI158" s="378"/>
      <c r="AJ158" s="378"/>
      <c r="AK158" s="378"/>
      <c r="AL158" s="378"/>
      <c r="AM158" s="378"/>
      <c r="AN158" s="378"/>
      <c r="AO158" s="378"/>
      <c r="AP158" s="378"/>
      <c r="AQ158" s="378"/>
      <c r="AR158" s="378"/>
      <c r="AS158" s="378"/>
      <c r="AT158" s="378"/>
      <c r="AU158" s="378"/>
      <c r="AV158" s="378"/>
      <c r="AW158" s="378"/>
      <c r="AX158" s="378"/>
      <c r="AY158" s="378"/>
      <c r="AZ158" s="378"/>
    </row>
    <row r="159" spans="1:52" s="532" customFormat="1" ht="12.75" customHeight="1" x14ac:dyDescent="0.25">
      <c r="A159" s="45"/>
      <c r="B159" s="13"/>
      <c r="C159" s="13"/>
      <c r="D159" s="13"/>
      <c r="E159" s="13"/>
      <c r="F159" s="62"/>
      <c r="G159" s="13"/>
      <c r="H159" s="13"/>
      <c r="I159" s="13"/>
      <c r="J159" s="13"/>
      <c r="K159" s="13"/>
      <c r="L159" s="13"/>
      <c r="M159" s="13"/>
      <c r="N159" s="13"/>
      <c r="O159" s="13"/>
      <c r="P159" s="13"/>
      <c r="Q159" s="13"/>
      <c r="R159" s="13"/>
      <c r="S159" s="70"/>
      <c r="T159" s="71"/>
      <c r="U159" s="66"/>
      <c r="V159" s="378"/>
      <c r="W159" s="378"/>
      <c r="X159" s="378"/>
      <c r="Y159" s="378"/>
      <c r="Z159" s="378"/>
      <c r="AA159" s="378"/>
      <c r="AB159" s="378"/>
      <c r="AC159" s="378"/>
      <c r="AD159" s="378"/>
      <c r="AE159" s="378"/>
      <c r="AF159" s="378"/>
      <c r="AG159" s="378"/>
      <c r="AH159" s="378"/>
      <c r="AI159" s="378"/>
      <c r="AJ159" s="378"/>
      <c r="AK159" s="378"/>
      <c r="AL159" s="378"/>
      <c r="AM159" s="378"/>
      <c r="AN159" s="378"/>
      <c r="AO159" s="378"/>
      <c r="AP159" s="378"/>
      <c r="AQ159" s="378"/>
      <c r="AR159" s="378"/>
      <c r="AS159" s="378"/>
      <c r="AT159" s="378"/>
      <c r="AU159" s="378"/>
      <c r="AV159" s="378"/>
      <c r="AW159" s="378"/>
      <c r="AX159" s="378"/>
      <c r="AY159" s="378"/>
      <c r="AZ159" s="378"/>
    </row>
    <row r="160" spans="1:52" ht="15.75" x14ac:dyDescent="0.25">
      <c r="A160" s="582"/>
      <c r="B160" s="30" t="s">
        <v>97</v>
      </c>
      <c r="C160" s="13"/>
      <c r="D160" s="13"/>
      <c r="E160" s="13"/>
      <c r="F160" s="13"/>
      <c r="G160" s="13"/>
      <c r="H160" s="378"/>
      <c r="I160" s="30"/>
      <c r="J160" s="874"/>
      <c r="K160" s="874"/>
      <c r="L160" s="13"/>
      <c r="M160" s="13"/>
      <c r="N160" s="13"/>
      <c r="O160" s="13"/>
      <c r="P160" s="13"/>
      <c r="Q160" s="13"/>
      <c r="R160" s="13"/>
      <c r="S160" s="61"/>
      <c r="T160" s="71"/>
      <c r="U160" s="66"/>
      <c r="V160" s="378"/>
      <c r="W160" s="378"/>
      <c r="X160" s="378"/>
      <c r="Y160" s="378"/>
      <c r="Z160" s="378"/>
      <c r="AA160" s="378"/>
      <c r="AB160" s="378"/>
      <c r="AC160" s="378"/>
      <c r="AD160" s="378"/>
      <c r="AE160" s="378"/>
      <c r="AF160" s="378"/>
      <c r="AG160" s="378"/>
      <c r="AH160" s="378"/>
      <c r="AI160" s="378"/>
      <c r="AJ160" s="378"/>
      <c r="AK160" s="378"/>
      <c r="AL160" s="378"/>
      <c r="AM160" s="378"/>
      <c r="AN160" s="378"/>
      <c r="AO160" s="378"/>
      <c r="AP160" s="378"/>
      <c r="AQ160" s="378"/>
      <c r="AR160" s="378"/>
      <c r="AS160" s="378"/>
      <c r="AT160" s="378"/>
      <c r="AU160" s="378"/>
      <c r="AV160" s="378"/>
      <c r="AW160" s="378"/>
      <c r="AX160" s="378"/>
      <c r="AY160" s="378"/>
      <c r="AZ160" s="378"/>
    </row>
    <row r="161" spans="1:52" ht="15.75" customHeight="1" x14ac:dyDescent="0.25">
      <c r="A161" s="45"/>
      <c r="B161" s="1587" t="s">
        <v>98</v>
      </c>
      <c r="C161" s="1587"/>
      <c r="D161" s="1587"/>
      <c r="E161" s="1572" t="s">
        <v>93</v>
      </c>
      <c r="F161" s="1573"/>
      <c r="G161" s="1572" t="s">
        <v>94</v>
      </c>
      <c r="H161" s="1573"/>
      <c r="I161" s="13"/>
      <c r="J161" s="874"/>
      <c r="K161" s="874"/>
      <c r="L161" s="13"/>
      <c r="M161" s="13"/>
      <c r="N161" s="13"/>
      <c r="O161" s="13"/>
      <c r="P161" s="13"/>
      <c r="Q161" s="13"/>
      <c r="R161" s="13"/>
      <c r="S161" s="63"/>
      <c r="T161" s="64"/>
      <c r="U161" s="63"/>
      <c r="V161" s="378"/>
      <c r="W161" s="378"/>
      <c r="X161" s="378"/>
      <c r="Y161" s="378"/>
      <c r="Z161" s="378"/>
      <c r="AA161" s="378"/>
      <c r="AB161" s="378"/>
      <c r="AC161" s="378"/>
      <c r="AD161" s="378"/>
      <c r="AE161" s="378"/>
      <c r="AF161" s="378"/>
      <c r="AG161" s="378"/>
      <c r="AH161" s="378"/>
      <c r="AI161" s="378"/>
      <c r="AJ161" s="378"/>
      <c r="AK161" s="378"/>
      <c r="AL161" s="378"/>
      <c r="AM161" s="378"/>
      <c r="AN161" s="378"/>
      <c r="AO161" s="378"/>
      <c r="AP161" s="378"/>
      <c r="AQ161" s="378"/>
      <c r="AR161" s="378"/>
      <c r="AS161" s="378"/>
      <c r="AT161" s="378"/>
      <c r="AU161" s="378"/>
      <c r="AV161" s="378"/>
      <c r="AW161" s="378"/>
      <c r="AX161" s="378"/>
      <c r="AY161" s="378"/>
      <c r="AZ161" s="378"/>
    </row>
    <row r="162" spans="1:52" ht="15.75" x14ac:dyDescent="0.25">
      <c r="A162" s="45"/>
      <c r="B162" s="1569"/>
      <c r="C162" s="1569"/>
      <c r="D162" s="1570"/>
      <c r="E162" s="1565"/>
      <c r="F162" s="1566"/>
      <c r="G162" s="1567" t="str">
        <f>IF(E162&gt;0,((1+0.052632)^$F$125*E162)," ")</f>
        <v xml:space="preserve"> </v>
      </c>
      <c r="H162" s="1568"/>
      <c r="I162" s="13"/>
      <c r="J162" s="757"/>
      <c r="K162" s="590"/>
      <c r="L162" s="70"/>
      <c r="M162" s="70"/>
      <c r="N162" s="70"/>
      <c r="O162" s="13"/>
      <c r="P162" s="13"/>
      <c r="Q162" s="13"/>
      <c r="R162" s="13"/>
      <c r="S162" s="63"/>
      <c r="T162" s="64"/>
      <c r="U162" s="66"/>
      <c r="V162" s="378"/>
      <c r="W162" s="378"/>
      <c r="X162" s="378"/>
      <c r="Y162" s="378"/>
      <c r="Z162" s="378"/>
      <c r="AA162" s="378"/>
      <c r="AB162" s="378"/>
      <c r="AC162" s="378"/>
      <c r="AD162" s="378"/>
      <c r="AE162" s="378"/>
      <c r="AF162" s="378"/>
      <c r="AG162" s="378"/>
      <c r="AH162" s="378"/>
      <c r="AI162" s="378"/>
      <c r="AJ162" s="378"/>
      <c r="AK162" s="378"/>
      <c r="AL162" s="378"/>
      <c r="AM162" s="378"/>
      <c r="AN162" s="378"/>
      <c r="AO162" s="378"/>
      <c r="AP162" s="378"/>
      <c r="AQ162" s="378"/>
      <c r="AR162" s="378"/>
      <c r="AS162" s="378"/>
      <c r="AT162" s="378"/>
      <c r="AU162" s="378"/>
      <c r="AV162" s="378"/>
      <c r="AW162" s="378"/>
      <c r="AX162" s="378"/>
      <c r="AY162" s="378"/>
      <c r="AZ162" s="378"/>
    </row>
    <row r="163" spans="1:52" ht="15.75" customHeight="1" x14ac:dyDescent="0.25">
      <c r="A163" s="45"/>
      <c r="B163" s="1570"/>
      <c r="C163" s="1574"/>
      <c r="D163" s="1574"/>
      <c r="E163" s="1565"/>
      <c r="F163" s="1566"/>
      <c r="G163" s="1567" t="str">
        <f t="shared" ref="G163" si="3">IF(E163&gt;0,((1+0.052632)^$F$125*E163)," ")</f>
        <v xml:space="preserve"> </v>
      </c>
      <c r="H163" s="1568"/>
      <c r="I163" s="13"/>
      <c r="J163" s="757"/>
      <c r="K163" s="757"/>
      <c r="L163" s="70"/>
      <c r="M163" s="70"/>
      <c r="N163" s="70"/>
      <c r="O163" s="13"/>
      <c r="P163" s="13"/>
      <c r="Q163" s="13"/>
      <c r="R163" s="13"/>
      <c r="S163" s="63"/>
      <c r="T163" s="64"/>
      <c r="U163" s="66"/>
      <c r="V163" s="378"/>
      <c r="W163" s="378"/>
      <c r="X163" s="378"/>
      <c r="Y163" s="378"/>
      <c r="Z163" s="378"/>
      <c r="AA163" s="378"/>
      <c r="AB163" s="378"/>
      <c r="AC163" s="378"/>
      <c r="AD163" s="378"/>
      <c r="AE163" s="378"/>
      <c r="AF163" s="378"/>
      <c r="AG163" s="378"/>
      <c r="AH163" s="378"/>
      <c r="AI163" s="378"/>
      <c r="AJ163" s="378"/>
      <c r="AK163" s="378"/>
      <c r="AL163" s="378"/>
      <c r="AM163" s="378"/>
      <c r="AN163" s="378"/>
      <c r="AO163" s="378"/>
      <c r="AP163" s="378"/>
      <c r="AQ163" s="378"/>
      <c r="AR163" s="378"/>
      <c r="AS163" s="378"/>
      <c r="AT163" s="378"/>
      <c r="AU163" s="378"/>
      <c r="AV163" s="378"/>
      <c r="AW163" s="378"/>
      <c r="AX163" s="378"/>
      <c r="AY163" s="378"/>
      <c r="AZ163" s="378"/>
    </row>
    <row r="164" spans="1:52" x14ac:dyDescent="0.25">
      <c r="A164" s="45"/>
      <c r="B164" s="1570"/>
      <c r="C164" s="1574"/>
      <c r="D164" s="1574"/>
      <c r="E164" s="1565"/>
      <c r="F164" s="1566"/>
      <c r="G164" s="1567" t="str">
        <f t="shared" ref="G164" si="4">IF(E164&gt;0,((1+0.052632)^$F$125*E164)," ")</f>
        <v xml:space="preserve"> </v>
      </c>
      <c r="H164" s="1568"/>
      <c r="I164" s="13"/>
      <c r="J164" s="757"/>
      <c r="K164" s="757"/>
      <c r="L164" s="70"/>
      <c r="M164" s="70"/>
      <c r="N164" s="70"/>
      <c r="O164" s="13"/>
      <c r="P164" s="13"/>
      <c r="Q164" s="13"/>
      <c r="R164" s="13"/>
      <c r="S164" s="63"/>
      <c r="T164" s="64"/>
      <c r="U164" s="66"/>
      <c r="V164" s="378"/>
      <c r="W164" s="378"/>
      <c r="X164" s="378"/>
      <c r="Y164" s="378"/>
      <c r="Z164" s="378"/>
      <c r="AA164" s="378"/>
      <c r="AB164" s="378"/>
      <c r="AC164" s="378"/>
      <c r="AD164" s="378"/>
      <c r="AE164" s="378"/>
      <c r="AF164" s="378"/>
      <c r="AG164" s="378"/>
      <c r="AH164" s="378"/>
      <c r="AI164" s="378"/>
      <c r="AJ164" s="378"/>
      <c r="AK164" s="378"/>
      <c r="AL164" s="378"/>
      <c r="AM164" s="378"/>
      <c r="AN164" s="378"/>
      <c r="AO164" s="378"/>
      <c r="AP164" s="378"/>
      <c r="AQ164" s="378"/>
      <c r="AR164" s="378"/>
      <c r="AS164" s="378"/>
      <c r="AT164" s="378"/>
      <c r="AU164" s="378"/>
      <c r="AV164" s="378"/>
      <c r="AW164" s="378"/>
      <c r="AX164" s="378"/>
      <c r="AY164" s="378"/>
      <c r="AZ164" s="378"/>
    </row>
    <row r="165" spans="1:52" x14ac:dyDescent="0.25">
      <c r="A165" s="45"/>
      <c r="B165" s="1570"/>
      <c r="C165" s="1574"/>
      <c r="D165" s="1574"/>
      <c r="E165" s="1565"/>
      <c r="F165" s="1566"/>
      <c r="G165" s="1567" t="str">
        <f t="shared" ref="G165" si="5">IF(E165&gt;0,((1+0.052632)^$F$125*E165)," ")</f>
        <v xml:space="preserve"> </v>
      </c>
      <c r="H165" s="1568"/>
      <c r="I165" s="13"/>
      <c r="J165" s="757"/>
      <c r="K165" s="757"/>
      <c r="L165" s="70"/>
      <c r="M165" s="70"/>
      <c r="N165" s="70"/>
      <c r="O165" s="13"/>
      <c r="P165" s="13"/>
      <c r="Q165" s="13"/>
      <c r="R165" s="13"/>
      <c r="S165" s="63"/>
      <c r="T165" s="64"/>
      <c r="U165" s="66"/>
      <c r="V165" s="378"/>
      <c r="W165" s="378"/>
      <c r="X165" s="378"/>
      <c r="Y165" s="378"/>
      <c r="Z165" s="378"/>
      <c r="AA165" s="378"/>
      <c r="AB165" s="378"/>
      <c r="AC165" s="378"/>
      <c r="AD165" s="378"/>
      <c r="AE165" s="378"/>
      <c r="AF165" s="378"/>
      <c r="AG165" s="378"/>
      <c r="AH165" s="378"/>
      <c r="AI165" s="378"/>
      <c r="AJ165" s="378"/>
      <c r="AK165" s="378"/>
      <c r="AL165" s="378"/>
      <c r="AM165" s="378"/>
      <c r="AN165" s="378"/>
      <c r="AO165" s="378"/>
      <c r="AP165" s="378"/>
      <c r="AQ165" s="378"/>
      <c r="AR165" s="378"/>
      <c r="AS165" s="378"/>
      <c r="AT165" s="378"/>
      <c r="AU165" s="378"/>
      <c r="AV165" s="378"/>
      <c r="AW165" s="378"/>
      <c r="AX165" s="378"/>
      <c r="AY165" s="378"/>
      <c r="AZ165" s="378"/>
    </row>
    <row r="166" spans="1:52" x14ac:dyDescent="0.25">
      <c r="A166" s="45"/>
      <c r="B166" s="1570"/>
      <c r="C166" s="1574"/>
      <c r="D166" s="1574"/>
      <c r="E166" s="1565"/>
      <c r="F166" s="1566"/>
      <c r="G166" s="1567" t="str">
        <f t="shared" ref="G166" si="6">IF(E166&gt;0,((1+0.052632)^$F$125*E166)," ")</f>
        <v xml:space="preserve"> </v>
      </c>
      <c r="H166" s="1568"/>
      <c r="I166" s="13"/>
      <c r="J166" s="757"/>
      <c r="K166" s="757"/>
      <c r="L166" s="70"/>
      <c r="M166" s="70"/>
      <c r="N166" s="70"/>
      <c r="O166" s="13"/>
      <c r="P166" s="70"/>
      <c r="Q166" s="13"/>
      <c r="R166" s="13"/>
      <c r="S166" s="63"/>
      <c r="T166" s="64"/>
      <c r="U166" s="66"/>
      <c r="V166" s="378"/>
      <c r="W166" s="378"/>
      <c r="X166" s="378"/>
      <c r="Y166" s="378"/>
      <c r="Z166" s="378"/>
      <c r="AA166" s="378"/>
      <c r="AB166" s="378"/>
      <c r="AC166" s="378"/>
      <c r="AD166" s="378"/>
      <c r="AE166" s="378"/>
      <c r="AF166" s="378"/>
      <c r="AG166" s="378"/>
      <c r="AH166" s="378"/>
      <c r="AI166" s="378"/>
      <c r="AJ166" s="378"/>
      <c r="AK166" s="378"/>
      <c r="AL166" s="378"/>
      <c r="AM166" s="378"/>
      <c r="AN166" s="378"/>
      <c r="AO166" s="378"/>
      <c r="AP166" s="378"/>
      <c r="AQ166" s="378"/>
      <c r="AR166" s="378"/>
      <c r="AS166" s="378"/>
      <c r="AT166" s="378"/>
      <c r="AU166" s="378"/>
      <c r="AV166" s="378"/>
      <c r="AW166" s="378"/>
      <c r="AX166" s="378"/>
      <c r="AY166" s="378"/>
      <c r="AZ166" s="378"/>
    </row>
    <row r="167" spans="1:52" x14ac:dyDescent="0.25">
      <c r="A167" s="45"/>
      <c r="B167" s="1570"/>
      <c r="C167" s="1574"/>
      <c r="D167" s="1574"/>
      <c r="E167" s="1565"/>
      <c r="F167" s="1566"/>
      <c r="G167" s="1567" t="str">
        <f t="shared" ref="G167:G171" si="7">IF(E167&gt;0,((1+0.052632)^$F$125*E167)," ")</f>
        <v xml:space="preserve"> </v>
      </c>
      <c r="H167" s="1568"/>
      <c r="I167" s="13"/>
      <c r="J167" s="757"/>
      <c r="K167" s="757"/>
      <c r="L167" s="70"/>
      <c r="M167" s="70"/>
      <c r="N167" s="70"/>
      <c r="O167" s="13"/>
      <c r="P167" s="13"/>
      <c r="Q167" s="13"/>
      <c r="R167" s="13"/>
      <c r="S167" s="63"/>
      <c r="T167" s="64"/>
      <c r="U167" s="66"/>
      <c r="V167" s="378"/>
      <c r="W167" s="378"/>
      <c r="X167" s="378"/>
      <c r="Y167" s="378"/>
      <c r="Z167" s="378"/>
      <c r="AA167" s="378"/>
      <c r="AB167" s="378"/>
      <c r="AC167" s="378"/>
      <c r="AD167" s="378"/>
      <c r="AE167" s="378"/>
      <c r="AF167" s="378"/>
      <c r="AG167" s="378"/>
      <c r="AH167" s="378"/>
      <c r="AI167" s="378"/>
      <c r="AJ167" s="378"/>
      <c r="AK167" s="378"/>
      <c r="AL167" s="378"/>
      <c r="AM167" s="378"/>
      <c r="AN167" s="378"/>
      <c r="AO167" s="378"/>
      <c r="AP167" s="378"/>
      <c r="AQ167" s="378"/>
      <c r="AR167" s="378"/>
      <c r="AS167" s="378"/>
      <c r="AT167" s="378"/>
      <c r="AU167" s="378"/>
      <c r="AV167" s="378"/>
      <c r="AW167" s="378"/>
      <c r="AX167" s="378"/>
      <c r="AY167" s="378"/>
      <c r="AZ167" s="378"/>
    </row>
    <row r="168" spans="1:52" x14ac:dyDescent="0.25">
      <c r="A168" s="45"/>
      <c r="B168" s="1570"/>
      <c r="C168" s="1574"/>
      <c r="D168" s="1574"/>
      <c r="E168" s="1565"/>
      <c r="F168" s="1566"/>
      <c r="G168" s="1567" t="str">
        <f t="shared" si="7"/>
        <v xml:space="preserve"> </v>
      </c>
      <c r="H168" s="1568"/>
      <c r="I168" s="13"/>
      <c r="J168" s="13"/>
      <c r="K168" s="13"/>
      <c r="L168" s="70"/>
      <c r="M168" s="70"/>
      <c r="N168" s="70"/>
      <c r="O168" s="13"/>
      <c r="P168" s="13"/>
      <c r="Q168" s="13"/>
      <c r="R168" s="13"/>
      <c r="S168" s="63"/>
      <c r="T168" s="64"/>
      <c r="U168" s="66"/>
      <c r="V168" s="378"/>
      <c r="W168" s="378"/>
      <c r="X168" s="378"/>
      <c r="Y168" s="378"/>
      <c r="Z168" s="378"/>
      <c r="AA168" s="378"/>
      <c r="AB168" s="378"/>
      <c r="AC168" s="378"/>
      <c r="AD168" s="378"/>
      <c r="AE168" s="378"/>
      <c r="AF168" s="378"/>
      <c r="AG168" s="378"/>
      <c r="AH168" s="378"/>
      <c r="AI168" s="378"/>
      <c r="AJ168" s="378"/>
      <c r="AK168" s="378"/>
      <c r="AL168" s="378"/>
      <c r="AM168" s="378"/>
      <c r="AN168" s="378"/>
      <c r="AO168" s="378"/>
      <c r="AP168" s="378"/>
      <c r="AQ168" s="378"/>
      <c r="AR168" s="378"/>
      <c r="AS168" s="378"/>
      <c r="AT168" s="378"/>
      <c r="AU168" s="378"/>
      <c r="AV168" s="378"/>
      <c r="AW168" s="378"/>
      <c r="AX168" s="378"/>
      <c r="AY168" s="378"/>
      <c r="AZ168" s="378"/>
    </row>
    <row r="169" spans="1:52" x14ac:dyDescent="0.25">
      <c r="A169" s="45"/>
      <c r="B169" s="1569"/>
      <c r="C169" s="1569"/>
      <c r="D169" s="1570"/>
      <c r="E169" s="1565"/>
      <c r="F169" s="1566"/>
      <c r="G169" s="1567" t="str">
        <f t="shared" si="7"/>
        <v xml:space="preserve"> </v>
      </c>
      <c r="H169" s="1568"/>
      <c r="I169" s="13"/>
      <c r="J169" s="13"/>
      <c r="K169" s="13"/>
      <c r="L169" s="70"/>
      <c r="M169" s="70"/>
      <c r="N169" s="70"/>
      <c r="O169" s="13"/>
      <c r="P169" s="13"/>
      <c r="Q169" s="13"/>
      <c r="R169" s="13"/>
      <c r="S169" s="63"/>
      <c r="T169" s="64"/>
      <c r="U169" s="66"/>
      <c r="V169" s="378"/>
      <c r="W169" s="378"/>
      <c r="X169" s="378"/>
      <c r="Y169" s="378"/>
      <c r="Z169" s="378"/>
      <c r="AA169" s="378"/>
      <c r="AB169" s="378"/>
      <c r="AC169" s="378"/>
      <c r="AD169" s="378"/>
      <c r="AE169" s="378"/>
      <c r="AF169" s="378"/>
      <c r="AG169" s="378"/>
      <c r="AH169" s="378"/>
      <c r="AI169" s="378"/>
      <c r="AJ169" s="378"/>
      <c r="AK169" s="378"/>
      <c r="AL169" s="378"/>
      <c r="AM169" s="378"/>
      <c r="AN169" s="378"/>
      <c r="AO169" s="378"/>
      <c r="AP169" s="378"/>
      <c r="AQ169" s="378"/>
      <c r="AR169" s="378"/>
      <c r="AS169" s="378"/>
      <c r="AT169" s="378"/>
      <c r="AU169" s="378"/>
      <c r="AV169" s="378"/>
      <c r="AW169" s="378"/>
      <c r="AX169" s="378"/>
      <c r="AY169" s="378"/>
      <c r="AZ169" s="378"/>
    </row>
    <row r="170" spans="1:52" x14ac:dyDescent="0.25">
      <c r="A170" s="45"/>
      <c r="B170" s="1557"/>
      <c r="C170" s="1557"/>
      <c r="D170" s="1557"/>
      <c r="E170" s="1565"/>
      <c r="F170" s="1634"/>
      <c r="G170" s="1567" t="str">
        <f t="shared" si="7"/>
        <v xml:space="preserve"> </v>
      </c>
      <c r="H170" s="1568"/>
      <c r="I170" s="13"/>
      <c r="J170" s="13"/>
      <c r="K170" s="13"/>
      <c r="L170" s="70"/>
      <c r="M170" s="70"/>
      <c r="N170" s="70"/>
      <c r="O170" s="13"/>
      <c r="P170" s="13"/>
      <c r="Q170" s="13"/>
      <c r="R170" s="13"/>
      <c r="S170" s="63"/>
      <c r="T170" s="64"/>
      <c r="U170" s="66"/>
      <c r="V170" s="378"/>
      <c r="W170" s="378"/>
      <c r="X170" s="378"/>
      <c r="Y170" s="378"/>
      <c r="Z170" s="378"/>
      <c r="AA170" s="378"/>
      <c r="AB170" s="378"/>
      <c r="AC170" s="378"/>
      <c r="AD170" s="378"/>
      <c r="AE170" s="378"/>
      <c r="AF170" s="378"/>
      <c r="AG170" s="378"/>
      <c r="AH170" s="378"/>
      <c r="AI170" s="378"/>
      <c r="AJ170" s="378"/>
      <c r="AK170" s="378"/>
      <c r="AL170" s="378"/>
      <c r="AM170" s="378"/>
      <c r="AN170" s="378"/>
      <c r="AO170" s="378"/>
      <c r="AP170" s="378"/>
      <c r="AQ170" s="378"/>
      <c r="AR170" s="378"/>
      <c r="AS170" s="378"/>
      <c r="AT170" s="378"/>
      <c r="AU170" s="378"/>
      <c r="AV170" s="378"/>
      <c r="AW170" s="378"/>
      <c r="AX170" s="378"/>
      <c r="AY170" s="378"/>
      <c r="AZ170" s="378"/>
    </row>
    <row r="171" spans="1:52" x14ac:dyDescent="0.25">
      <c r="A171" s="45"/>
      <c r="B171" s="1557"/>
      <c r="C171" s="1557"/>
      <c r="D171" s="1557"/>
      <c r="E171" s="1565"/>
      <c r="F171" s="1634"/>
      <c r="G171" s="1567" t="str">
        <f t="shared" si="7"/>
        <v xml:space="preserve"> </v>
      </c>
      <c r="H171" s="1568"/>
      <c r="I171" s="13"/>
      <c r="J171" s="13"/>
      <c r="K171" s="13"/>
      <c r="L171" s="70"/>
      <c r="M171" s="70"/>
      <c r="N171" s="70"/>
      <c r="O171" s="13"/>
      <c r="P171" s="13"/>
      <c r="Q171" s="13"/>
      <c r="R171" s="13"/>
      <c r="S171" s="63"/>
      <c r="T171" s="64"/>
      <c r="U171" s="66"/>
      <c r="V171" s="378"/>
      <c r="W171" s="378"/>
      <c r="X171" s="378"/>
      <c r="Y171" s="378"/>
      <c r="Z171" s="378"/>
      <c r="AA171" s="378"/>
      <c r="AB171" s="378"/>
      <c r="AC171" s="378"/>
      <c r="AD171" s="378"/>
      <c r="AE171" s="378"/>
      <c r="AF171" s="378"/>
      <c r="AG171" s="378"/>
      <c r="AH171" s="378"/>
      <c r="AI171" s="378"/>
      <c r="AJ171" s="378"/>
      <c r="AK171" s="378"/>
      <c r="AL171" s="378"/>
      <c r="AM171" s="378"/>
      <c r="AN171" s="378"/>
      <c r="AO171" s="378"/>
      <c r="AP171" s="378"/>
      <c r="AQ171" s="378"/>
      <c r="AR171" s="378"/>
      <c r="AS171" s="378"/>
      <c r="AT171" s="378"/>
      <c r="AU171" s="378"/>
      <c r="AV171" s="378"/>
      <c r="AW171" s="378"/>
      <c r="AX171" s="378"/>
      <c r="AY171" s="378"/>
      <c r="AZ171" s="378"/>
    </row>
    <row r="172" spans="1:52" ht="15.75" x14ac:dyDescent="0.25">
      <c r="A172" s="45"/>
      <c r="B172" s="1569"/>
      <c r="C172" s="1569"/>
      <c r="D172" s="1570"/>
      <c r="E172" s="1565"/>
      <c r="F172" s="1634"/>
      <c r="G172" s="1565">
        <v>1E-3</v>
      </c>
      <c r="H172" s="1571"/>
      <c r="I172" s="13"/>
      <c r="J172" s="13"/>
      <c r="K172" s="13"/>
      <c r="L172" s="72"/>
      <c r="M172" s="72"/>
      <c r="N172" s="13"/>
      <c r="O172" s="13"/>
      <c r="P172" s="13"/>
      <c r="Q172" s="13"/>
      <c r="R172" s="13"/>
      <c r="S172" s="13"/>
      <c r="T172" s="13"/>
      <c r="U172" s="378"/>
      <c r="V172" s="378"/>
      <c r="W172" s="378"/>
      <c r="X172" s="378"/>
      <c r="Y172" s="378"/>
      <c r="Z172" s="378"/>
      <c r="AA172" s="378"/>
      <c r="AB172" s="378"/>
      <c r="AC172" s="378"/>
      <c r="AD172" s="378"/>
      <c r="AE172" s="378"/>
      <c r="AF172" s="378"/>
      <c r="AG172" s="378"/>
      <c r="AH172" s="378"/>
      <c r="AI172" s="378"/>
      <c r="AJ172" s="378"/>
      <c r="AK172" s="378"/>
      <c r="AL172" s="378"/>
      <c r="AM172" s="378"/>
      <c r="AN172" s="378"/>
      <c r="AO172" s="378"/>
      <c r="AP172" s="378"/>
      <c r="AQ172" s="378"/>
      <c r="AR172" s="378"/>
      <c r="AS172" s="378"/>
      <c r="AT172" s="378"/>
      <c r="AU172" s="378"/>
      <c r="AV172" s="378"/>
      <c r="AW172" s="378"/>
      <c r="AX172" s="378"/>
      <c r="AY172" s="378"/>
      <c r="AZ172" s="378"/>
    </row>
    <row r="173" spans="1:52" ht="15.75" x14ac:dyDescent="0.25">
      <c r="A173" s="45"/>
      <c r="B173" s="759" t="s">
        <v>99</v>
      </c>
      <c r="C173" s="32"/>
      <c r="D173" s="592" t="s">
        <v>79</v>
      </c>
      <c r="E173" s="1575">
        <f>SUM(E162:E172)</f>
        <v>0</v>
      </c>
      <c r="F173" s="1575"/>
      <c r="G173" s="1575">
        <f>SUM(G162:G172)</f>
        <v>1E-3</v>
      </c>
      <c r="H173" s="1575"/>
      <c r="I173" s="378"/>
      <c r="J173" s="532"/>
      <c r="K173" s="13"/>
      <c r="L173" s="13"/>
      <c r="M173" s="13"/>
      <c r="N173" s="13"/>
      <c r="O173" s="13"/>
      <c r="P173" s="13"/>
      <c r="Q173" s="13"/>
      <c r="R173" s="13"/>
      <c r="S173" s="13"/>
      <c r="T173" s="13"/>
      <c r="U173" s="378"/>
      <c r="V173" s="378"/>
      <c r="W173" s="378"/>
      <c r="X173" s="378"/>
      <c r="Y173" s="378"/>
      <c r="Z173" s="378"/>
      <c r="AA173" s="378"/>
      <c r="AB173" s="378"/>
      <c r="AC173" s="378"/>
      <c r="AD173" s="378"/>
      <c r="AE173" s="378"/>
      <c r="AF173" s="378"/>
      <c r="AG173" s="378"/>
      <c r="AH173" s="378"/>
      <c r="AI173" s="378"/>
      <c r="AJ173" s="378"/>
      <c r="AK173" s="378"/>
      <c r="AL173" s="378"/>
      <c r="AM173" s="378"/>
      <c r="AN173" s="378"/>
      <c r="AO173" s="378"/>
      <c r="AP173" s="378"/>
      <c r="AQ173" s="378"/>
      <c r="AR173" s="378"/>
      <c r="AS173" s="378"/>
      <c r="AT173" s="378"/>
      <c r="AU173" s="378"/>
      <c r="AV173" s="378"/>
      <c r="AW173" s="378"/>
      <c r="AX173" s="378"/>
      <c r="AY173" s="378"/>
      <c r="AZ173" s="378"/>
    </row>
    <row r="174" spans="1:52" s="532" customFormat="1" ht="15.75" x14ac:dyDescent="0.25">
      <c r="A174" s="45"/>
      <c r="B174" s="1554" t="s">
        <v>96</v>
      </c>
      <c r="C174" s="1554"/>
      <c r="D174" s="1554"/>
      <c r="E174" s="1554"/>
      <c r="F174" s="32"/>
      <c r="G174" s="32"/>
      <c r="H174" s="13"/>
      <c r="I174" s="516"/>
      <c r="J174" s="62"/>
      <c r="K174" s="13"/>
      <c r="L174" s="13"/>
      <c r="M174" s="13"/>
      <c r="N174" s="13"/>
      <c r="O174" s="13"/>
      <c r="P174" s="13"/>
      <c r="Q174" s="13"/>
      <c r="R174" s="13"/>
      <c r="S174" s="13"/>
      <c r="T174" s="13"/>
      <c r="U174" s="378"/>
      <c r="V174" s="378"/>
      <c r="W174" s="378"/>
      <c r="X174" s="378"/>
      <c r="Y174" s="378"/>
      <c r="Z174" s="378"/>
      <c r="AA174" s="378"/>
      <c r="AB174" s="378"/>
      <c r="AC174" s="378"/>
      <c r="AD174" s="378"/>
      <c r="AE174" s="378"/>
      <c r="AF174" s="378"/>
      <c r="AG174" s="378"/>
      <c r="AH174" s="378"/>
      <c r="AI174" s="378"/>
      <c r="AJ174" s="378"/>
      <c r="AK174" s="378"/>
      <c r="AL174" s="378"/>
      <c r="AM174" s="378"/>
      <c r="AN174" s="378"/>
      <c r="AO174" s="378"/>
      <c r="AP174" s="378"/>
      <c r="AQ174" s="378"/>
      <c r="AR174" s="378"/>
      <c r="AS174" s="378"/>
      <c r="AT174" s="378"/>
      <c r="AU174" s="378"/>
      <c r="AV174" s="378"/>
      <c r="AW174" s="378"/>
      <c r="AX174" s="378"/>
      <c r="AY174" s="378"/>
      <c r="AZ174" s="378"/>
    </row>
    <row r="175" spans="1:52" s="532" customFormat="1" ht="15.75" x14ac:dyDescent="0.25">
      <c r="A175" s="45"/>
      <c r="B175" s="62"/>
      <c r="C175" s="13"/>
      <c r="D175" s="13"/>
      <c r="E175" s="62"/>
      <c r="F175" s="32"/>
      <c r="G175" s="32"/>
      <c r="H175" s="13"/>
      <c r="I175" s="516"/>
      <c r="J175" s="62"/>
      <c r="K175" s="13"/>
      <c r="L175" s="13"/>
      <c r="M175" s="13"/>
      <c r="N175" s="13"/>
      <c r="O175" s="13"/>
      <c r="P175" s="13"/>
      <c r="Q175" s="13"/>
      <c r="R175" s="13"/>
      <c r="S175" s="13"/>
      <c r="T175" s="13"/>
      <c r="U175" s="378"/>
      <c r="V175" s="378"/>
      <c r="W175" s="378"/>
      <c r="X175" s="378"/>
      <c r="Y175" s="378"/>
      <c r="Z175" s="378"/>
      <c r="AA175" s="378"/>
      <c r="AB175" s="378"/>
      <c r="AC175" s="378"/>
      <c r="AD175" s="378"/>
      <c r="AE175" s="378"/>
      <c r="AF175" s="378"/>
      <c r="AG175" s="378"/>
      <c r="AH175" s="378"/>
      <c r="AI175" s="378"/>
      <c r="AJ175" s="378"/>
      <c r="AK175" s="378"/>
      <c r="AL175" s="378"/>
      <c r="AM175" s="378"/>
      <c r="AN175" s="378"/>
      <c r="AO175" s="378"/>
      <c r="AP175" s="378"/>
      <c r="AQ175" s="378"/>
      <c r="AR175" s="378"/>
      <c r="AS175" s="378"/>
      <c r="AT175" s="378"/>
      <c r="AU175" s="378"/>
      <c r="AV175" s="378"/>
      <c r="AW175" s="378"/>
      <c r="AX175" s="378"/>
      <c r="AY175" s="378"/>
      <c r="AZ175" s="378"/>
    </row>
    <row r="176" spans="1:52" ht="15.75" x14ac:dyDescent="0.25">
      <c r="A176" s="582"/>
      <c r="B176" s="30" t="s">
        <v>100</v>
      </c>
      <c r="C176" s="13"/>
      <c r="D176" s="13"/>
      <c r="E176" s="1596" t="s">
        <v>101</v>
      </c>
      <c r="F176" s="1596"/>
      <c r="G176" s="1596"/>
      <c r="H176" s="378"/>
      <c r="I176" s="1596" t="s">
        <v>102</v>
      </c>
      <c r="J176" s="1596"/>
      <c r="K176" s="1596"/>
      <c r="L176" s="13"/>
      <c r="M176" s="13"/>
      <c r="N176" s="13"/>
      <c r="O176" s="13"/>
      <c r="P176" s="13"/>
      <c r="Q176" s="13"/>
      <c r="R176" s="13"/>
      <c r="S176" s="13"/>
      <c r="T176" s="13"/>
      <c r="U176" s="378"/>
      <c r="V176" s="378"/>
      <c r="W176" s="378"/>
      <c r="X176" s="378"/>
      <c r="Y176" s="378"/>
      <c r="Z176" s="378"/>
      <c r="AA176" s="378"/>
      <c r="AB176" s="378"/>
      <c r="AC176" s="378"/>
      <c r="AD176" s="378"/>
      <c r="AE176" s="378"/>
      <c r="AF176" s="378"/>
      <c r="AG176" s="378"/>
      <c r="AH176" s="378"/>
      <c r="AI176" s="378"/>
      <c r="AJ176" s="378"/>
      <c r="AK176" s="378"/>
      <c r="AL176" s="378"/>
      <c r="AM176" s="378"/>
      <c r="AN176" s="378"/>
      <c r="AO176" s="378"/>
      <c r="AP176" s="378"/>
      <c r="AQ176" s="378"/>
      <c r="AR176" s="378"/>
      <c r="AS176" s="378"/>
      <c r="AT176" s="378"/>
      <c r="AU176" s="378"/>
      <c r="AV176" s="378"/>
      <c r="AW176" s="378"/>
      <c r="AX176" s="378"/>
      <c r="AY176" s="378"/>
      <c r="AZ176" s="378"/>
    </row>
    <row r="177" spans="1:52" ht="15.75" x14ac:dyDescent="0.25">
      <c r="A177" s="45"/>
      <c r="B177" s="1587" t="s">
        <v>67</v>
      </c>
      <c r="C177" s="1587"/>
      <c r="D177" s="1587"/>
      <c r="E177" s="1512" t="s">
        <v>103</v>
      </c>
      <c r="F177" s="1623" t="s">
        <v>104</v>
      </c>
      <c r="G177" s="1624"/>
      <c r="H177" s="378"/>
      <c r="I177" s="1512" t="s">
        <v>103</v>
      </c>
      <c r="J177" s="1625" t="s">
        <v>105</v>
      </c>
      <c r="K177" s="1625"/>
      <c r="L177" s="378"/>
      <c r="M177" s="13"/>
      <c r="N177" s="13"/>
      <c r="O177" s="13"/>
      <c r="P177" s="13"/>
      <c r="Q177" s="13"/>
      <c r="R177" s="13"/>
      <c r="S177" s="13"/>
      <c r="T177" s="13"/>
      <c r="U177" s="378"/>
      <c r="V177" s="378"/>
      <c r="W177" s="378"/>
      <c r="X177" s="378"/>
      <c r="Y177" s="378"/>
      <c r="Z177" s="378"/>
      <c r="AA177" s="378"/>
      <c r="AB177" s="378"/>
      <c r="AC177" s="378"/>
      <c r="AD177" s="378"/>
      <c r="AE177" s="378"/>
      <c r="AF177" s="378"/>
      <c r="AG177" s="378"/>
      <c r="AH177" s="378"/>
      <c r="AI177" s="378"/>
      <c r="AJ177" s="378"/>
      <c r="AK177" s="378"/>
      <c r="AL177" s="378"/>
      <c r="AM177" s="378"/>
      <c r="AN177" s="378"/>
      <c r="AO177" s="378"/>
      <c r="AP177" s="378"/>
      <c r="AQ177" s="378"/>
      <c r="AR177" s="378"/>
      <c r="AS177" s="378"/>
      <c r="AT177" s="378"/>
      <c r="AU177" s="378"/>
      <c r="AV177" s="378"/>
      <c r="AW177" s="378"/>
      <c r="AX177" s="378"/>
      <c r="AY177" s="378"/>
      <c r="AZ177" s="378"/>
    </row>
    <row r="178" spans="1:52" ht="15.75" x14ac:dyDescent="0.25">
      <c r="A178" s="45"/>
      <c r="B178" s="1558" t="s">
        <v>106</v>
      </c>
      <c r="C178" s="1558"/>
      <c r="D178" s="1558"/>
      <c r="E178" s="1493"/>
      <c r="F178" s="1555"/>
      <c r="G178" s="1556"/>
      <c r="H178" s="378"/>
      <c r="I178" s="875"/>
      <c r="J178" s="1555"/>
      <c r="K178" s="1556"/>
      <c r="L178" s="378"/>
      <c r="M178" s="13"/>
      <c r="N178" s="13"/>
      <c r="O178" s="13"/>
      <c r="P178" s="13"/>
      <c r="Q178" s="13"/>
      <c r="R178" s="13"/>
      <c r="S178" s="13"/>
      <c r="T178" s="13"/>
      <c r="U178" s="378"/>
      <c r="V178" s="378"/>
      <c r="W178" s="378"/>
      <c r="X178" s="378"/>
      <c r="Y178" s="378"/>
      <c r="Z178" s="378"/>
      <c r="AA178" s="378"/>
      <c r="AB178" s="378"/>
      <c r="AC178" s="378"/>
      <c r="AD178" s="378"/>
      <c r="AE178" s="378"/>
      <c r="AF178" s="378"/>
      <c r="AG178" s="378"/>
      <c r="AH178" s="378"/>
      <c r="AI178" s="378"/>
      <c r="AJ178" s="378"/>
      <c r="AK178" s="378"/>
      <c r="AL178" s="378"/>
      <c r="AM178" s="378"/>
      <c r="AN178" s="378"/>
      <c r="AO178" s="378"/>
      <c r="AP178" s="378"/>
      <c r="AQ178" s="378"/>
      <c r="AR178" s="378"/>
      <c r="AS178" s="378"/>
      <c r="AT178" s="378"/>
      <c r="AU178" s="378"/>
      <c r="AV178" s="378"/>
      <c r="AW178" s="378"/>
      <c r="AX178" s="378"/>
      <c r="AY178" s="378"/>
      <c r="AZ178" s="378"/>
    </row>
    <row r="179" spans="1:52" ht="15.75" x14ac:dyDescent="0.25">
      <c r="A179" s="45"/>
      <c r="B179" s="1558" t="s">
        <v>107</v>
      </c>
      <c r="C179" s="1558"/>
      <c r="D179" s="1558"/>
      <c r="E179" s="1493"/>
      <c r="F179" s="1555"/>
      <c r="G179" s="1556"/>
      <c r="H179" s="378"/>
      <c r="I179" s="875"/>
      <c r="J179" s="1555"/>
      <c r="K179" s="1556"/>
      <c r="L179" s="378"/>
      <c r="M179" s="13"/>
      <c r="N179" s="13"/>
      <c r="O179" s="13"/>
      <c r="P179" s="13"/>
      <c r="Q179" s="13"/>
      <c r="R179" s="13"/>
      <c r="S179" s="13"/>
      <c r="T179" s="13"/>
      <c r="U179" s="378"/>
      <c r="V179" s="378"/>
      <c r="W179" s="378"/>
      <c r="X179" s="378"/>
      <c r="Y179" s="378"/>
      <c r="Z179" s="378"/>
      <c r="AA179" s="378"/>
      <c r="AB179" s="378"/>
      <c r="AC179" s="378"/>
      <c r="AD179" s="378"/>
      <c r="AE179" s="378"/>
      <c r="AF179" s="378"/>
      <c r="AG179" s="378"/>
      <c r="AH179" s="378"/>
      <c r="AI179" s="378"/>
      <c r="AJ179" s="378"/>
      <c r="AK179" s="378"/>
      <c r="AL179" s="378"/>
      <c r="AM179" s="378"/>
      <c r="AN179" s="378"/>
      <c r="AO179" s="378"/>
      <c r="AP179" s="378"/>
      <c r="AQ179" s="378"/>
      <c r="AR179" s="378"/>
      <c r="AS179" s="378"/>
      <c r="AT179" s="378"/>
      <c r="AU179" s="378"/>
      <c r="AV179" s="378"/>
      <c r="AW179" s="378"/>
      <c r="AX179" s="378"/>
      <c r="AY179" s="378"/>
      <c r="AZ179" s="378"/>
    </row>
    <row r="180" spans="1:52" ht="15.75" x14ac:dyDescent="0.25">
      <c r="A180" s="45"/>
      <c r="B180" s="1558" t="s">
        <v>108</v>
      </c>
      <c r="C180" s="1558"/>
      <c r="D180" s="1558"/>
      <c r="E180" s="1493"/>
      <c r="F180" s="1555"/>
      <c r="G180" s="1556"/>
      <c r="H180" s="378"/>
      <c r="I180" s="875"/>
      <c r="J180" s="1555"/>
      <c r="K180" s="1556"/>
      <c r="L180" s="378"/>
      <c r="M180" s="13"/>
      <c r="N180" s="13"/>
      <c r="O180" s="13"/>
      <c r="P180" s="13"/>
      <c r="Q180" s="13"/>
      <c r="R180" s="13"/>
      <c r="S180" s="13"/>
      <c r="T180" s="13"/>
      <c r="U180" s="378"/>
      <c r="V180" s="378"/>
      <c r="W180" s="378"/>
      <c r="X180" s="378"/>
      <c r="Y180" s="378"/>
      <c r="Z180" s="378"/>
      <c r="AA180" s="378"/>
      <c r="AB180" s="378"/>
      <c r="AC180" s="378"/>
      <c r="AD180" s="378"/>
      <c r="AE180" s="378"/>
      <c r="AF180" s="378"/>
      <c r="AG180" s="378"/>
      <c r="AH180" s="378"/>
      <c r="AI180" s="378"/>
      <c r="AJ180" s="378"/>
      <c r="AK180" s="378"/>
      <c r="AL180" s="378"/>
      <c r="AM180" s="378"/>
      <c r="AN180" s="378"/>
      <c r="AO180" s="378"/>
      <c r="AP180" s="378"/>
      <c r="AQ180" s="378"/>
      <c r="AR180" s="378"/>
      <c r="AS180" s="378"/>
      <c r="AT180" s="378"/>
      <c r="AU180" s="378"/>
      <c r="AV180" s="378"/>
      <c r="AW180" s="378"/>
      <c r="AX180" s="378"/>
      <c r="AY180" s="378"/>
      <c r="AZ180" s="378"/>
    </row>
    <row r="181" spans="1:52" ht="15.75" x14ac:dyDescent="0.25">
      <c r="A181" s="45"/>
      <c r="B181" s="1558" t="s">
        <v>109</v>
      </c>
      <c r="C181" s="1558"/>
      <c r="D181" s="1558"/>
      <c r="E181" s="1493"/>
      <c r="F181" s="1555"/>
      <c r="G181" s="1556"/>
      <c r="H181" s="378"/>
      <c r="I181" s="875"/>
      <c r="J181" s="1555"/>
      <c r="K181" s="1556"/>
      <c r="L181" s="378"/>
      <c r="M181" s="13"/>
      <c r="N181" s="13"/>
      <c r="O181" s="13"/>
      <c r="P181" s="13"/>
      <c r="Q181" s="13"/>
      <c r="R181" s="13"/>
      <c r="S181" s="13"/>
      <c r="T181" s="13"/>
      <c r="U181" s="378"/>
      <c r="V181" s="378"/>
      <c r="W181" s="378"/>
      <c r="X181" s="378"/>
      <c r="Y181" s="378"/>
      <c r="Z181" s="378"/>
      <c r="AA181" s="378"/>
      <c r="AB181" s="378"/>
      <c r="AC181" s="378"/>
      <c r="AD181" s="378"/>
      <c r="AE181" s="378"/>
      <c r="AF181" s="378"/>
      <c r="AG181" s="378"/>
      <c r="AH181" s="378"/>
      <c r="AI181" s="378"/>
      <c r="AJ181" s="378"/>
      <c r="AK181" s="378"/>
      <c r="AL181" s="378"/>
      <c r="AM181" s="378"/>
      <c r="AN181" s="378"/>
      <c r="AO181" s="378"/>
      <c r="AP181" s="378"/>
      <c r="AQ181" s="378"/>
      <c r="AR181" s="378"/>
      <c r="AS181" s="378"/>
      <c r="AT181" s="378"/>
      <c r="AU181" s="378"/>
      <c r="AV181" s="378"/>
      <c r="AW181" s="378"/>
      <c r="AX181" s="378"/>
      <c r="AY181" s="378"/>
      <c r="AZ181" s="378"/>
    </row>
    <row r="182" spans="1:52" ht="15.75" x14ac:dyDescent="0.25">
      <c r="A182" s="45"/>
      <c r="B182" s="1558" t="s">
        <v>110</v>
      </c>
      <c r="C182" s="1558"/>
      <c r="D182" s="1558"/>
      <c r="E182" s="1493"/>
      <c r="F182" s="1555"/>
      <c r="G182" s="1556"/>
      <c r="H182" s="378"/>
      <c r="I182" s="875"/>
      <c r="J182" s="1555"/>
      <c r="K182" s="1556"/>
      <c r="L182" s="378"/>
      <c r="M182" s="13"/>
      <c r="N182" s="13"/>
      <c r="O182" s="13"/>
      <c r="P182" s="13"/>
      <c r="Q182" s="13"/>
      <c r="R182" s="13"/>
      <c r="S182" s="13"/>
      <c r="T182" s="13"/>
      <c r="U182" s="378"/>
      <c r="V182" s="378"/>
      <c r="W182" s="378"/>
      <c r="X182" s="378"/>
      <c r="Y182" s="378"/>
      <c r="Z182" s="378"/>
      <c r="AA182" s="378"/>
      <c r="AB182" s="378"/>
      <c r="AC182" s="378"/>
      <c r="AD182" s="378"/>
      <c r="AE182" s="378"/>
      <c r="AF182" s="378"/>
      <c r="AG182" s="378"/>
      <c r="AH182" s="378"/>
      <c r="AI182" s="378"/>
      <c r="AJ182" s="378"/>
      <c r="AK182" s="378"/>
      <c r="AL182" s="378"/>
      <c r="AM182" s="378"/>
      <c r="AN182" s="378"/>
      <c r="AO182" s="378"/>
      <c r="AP182" s="378"/>
      <c r="AQ182" s="378"/>
      <c r="AR182" s="378"/>
      <c r="AS182" s="378"/>
      <c r="AT182" s="378"/>
      <c r="AU182" s="378"/>
      <c r="AV182" s="378"/>
      <c r="AW182" s="378"/>
      <c r="AX182" s="378"/>
      <c r="AY182" s="378"/>
      <c r="AZ182" s="378"/>
    </row>
    <row r="183" spans="1:52" ht="15.75" x14ac:dyDescent="0.25">
      <c r="A183" s="45"/>
      <c r="B183" s="1558" t="s">
        <v>111</v>
      </c>
      <c r="C183" s="1558"/>
      <c r="D183" s="1558"/>
      <c r="E183" s="1493"/>
      <c r="F183" s="1555"/>
      <c r="G183" s="1556"/>
      <c r="H183" s="378"/>
      <c r="I183" s="875"/>
      <c r="J183" s="1555"/>
      <c r="K183" s="1556"/>
      <c r="L183" s="378"/>
      <c r="M183" s="13"/>
      <c r="N183" s="13"/>
      <c r="O183" s="13"/>
      <c r="P183" s="13"/>
      <c r="Q183" s="13"/>
      <c r="R183" s="13"/>
      <c r="S183" s="13"/>
      <c r="T183" s="13"/>
      <c r="U183" s="378"/>
      <c r="V183" s="378"/>
      <c r="W183" s="378"/>
      <c r="X183" s="378"/>
      <c r="Y183" s="378"/>
      <c r="Z183" s="378"/>
      <c r="AA183" s="378"/>
      <c r="AB183" s="378"/>
      <c r="AC183" s="378"/>
      <c r="AD183" s="378"/>
      <c r="AE183" s="378"/>
      <c r="AF183" s="378"/>
      <c r="AG183" s="378"/>
      <c r="AH183" s="378"/>
      <c r="AI183" s="378"/>
      <c r="AJ183" s="378"/>
      <c r="AK183" s="378"/>
      <c r="AL183" s="378"/>
      <c r="AM183" s="378"/>
      <c r="AN183" s="378"/>
      <c r="AO183" s="378"/>
      <c r="AP183" s="378"/>
      <c r="AQ183" s="378"/>
      <c r="AR183" s="378"/>
      <c r="AS183" s="378"/>
      <c r="AT183" s="378"/>
      <c r="AU183" s="378"/>
      <c r="AV183" s="378"/>
      <c r="AW183" s="378"/>
      <c r="AX183" s="378"/>
      <c r="AY183" s="378"/>
      <c r="AZ183" s="378"/>
    </row>
    <row r="184" spans="1:52" ht="15.75" x14ac:dyDescent="0.25">
      <c r="A184" s="45"/>
      <c r="B184" s="1558" t="s">
        <v>112</v>
      </c>
      <c r="C184" s="1558"/>
      <c r="D184" s="1558"/>
      <c r="E184" s="1493"/>
      <c r="F184" s="1555"/>
      <c r="G184" s="1556"/>
      <c r="H184" s="378"/>
      <c r="I184" s="875"/>
      <c r="J184" s="1555"/>
      <c r="K184" s="1556"/>
      <c r="L184" s="378"/>
      <c r="M184" s="13"/>
      <c r="N184" s="13"/>
      <c r="O184" s="13"/>
      <c r="P184" s="13"/>
      <c r="Q184" s="13"/>
      <c r="R184" s="13"/>
      <c r="S184" s="13"/>
      <c r="T184" s="13"/>
      <c r="U184" s="378"/>
      <c r="V184" s="378"/>
      <c r="W184" s="378"/>
      <c r="X184" s="378"/>
      <c r="Y184" s="378"/>
      <c r="Z184" s="378"/>
      <c r="AA184" s="378"/>
      <c r="AB184" s="378"/>
      <c r="AC184" s="378"/>
      <c r="AD184" s="378"/>
      <c r="AE184" s="378"/>
      <c r="AF184" s="378"/>
      <c r="AG184" s="378"/>
      <c r="AH184" s="378"/>
      <c r="AI184" s="378"/>
      <c r="AJ184" s="378"/>
      <c r="AK184" s="378"/>
      <c r="AL184" s="378"/>
      <c r="AM184" s="378"/>
      <c r="AN184" s="378"/>
      <c r="AO184" s="378"/>
      <c r="AP184" s="378"/>
      <c r="AQ184" s="378"/>
      <c r="AR184" s="378"/>
      <c r="AS184" s="378"/>
      <c r="AT184" s="378"/>
      <c r="AU184" s="378"/>
      <c r="AV184" s="378"/>
      <c r="AW184" s="378"/>
      <c r="AX184" s="378"/>
      <c r="AY184" s="378"/>
      <c r="AZ184" s="378"/>
    </row>
    <row r="185" spans="1:52" ht="15.75" x14ac:dyDescent="0.25">
      <c r="A185" s="45"/>
      <c r="B185" s="1558" t="s">
        <v>113</v>
      </c>
      <c r="C185" s="1558"/>
      <c r="D185" s="1558"/>
      <c r="E185" s="1493"/>
      <c r="F185" s="1555"/>
      <c r="G185" s="1556"/>
      <c r="H185" s="378"/>
      <c r="I185" s="875"/>
      <c r="J185" s="1555"/>
      <c r="K185" s="1556"/>
      <c r="L185" s="378"/>
      <c r="M185" s="13"/>
      <c r="N185" s="13"/>
      <c r="O185" s="13"/>
      <c r="P185" s="13"/>
      <c r="Q185" s="13"/>
      <c r="R185" s="13"/>
      <c r="S185" s="13"/>
      <c r="T185" s="13"/>
      <c r="U185" s="378"/>
      <c r="V185" s="378"/>
      <c r="W185" s="378"/>
      <c r="X185" s="378"/>
      <c r="Y185" s="378"/>
      <c r="Z185" s="378"/>
      <c r="AA185" s="378"/>
      <c r="AB185" s="378"/>
      <c r="AC185" s="378"/>
      <c r="AD185" s="378"/>
      <c r="AE185" s="378"/>
      <c r="AF185" s="378"/>
      <c r="AG185" s="378"/>
      <c r="AH185" s="378"/>
      <c r="AI185" s="378"/>
      <c r="AJ185" s="378"/>
      <c r="AK185" s="378"/>
      <c r="AL185" s="378"/>
      <c r="AM185" s="378"/>
      <c r="AN185" s="378"/>
      <c r="AO185" s="378"/>
      <c r="AP185" s="378"/>
      <c r="AQ185" s="378"/>
      <c r="AR185" s="378"/>
      <c r="AS185" s="378"/>
      <c r="AT185" s="378"/>
      <c r="AU185" s="378"/>
      <c r="AV185" s="378"/>
      <c r="AW185" s="378"/>
      <c r="AX185" s="378"/>
      <c r="AY185" s="378"/>
      <c r="AZ185" s="378"/>
    </row>
    <row r="186" spans="1:52" ht="15.75" x14ac:dyDescent="0.25">
      <c r="A186" s="45"/>
      <c r="B186" s="1558" t="s">
        <v>114</v>
      </c>
      <c r="C186" s="1558"/>
      <c r="D186" s="1558"/>
      <c r="E186" s="875"/>
      <c r="F186" s="1555"/>
      <c r="G186" s="1556"/>
      <c r="H186" s="378"/>
      <c r="I186" s="875"/>
      <c r="J186" s="1555"/>
      <c r="K186" s="1556"/>
      <c r="L186" s="378"/>
      <c r="M186" s="13"/>
      <c r="N186" s="378"/>
      <c r="O186" s="13"/>
      <c r="P186" s="13"/>
      <c r="Q186" s="13"/>
      <c r="R186" s="13"/>
      <c r="S186" s="13"/>
      <c r="T186" s="13"/>
      <c r="U186" s="378"/>
      <c r="V186" s="378"/>
      <c r="W186" s="378"/>
      <c r="X186" s="378"/>
      <c r="Y186" s="378"/>
      <c r="Z186" s="378"/>
      <c r="AA186" s="378"/>
      <c r="AB186" s="378"/>
      <c r="AC186" s="378"/>
      <c r="AD186" s="378"/>
      <c r="AE186" s="378"/>
      <c r="AF186" s="378"/>
      <c r="AG186" s="378"/>
      <c r="AH186" s="378"/>
      <c r="AI186" s="378"/>
      <c r="AJ186" s="378"/>
      <c r="AK186" s="378"/>
      <c r="AL186" s="378"/>
      <c r="AM186" s="378"/>
      <c r="AN186" s="378"/>
      <c r="AO186" s="378"/>
      <c r="AP186" s="378"/>
      <c r="AQ186" s="378"/>
      <c r="AR186" s="378"/>
      <c r="AS186" s="378"/>
      <c r="AT186" s="378"/>
      <c r="AU186" s="378"/>
      <c r="AV186" s="378"/>
      <c r="AW186" s="378"/>
      <c r="AX186" s="378"/>
      <c r="AY186" s="378"/>
      <c r="AZ186" s="378"/>
    </row>
    <row r="187" spans="1:52" ht="15.75" x14ac:dyDescent="0.25">
      <c r="A187" s="45"/>
      <c r="B187" s="1558" t="s">
        <v>115</v>
      </c>
      <c r="C187" s="1558"/>
      <c r="D187" s="1558"/>
      <c r="E187" s="875"/>
      <c r="F187" s="1555"/>
      <c r="G187" s="1556"/>
      <c r="H187" s="378"/>
      <c r="I187" s="875"/>
      <c r="J187" s="1626"/>
      <c r="K187" s="1627"/>
      <c r="L187" s="378"/>
      <c r="M187" s="13"/>
      <c r="N187" s="13"/>
      <c r="O187" s="13"/>
      <c r="P187" s="13"/>
      <c r="Q187" s="13"/>
      <c r="R187" s="13"/>
      <c r="S187" s="13"/>
      <c r="T187" s="13"/>
      <c r="U187" s="378"/>
      <c r="V187" s="378"/>
      <c r="W187" s="378"/>
      <c r="X187" s="378"/>
      <c r="Y187" s="378"/>
      <c r="Z187" s="378"/>
      <c r="AA187" s="378"/>
      <c r="AB187" s="378"/>
      <c r="AC187" s="378"/>
      <c r="AD187" s="378"/>
      <c r="AE187" s="378"/>
      <c r="AF187" s="378"/>
      <c r="AG187" s="378"/>
      <c r="AH187" s="378"/>
      <c r="AI187" s="378"/>
      <c r="AJ187" s="378"/>
      <c r="AK187" s="378"/>
      <c r="AL187" s="378"/>
      <c r="AM187" s="378"/>
      <c r="AN187" s="378"/>
      <c r="AO187" s="378"/>
      <c r="AP187" s="378"/>
      <c r="AQ187" s="378"/>
      <c r="AR187" s="378"/>
      <c r="AS187" s="378"/>
      <c r="AT187" s="378"/>
      <c r="AU187" s="378"/>
      <c r="AV187" s="378"/>
      <c r="AW187" s="378"/>
      <c r="AX187" s="378"/>
      <c r="AY187" s="378"/>
      <c r="AZ187" s="378"/>
    </row>
    <row r="188" spans="1:52" ht="15.75" x14ac:dyDescent="0.25">
      <c r="A188" s="45"/>
      <c r="B188" s="1558" t="s">
        <v>116</v>
      </c>
      <c r="C188" s="1558"/>
      <c r="D188" s="1558"/>
      <c r="E188" s="875"/>
      <c r="F188" s="1555"/>
      <c r="G188" s="1556"/>
      <c r="H188" s="378"/>
      <c r="I188" s="875"/>
      <c r="J188" s="1555"/>
      <c r="K188" s="1556"/>
      <c r="L188" s="378"/>
      <c r="M188" s="13"/>
      <c r="N188" s="13"/>
      <c r="O188" s="13"/>
      <c r="P188" s="13"/>
      <c r="Q188" s="13"/>
      <c r="R188" s="13"/>
      <c r="S188" s="13"/>
      <c r="T188" s="13"/>
      <c r="U188" s="378"/>
      <c r="V188" s="378"/>
      <c r="W188" s="378"/>
      <c r="X188" s="378"/>
      <c r="Y188" s="378"/>
      <c r="Z188" s="378"/>
      <c r="AA188" s="378"/>
      <c r="AB188" s="378"/>
      <c r="AC188" s="378"/>
      <c r="AD188" s="378"/>
      <c r="AE188" s="378"/>
      <c r="AF188" s="378"/>
      <c r="AG188" s="378"/>
      <c r="AH188" s="378"/>
      <c r="AI188" s="378"/>
      <c r="AJ188" s="378"/>
      <c r="AK188" s="378"/>
      <c r="AL188" s="378"/>
      <c r="AM188" s="378"/>
      <c r="AN188" s="378"/>
      <c r="AO188" s="378"/>
      <c r="AP188" s="378"/>
      <c r="AQ188" s="378"/>
      <c r="AR188" s="378"/>
      <c r="AS188" s="378"/>
      <c r="AT188" s="378"/>
      <c r="AU188" s="378"/>
      <c r="AV188" s="378"/>
      <c r="AW188" s="378"/>
      <c r="AX188" s="378"/>
      <c r="AY188" s="378"/>
      <c r="AZ188" s="378"/>
    </row>
    <row r="189" spans="1:52" ht="15.75" x14ac:dyDescent="0.25">
      <c r="A189" s="45"/>
      <c r="B189" s="1558" t="s">
        <v>117</v>
      </c>
      <c r="C189" s="1558"/>
      <c r="D189" s="1558"/>
      <c r="E189" s="875"/>
      <c r="F189" s="1555"/>
      <c r="G189" s="1556"/>
      <c r="H189" s="378"/>
      <c r="I189" s="875"/>
      <c r="J189" s="1555"/>
      <c r="K189" s="1556"/>
      <c r="L189" s="378"/>
      <c r="M189" s="13"/>
      <c r="N189" s="13"/>
      <c r="O189" s="13"/>
      <c r="P189" s="13"/>
      <c r="Q189" s="13"/>
      <c r="R189" s="13"/>
      <c r="S189" s="13"/>
      <c r="T189" s="13"/>
      <c r="U189" s="378"/>
      <c r="V189" s="378"/>
      <c r="W189" s="378"/>
      <c r="X189" s="378"/>
      <c r="Y189" s="378"/>
      <c r="Z189" s="378"/>
      <c r="AA189" s="378"/>
      <c r="AB189" s="378"/>
      <c r="AC189" s="378"/>
      <c r="AD189" s="378"/>
      <c r="AE189" s="378"/>
      <c r="AF189" s="378"/>
      <c r="AG189" s="378"/>
      <c r="AH189" s="378"/>
      <c r="AI189" s="378"/>
      <c r="AJ189" s="378"/>
      <c r="AK189" s="378"/>
      <c r="AL189" s="378"/>
      <c r="AM189" s="378"/>
      <c r="AN189" s="378"/>
      <c r="AO189" s="378"/>
      <c r="AP189" s="378"/>
      <c r="AQ189" s="378"/>
      <c r="AR189" s="378"/>
      <c r="AS189" s="378"/>
      <c r="AT189" s="378"/>
      <c r="AU189" s="378"/>
      <c r="AV189" s="378"/>
      <c r="AW189" s="378"/>
      <c r="AX189" s="378"/>
      <c r="AY189" s="378"/>
      <c r="AZ189" s="378"/>
    </row>
    <row r="190" spans="1:52" x14ac:dyDescent="0.25">
      <c r="A190" s="45"/>
      <c r="B190" s="1570"/>
      <c r="C190" s="1574"/>
      <c r="D190" s="1601"/>
      <c r="E190" s="1312"/>
      <c r="F190" s="1555">
        <v>1E-3</v>
      </c>
      <c r="G190" s="1556"/>
      <c r="H190" s="378"/>
      <c r="I190" s="1312"/>
      <c r="J190" s="1555">
        <v>1E-3</v>
      </c>
      <c r="K190" s="1556"/>
      <c r="L190" s="378"/>
      <c r="M190" s="13"/>
      <c r="N190" s="13"/>
      <c r="O190" s="378"/>
      <c r="P190" s="13"/>
      <c r="Q190" s="13"/>
      <c r="R190" s="13"/>
      <c r="S190" s="13"/>
      <c r="T190" s="13"/>
      <c r="U190" s="378"/>
      <c r="V190" s="378"/>
      <c r="W190" s="378"/>
      <c r="X190" s="378"/>
      <c r="Y190" s="378"/>
      <c r="Z190" s="378"/>
      <c r="AA190" s="378"/>
      <c r="AB190" s="378"/>
      <c r="AC190" s="378"/>
      <c r="AD190" s="378"/>
      <c r="AE190" s="378"/>
      <c r="AF190" s="378"/>
      <c r="AG190" s="378"/>
      <c r="AH190" s="378"/>
      <c r="AI190" s="378"/>
      <c r="AJ190" s="378"/>
      <c r="AK190" s="378"/>
      <c r="AL190" s="378"/>
      <c r="AM190" s="378"/>
      <c r="AN190" s="378"/>
      <c r="AO190" s="378"/>
      <c r="AP190" s="378"/>
      <c r="AQ190" s="378"/>
      <c r="AR190" s="378"/>
      <c r="AS190" s="378"/>
      <c r="AT190" s="378"/>
      <c r="AU190" s="378"/>
      <c r="AV190" s="378"/>
      <c r="AW190" s="378"/>
      <c r="AX190" s="378"/>
      <c r="AY190" s="378"/>
      <c r="AZ190" s="378"/>
    </row>
    <row r="191" spans="1:52" ht="15.75" customHeight="1" x14ac:dyDescent="0.25">
      <c r="A191" s="45"/>
      <c r="B191" s="532"/>
      <c r="C191" s="526"/>
      <c r="D191" s="526"/>
      <c r="E191" s="592" t="s">
        <v>79</v>
      </c>
      <c r="F191" s="1575">
        <f>SUM(F178:G190)</f>
        <v>1E-3</v>
      </c>
      <c r="G191" s="1575"/>
      <c r="H191" s="378"/>
      <c r="I191" s="592" t="s">
        <v>79</v>
      </c>
      <c r="J191" s="1575">
        <f>SUM(J178:J190)</f>
        <v>1E-3</v>
      </c>
      <c r="K191" s="1575"/>
      <c r="L191" s="378"/>
      <c r="M191" s="13"/>
      <c r="N191" s="13"/>
      <c r="O191" s="378"/>
      <c r="P191" s="13"/>
      <c r="Q191" s="13"/>
      <c r="R191" s="13"/>
      <c r="S191" s="13"/>
      <c r="T191" s="13"/>
      <c r="U191" s="378"/>
      <c r="V191" s="378"/>
      <c r="W191" s="378"/>
      <c r="X191" s="378"/>
      <c r="Y191" s="378"/>
      <c r="Z191" s="378"/>
      <c r="AA191" s="378"/>
      <c r="AB191" s="378"/>
      <c r="AC191" s="378"/>
      <c r="AD191" s="378"/>
      <c r="AE191" s="378"/>
      <c r="AF191" s="378"/>
      <c r="AG191" s="378"/>
      <c r="AH191" s="378"/>
      <c r="AI191" s="378"/>
      <c r="AJ191" s="378"/>
      <c r="AK191" s="378"/>
      <c r="AL191" s="378"/>
      <c r="AM191" s="378"/>
      <c r="AN191" s="378"/>
      <c r="AO191" s="378"/>
      <c r="AP191" s="378"/>
      <c r="AQ191" s="378"/>
      <c r="AR191" s="378"/>
      <c r="AS191" s="378"/>
      <c r="AT191" s="378"/>
      <c r="AU191" s="378"/>
      <c r="AV191" s="378"/>
      <c r="AW191" s="378"/>
      <c r="AX191" s="378"/>
      <c r="AY191" s="378"/>
      <c r="AZ191" s="378"/>
    </row>
    <row r="192" spans="1:52" ht="14.25" customHeight="1" x14ac:dyDescent="0.25">
      <c r="A192" s="45"/>
      <c r="B192" s="1554" t="s">
        <v>96</v>
      </c>
      <c r="C192" s="1554"/>
      <c r="D192" s="1554"/>
      <c r="E192" s="1554"/>
      <c r="F192" s="69"/>
      <c r="G192" s="378"/>
      <c r="H192" s="378"/>
      <c r="I192" s="378"/>
      <c r="J192" s="378"/>
      <c r="K192" s="378"/>
      <c r="L192" s="13"/>
      <c r="M192" s="13"/>
      <c r="N192" s="13"/>
      <c r="O192" s="13"/>
      <c r="P192" s="13"/>
      <c r="Q192" s="13"/>
      <c r="R192" s="13"/>
      <c r="S192" s="13"/>
      <c r="T192" s="13"/>
      <c r="U192" s="378"/>
      <c r="V192" s="378"/>
      <c r="W192" s="378"/>
      <c r="X192" s="378"/>
      <c r="Y192" s="378"/>
      <c r="Z192" s="378"/>
      <c r="AA192" s="378"/>
      <c r="AB192" s="378"/>
      <c r="AC192" s="378"/>
      <c r="AD192" s="378"/>
      <c r="AE192" s="378"/>
      <c r="AF192" s="378"/>
      <c r="AG192" s="378"/>
      <c r="AH192" s="378"/>
      <c r="AI192" s="378"/>
      <c r="AJ192" s="378"/>
      <c r="AK192" s="378"/>
      <c r="AL192" s="378"/>
      <c r="AM192" s="378"/>
      <c r="AN192" s="378"/>
      <c r="AO192" s="378"/>
      <c r="AP192" s="378"/>
      <c r="AQ192" s="378"/>
      <c r="AR192" s="378"/>
      <c r="AS192" s="378"/>
      <c r="AT192" s="378"/>
      <c r="AU192" s="378"/>
      <c r="AV192" s="378"/>
      <c r="AW192" s="378"/>
      <c r="AX192" s="378"/>
      <c r="AY192" s="378"/>
      <c r="AZ192" s="378"/>
    </row>
    <row r="193" spans="1:52" s="532" customFormat="1" ht="13.5" customHeight="1" x14ac:dyDescent="0.25">
      <c r="A193" s="45"/>
      <c r="B193" s="1505"/>
      <c r="C193" s="1505"/>
      <c r="D193" s="1505"/>
      <c r="E193" s="1505"/>
      <c r="F193" s="69"/>
      <c r="G193" s="378"/>
      <c r="H193" s="378"/>
      <c r="I193" s="13" t="s">
        <v>118</v>
      </c>
      <c r="J193" s="378"/>
      <c r="K193" s="378"/>
      <c r="L193" s="13"/>
      <c r="M193" s="13"/>
      <c r="N193" s="13"/>
      <c r="O193" s="13"/>
      <c r="P193" s="13"/>
      <c r="Q193" s="13"/>
      <c r="R193" s="13"/>
      <c r="S193" s="13"/>
      <c r="T193" s="13"/>
      <c r="U193" s="378"/>
      <c r="V193" s="378"/>
      <c r="W193" s="378"/>
      <c r="X193" s="378"/>
      <c r="Y193" s="378"/>
      <c r="Z193" s="378"/>
      <c r="AA193" s="378"/>
      <c r="AB193" s="378"/>
      <c r="AC193" s="378"/>
      <c r="AD193" s="378"/>
      <c r="AE193" s="378"/>
      <c r="AF193" s="378"/>
      <c r="AG193" s="378"/>
      <c r="AH193" s="378"/>
      <c r="AI193" s="378"/>
      <c r="AJ193" s="378"/>
      <c r="AK193" s="378"/>
      <c r="AL193" s="378"/>
      <c r="AM193" s="378"/>
      <c r="AN193" s="378"/>
      <c r="AO193" s="378"/>
      <c r="AP193" s="378"/>
      <c r="AQ193" s="378"/>
      <c r="AR193" s="378"/>
      <c r="AS193" s="378"/>
      <c r="AT193" s="378"/>
      <c r="AU193" s="378"/>
      <c r="AV193" s="378"/>
      <c r="AW193" s="378"/>
      <c r="AX193" s="378"/>
      <c r="AY193" s="378"/>
      <c r="AZ193" s="378"/>
    </row>
    <row r="194" spans="1:52" s="532" customFormat="1" ht="14.25" customHeight="1" x14ac:dyDescent="0.25">
      <c r="A194" s="45"/>
      <c r="B194" s="30" t="s">
        <v>119</v>
      </c>
      <c r="C194" s="13"/>
      <c r="D194" s="32"/>
      <c r="E194" s="13"/>
      <c r="F194" s="13"/>
      <c r="G194" s="1638" t="s">
        <v>120</v>
      </c>
      <c r="H194" s="3"/>
      <c r="I194" s="1639" t="s">
        <v>121</v>
      </c>
      <c r="J194" s="1640"/>
      <c r="K194" s="13"/>
      <c r="L194" s="13"/>
      <c r="M194" s="13"/>
      <c r="N194" s="13"/>
      <c r="O194" s="13"/>
      <c r="P194" s="13"/>
      <c r="Q194" s="13"/>
      <c r="R194" s="13"/>
      <c r="S194" s="13"/>
      <c r="T194" s="13"/>
      <c r="U194" s="378"/>
      <c r="V194" s="378"/>
      <c r="W194" s="378"/>
      <c r="X194" s="378"/>
      <c r="Y194" s="378"/>
      <c r="Z194" s="378"/>
      <c r="AA194" s="378"/>
      <c r="AB194" s="378"/>
      <c r="AC194" s="378"/>
      <c r="AD194" s="378"/>
      <c r="AE194" s="378"/>
      <c r="AF194" s="378"/>
      <c r="AG194" s="378"/>
      <c r="AH194" s="378"/>
      <c r="AI194" s="378"/>
      <c r="AJ194" s="378"/>
      <c r="AK194" s="378"/>
      <c r="AL194" s="378"/>
      <c r="AM194" s="378"/>
      <c r="AN194" s="378"/>
      <c r="AO194" s="378"/>
      <c r="AP194" s="378"/>
      <c r="AQ194" s="378"/>
      <c r="AR194" s="378"/>
      <c r="AS194" s="378"/>
      <c r="AT194" s="378"/>
      <c r="AU194" s="378"/>
      <c r="AV194" s="378"/>
      <c r="AW194" s="378"/>
      <c r="AX194" s="378"/>
      <c r="AY194" s="378"/>
      <c r="AZ194" s="378"/>
    </row>
    <row r="195" spans="1:52" s="532" customFormat="1" ht="14.25" customHeight="1" x14ac:dyDescent="0.25">
      <c r="A195" s="45"/>
      <c r="B195" s="1637" t="s">
        <v>122</v>
      </c>
      <c r="C195" s="1637"/>
      <c r="D195" s="1641" t="s">
        <v>123</v>
      </c>
      <c r="E195" s="1642"/>
      <c r="F195" s="378"/>
      <c r="G195" s="1638"/>
      <c r="H195" s="80"/>
      <c r="I195" s="1639" t="s">
        <v>124</v>
      </c>
      <c r="J195" s="1640"/>
      <c r="K195" s="13"/>
      <c r="L195" s="13"/>
      <c r="M195" s="13"/>
      <c r="N195" s="13"/>
      <c r="O195" s="13"/>
      <c r="P195" s="13"/>
      <c r="Q195" s="13"/>
      <c r="R195" s="13"/>
      <c r="S195" s="13"/>
      <c r="T195" s="13"/>
      <c r="U195" s="378"/>
      <c r="V195" s="378"/>
      <c r="W195" s="378"/>
      <c r="X195" s="378"/>
      <c r="Y195" s="378"/>
      <c r="Z195" s="378"/>
      <c r="AA195" s="378"/>
      <c r="AB195" s="378"/>
      <c r="AC195" s="378"/>
      <c r="AD195" s="378"/>
      <c r="AE195" s="378"/>
      <c r="AF195" s="378"/>
      <c r="AG195" s="378"/>
      <c r="AH195" s="378"/>
      <c r="AI195" s="378"/>
      <c r="AJ195" s="378"/>
      <c r="AK195" s="378"/>
      <c r="AL195" s="378"/>
      <c r="AM195" s="378"/>
      <c r="AN195" s="378"/>
      <c r="AO195" s="378"/>
      <c r="AP195" s="378"/>
      <c r="AQ195" s="378"/>
      <c r="AR195" s="378"/>
      <c r="AS195" s="378"/>
      <c r="AT195" s="378"/>
      <c r="AU195" s="378"/>
      <c r="AV195" s="378"/>
      <c r="AW195" s="378"/>
      <c r="AX195" s="378"/>
      <c r="AY195" s="378"/>
      <c r="AZ195" s="378"/>
    </row>
    <row r="196" spans="1:52" s="532" customFormat="1" ht="14.25" customHeight="1" x14ac:dyDescent="0.25">
      <c r="A196" s="45"/>
      <c r="B196" s="1686"/>
      <c r="C196" s="1687"/>
      <c r="D196" s="1688"/>
      <c r="E196" s="1689"/>
      <c r="F196" s="378"/>
      <c r="G196" s="1486">
        <f>D196</f>
        <v>0</v>
      </c>
      <c r="H196" s="575"/>
      <c r="I196" s="1639" t="s">
        <v>125</v>
      </c>
      <c r="J196" s="1640"/>
      <c r="K196" s="13"/>
      <c r="L196" s="13"/>
      <c r="M196" s="13"/>
      <c r="N196" s="13"/>
      <c r="O196" s="13"/>
      <c r="P196" s="13"/>
      <c r="Q196" s="13"/>
      <c r="R196" s="13"/>
      <c r="S196" s="13"/>
      <c r="T196" s="13"/>
      <c r="U196" s="378"/>
      <c r="V196" s="378"/>
      <c r="W196" s="378"/>
      <c r="X196" s="378"/>
      <c r="Y196" s="378"/>
      <c r="Z196" s="378"/>
      <c r="AA196" s="378"/>
      <c r="AB196" s="378"/>
      <c r="AC196" s="378"/>
      <c r="AD196" s="378"/>
      <c r="AE196" s="378"/>
      <c r="AF196" s="378"/>
      <c r="AG196" s="378"/>
      <c r="AH196" s="378"/>
      <c r="AI196" s="378"/>
      <c r="AJ196" s="378"/>
      <c r="AK196" s="378"/>
      <c r="AL196" s="378"/>
      <c r="AM196" s="378"/>
      <c r="AN196" s="378"/>
      <c r="AO196" s="378"/>
      <c r="AP196" s="378"/>
      <c r="AQ196" s="378"/>
      <c r="AR196" s="378"/>
      <c r="AS196" s="378"/>
      <c r="AT196" s="378"/>
      <c r="AU196" s="378"/>
      <c r="AV196" s="378"/>
      <c r="AW196" s="378"/>
      <c r="AX196" s="378"/>
      <c r="AY196" s="378"/>
      <c r="AZ196" s="378"/>
    </row>
    <row r="197" spans="1:52" s="532" customFormat="1" ht="14.25" customHeight="1" x14ac:dyDescent="0.25">
      <c r="A197" s="45"/>
      <c r="B197" s="1686"/>
      <c r="C197" s="1687"/>
      <c r="D197" s="1688"/>
      <c r="E197" s="1689"/>
      <c r="F197" s="378"/>
      <c r="G197" s="1486">
        <f>D197</f>
        <v>0</v>
      </c>
      <c r="H197" s="575"/>
      <c r="I197" s="1639" t="s">
        <v>126</v>
      </c>
      <c r="J197" s="1640"/>
      <c r="K197" s="13"/>
      <c r="L197" s="13"/>
      <c r="M197" s="13"/>
      <c r="N197" s="13"/>
      <c r="O197" s="13"/>
      <c r="P197" s="13"/>
      <c r="Q197" s="13"/>
      <c r="R197" s="13"/>
      <c r="S197" s="13"/>
      <c r="T197" s="13"/>
      <c r="U197" s="378"/>
      <c r="V197" s="378"/>
      <c r="W197" s="378"/>
      <c r="X197" s="378"/>
      <c r="Y197" s="378"/>
      <c r="Z197" s="378"/>
      <c r="AA197" s="378"/>
      <c r="AB197" s="378"/>
      <c r="AC197" s="378"/>
      <c r="AD197" s="378"/>
      <c r="AE197" s="378"/>
      <c r="AF197" s="378"/>
      <c r="AG197" s="378"/>
      <c r="AH197" s="378"/>
      <c r="AI197" s="378"/>
      <c r="AJ197" s="378"/>
      <c r="AK197" s="378"/>
      <c r="AL197" s="378"/>
      <c r="AM197" s="378"/>
      <c r="AN197" s="378"/>
      <c r="AO197" s="378"/>
      <c r="AP197" s="378"/>
      <c r="AQ197" s="378"/>
      <c r="AR197" s="378"/>
      <c r="AS197" s="378"/>
      <c r="AT197" s="378"/>
      <c r="AU197" s="378"/>
      <c r="AV197" s="378"/>
      <c r="AW197" s="378"/>
      <c r="AX197" s="378"/>
      <c r="AY197" s="378"/>
      <c r="AZ197" s="378"/>
    </row>
    <row r="198" spans="1:52" s="532" customFormat="1" ht="14.25" customHeight="1" x14ac:dyDescent="0.25">
      <c r="A198" s="45"/>
      <c r="B198" s="1686"/>
      <c r="C198" s="1687"/>
      <c r="D198" s="1688"/>
      <c r="E198" s="1689"/>
      <c r="F198" s="378"/>
      <c r="G198" s="1486">
        <f>D198</f>
        <v>0</v>
      </c>
      <c r="H198" s="575"/>
      <c r="I198" s="1639" t="s">
        <v>127</v>
      </c>
      <c r="J198" s="1640"/>
      <c r="K198" s="13"/>
      <c r="L198" s="13"/>
      <c r="M198" s="13"/>
      <c r="N198" s="13"/>
      <c r="O198" s="13"/>
      <c r="P198" s="13"/>
      <c r="Q198" s="13"/>
      <c r="R198" s="13"/>
      <c r="S198" s="13"/>
      <c r="T198" s="13"/>
      <c r="U198" s="378"/>
      <c r="V198" s="378"/>
      <c r="W198" s="378"/>
      <c r="X198" s="378"/>
      <c r="Y198" s="378"/>
      <c r="Z198" s="378"/>
      <c r="AA198" s="378"/>
      <c r="AB198" s="378"/>
      <c r="AC198" s="378"/>
      <c r="AD198" s="378"/>
      <c r="AE198" s="378"/>
      <c r="AF198" s="378"/>
      <c r="AG198" s="378"/>
      <c r="AH198" s="378"/>
      <c r="AI198" s="378"/>
      <c r="AJ198" s="378"/>
      <c r="AK198" s="378"/>
      <c r="AL198" s="378"/>
      <c r="AM198" s="378"/>
      <c r="AN198" s="378"/>
      <c r="AO198" s="378"/>
      <c r="AP198" s="378"/>
      <c r="AQ198" s="378"/>
      <c r="AR198" s="378"/>
      <c r="AS198" s="378"/>
      <c r="AT198" s="378"/>
      <c r="AU198" s="378"/>
      <c r="AV198" s="378"/>
      <c r="AW198" s="378"/>
      <c r="AX198" s="378"/>
      <c r="AY198" s="378"/>
      <c r="AZ198" s="378"/>
    </row>
    <row r="199" spans="1:52" s="532" customFormat="1" ht="14.25" customHeight="1" x14ac:dyDescent="0.25">
      <c r="A199" s="45"/>
      <c r="B199" s="13"/>
      <c r="C199" s="13"/>
      <c r="D199" s="592" t="s">
        <v>128</v>
      </c>
      <c r="E199" s="591">
        <f>SUM(D196:E198)</f>
        <v>0</v>
      </c>
      <c r="G199" s="591">
        <f>SUM(G196:G198)</f>
        <v>0</v>
      </c>
      <c r="I199" s="378"/>
      <c r="J199" s="378"/>
      <c r="K199" s="13"/>
      <c r="L199" s="13"/>
      <c r="M199" s="13"/>
      <c r="N199" s="13"/>
      <c r="O199" s="13"/>
      <c r="P199" s="13"/>
      <c r="Q199" s="13"/>
      <c r="R199" s="13"/>
      <c r="S199" s="13"/>
      <c r="T199" s="13"/>
      <c r="U199" s="378"/>
      <c r="V199" s="378"/>
      <c r="W199" s="378"/>
      <c r="X199" s="378"/>
      <c r="Y199" s="378"/>
      <c r="Z199" s="378"/>
      <c r="AA199" s="378"/>
      <c r="AB199" s="378"/>
      <c r="AC199" s="378"/>
      <c r="AD199" s="378"/>
      <c r="AE199" s="378"/>
      <c r="AF199" s="378"/>
      <c r="AG199" s="378"/>
      <c r="AH199" s="378"/>
      <c r="AI199" s="378"/>
      <c r="AJ199" s="378"/>
      <c r="AK199" s="378"/>
      <c r="AL199" s="378"/>
      <c r="AM199" s="378"/>
      <c r="AN199" s="378"/>
      <c r="AO199" s="378"/>
      <c r="AP199" s="378"/>
      <c r="AQ199" s="378"/>
      <c r="AR199" s="378"/>
      <c r="AS199" s="378"/>
      <c r="AT199" s="378"/>
      <c r="AU199" s="378"/>
      <c r="AV199" s="378"/>
      <c r="AW199" s="378"/>
      <c r="AX199" s="378"/>
      <c r="AY199" s="378"/>
      <c r="AZ199" s="378"/>
    </row>
    <row r="200" spans="1:52" s="532" customFormat="1" ht="14.25" customHeight="1" x14ac:dyDescent="0.25">
      <c r="A200" s="45"/>
      <c r="B200" s="13"/>
      <c r="C200" s="13"/>
      <c r="D200" s="13"/>
      <c r="E200" s="381"/>
      <c r="F200" s="378"/>
      <c r="G200" s="1554" t="s">
        <v>96</v>
      </c>
      <c r="H200" s="1554"/>
      <c r="I200" s="1554"/>
      <c r="J200" s="1554"/>
      <c r="K200" s="758"/>
      <c r="L200" s="13"/>
      <c r="M200" s="13"/>
      <c r="N200" s="13"/>
      <c r="O200" s="13"/>
      <c r="P200" s="13"/>
      <c r="Q200" s="13"/>
      <c r="R200" s="13"/>
      <c r="S200" s="13"/>
      <c r="T200" s="13"/>
      <c r="U200" s="378"/>
      <c r="V200" s="378"/>
      <c r="W200" s="378"/>
      <c r="X200" s="378"/>
      <c r="Y200" s="378"/>
      <c r="Z200" s="378"/>
      <c r="AA200" s="378"/>
      <c r="AB200" s="378"/>
      <c r="AC200" s="378"/>
      <c r="AD200" s="378"/>
      <c r="AE200" s="378"/>
      <c r="AF200" s="378"/>
      <c r="AG200" s="378"/>
      <c r="AH200" s="378"/>
      <c r="AI200" s="378"/>
      <c r="AJ200" s="378"/>
      <c r="AK200" s="378"/>
      <c r="AL200" s="378"/>
      <c r="AM200" s="378"/>
      <c r="AN200" s="378"/>
      <c r="AO200" s="378"/>
      <c r="AP200" s="378"/>
      <c r="AQ200" s="378"/>
      <c r="AR200" s="378"/>
      <c r="AS200" s="378"/>
      <c r="AT200" s="378"/>
      <c r="AU200" s="378"/>
      <c r="AV200" s="378"/>
      <c r="AW200" s="378"/>
      <c r="AX200" s="378"/>
      <c r="AY200" s="378"/>
      <c r="AZ200" s="378"/>
    </row>
    <row r="201" spans="1:52" s="532" customFormat="1" ht="14.25" customHeight="1" x14ac:dyDescent="0.25">
      <c r="A201" s="582">
        <v>13</v>
      </c>
      <c r="B201" s="1595" t="s">
        <v>129</v>
      </c>
      <c r="C201" s="1595"/>
      <c r="D201" s="1595"/>
      <c r="E201" s="1595"/>
      <c r="F201" s="1595"/>
      <c r="G201" s="1595"/>
      <c r="H201" s="378"/>
      <c r="I201" s="13"/>
      <c r="J201" s="13"/>
      <c r="K201" s="13"/>
      <c r="L201" s="13"/>
      <c r="M201" s="13"/>
      <c r="N201" s="13"/>
      <c r="O201" s="13"/>
      <c r="P201" s="13"/>
      <c r="Q201" s="13"/>
      <c r="R201" s="13"/>
      <c r="S201" s="13"/>
      <c r="T201" s="13"/>
      <c r="U201" s="378"/>
      <c r="V201" s="378"/>
      <c r="W201" s="378"/>
      <c r="X201" s="378"/>
      <c r="Y201" s="378"/>
      <c r="Z201" s="378"/>
      <c r="AA201" s="378"/>
      <c r="AB201" s="378"/>
      <c r="AC201" s="378"/>
      <c r="AD201" s="378"/>
      <c r="AE201" s="378"/>
      <c r="AF201" s="378"/>
      <c r="AG201" s="378"/>
      <c r="AH201" s="378"/>
      <c r="AI201" s="378"/>
      <c r="AJ201" s="378"/>
      <c r="AK201" s="378"/>
      <c r="AL201" s="378"/>
      <c r="AM201" s="378"/>
      <c r="AN201" s="378"/>
      <c r="AO201" s="378"/>
      <c r="AP201" s="378"/>
      <c r="AQ201" s="378"/>
      <c r="AR201" s="378"/>
      <c r="AS201" s="378"/>
      <c r="AT201" s="378"/>
      <c r="AU201" s="378"/>
      <c r="AV201" s="378"/>
      <c r="AW201" s="378"/>
      <c r="AX201" s="378"/>
      <c r="AY201" s="378"/>
      <c r="AZ201" s="378"/>
    </row>
    <row r="202" spans="1:52" s="532" customFormat="1" ht="12" customHeight="1" x14ac:dyDescent="0.25">
      <c r="A202" s="604"/>
      <c r="B202" s="1508"/>
      <c r="C202" s="1508"/>
      <c r="D202" s="1508"/>
      <c r="E202" s="1508"/>
      <c r="F202" s="1508"/>
      <c r="G202" s="1508"/>
      <c r="H202" s="378"/>
      <c r="I202" s="13"/>
      <c r="J202" s="13"/>
      <c r="K202" s="13"/>
      <c r="L202" s="13"/>
      <c r="M202" s="13"/>
      <c r="N202" s="13"/>
      <c r="O202" s="13"/>
      <c r="P202" s="13"/>
      <c r="Q202" s="13"/>
      <c r="R202" s="13"/>
      <c r="S202" s="13"/>
      <c r="T202" s="13"/>
      <c r="U202" s="378"/>
      <c r="V202" s="378"/>
      <c r="W202" s="378"/>
      <c r="X202" s="378"/>
      <c r="Y202" s="378"/>
      <c r="Z202" s="378"/>
      <c r="AA202" s="378"/>
      <c r="AB202" s="378"/>
      <c r="AC202" s="378"/>
      <c r="AD202" s="378"/>
      <c r="AE202" s="378"/>
      <c r="AF202" s="378"/>
      <c r="AG202" s="378"/>
      <c r="AH202" s="378"/>
      <c r="AI202" s="378"/>
      <c r="AJ202" s="378"/>
      <c r="AK202" s="378"/>
      <c r="AL202" s="378"/>
      <c r="AM202" s="378"/>
      <c r="AN202" s="378"/>
      <c r="AO202" s="378"/>
      <c r="AP202" s="378"/>
      <c r="AQ202" s="378"/>
      <c r="AR202" s="378"/>
      <c r="AS202" s="378"/>
      <c r="AT202" s="378"/>
      <c r="AU202" s="378"/>
      <c r="AV202" s="378"/>
      <c r="AW202" s="378"/>
      <c r="AX202" s="378"/>
      <c r="AY202" s="378"/>
      <c r="AZ202" s="378"/>
    </row>
    <row r="203" spans="1:52" ht="15.75" x14ac:dyDescent="0.25">
      <c r="A203" s="532"/>
      <c r="B203" s="30" t="s">
        <v>130</v>
      </c>
      <c r="C203" s="13"/>
      <c r="D203" s="13"/>
      <c r="E203" s="73"/>
      <c r="F203" s="73"/>
      <c r="G203" s="1614"/>
      <c r="H203" s="1615"/>
      <c r="I203" s="33"/>
      <c r="J203" s="33"/>
      <c r="K203" s="33"/>
      <c r="L203" s="378"/>
      <c r="M203" s="378"/>
      <c r="N203" s="378"/>
      <c r="O203" s="378"/>
      <c r="P203" s="378"/>
      <c r="Q203" s="378"/>
      <c r="R203" s="378"/>
      <c r="S203" s="13"/>
      <c r="T203" s="13"/>
      <c r="U203" s="378"/>
      <c r="V203" s="378"/>
      <c r="W203" s="378"/>
      <c r="X203" s="378"/>
      <c r="Y203" s="378"/>
      <c r="Z203" s="378"/>
      <c r="AA203" s="378"/>
      <c r="AB203" s="378"/>
      <c r="AC203" s="378"/>
      <c r="AD203" s="378"/>
      <c r="AE203" s="378"/>
      <c r="AF203" s="378"/>
      <c r="AG203" s="378"/>
      <c r="AH203" s="378"/>
      <c r="AI203" s="378"/>
      <c r="AJ203" s="378"/>
      <c r="AK203" s="378"/>
      <c r="AL203" s="378"/>
      <c r="AM203" s="378"/>
      <c r="AN203" s="378"/>
      <c r="AO203" s="378"/>
      <c r="AP203" s="378"/>
      <c r="AQ203" s="378"/>
      <c r="AR203" s="378"/>
      <c r="AS203" s="378"/>
      <c r="AT203" s="378"/>
      <c r="AU203" s="378"/>
      <c r="AV203" s="378"/>
      <c r="AW203" s="378"/>
      <c r="AX203" s="378"/>
      <c r="AY203" s="378"/>
      <c r="AZ203" s="378"/>
    </row>
    <row r="204" spans="1:52" ht="13.5" customHeight="1" x14ac:dyDescent="0.25">
      <c r="A204" s="337"/>
      <c r="B204" s="63"/>
      <c r="C204" s="74"/>
      <c r="D204" s="74"/>
      <c r="E204" s="74"/>
      <c r="F204" s="13"/>
      <c r="G204" s="32"/>
      <c r="H204" s="75"/>
      <c r="I204" s="13"/>
      <c r="J204" s="13"/>
      <c r="K204" s="13"/>
      <c r="L204" s="378"/>
      <c r="M204" s="378"/>
      <c r="N204" s="378"/>
      <c r="O204" s="378"/>
      <c r="P204" s="378"/>
      <c r="Q204" s="378"/>
      <c r="R204" s="378"/>
      <c r="S204" s="13"/>
      <c r="T204" s="13"/>
      <c r="U204" s="378"/>
      <c r="V204" s="378"/>
      <c r="W204" s="378"/>
      <c r="X204" s="378"/>
      <c r="Y204" s="378"/>
      <c r="Z204" s="378"/>
      <c r="AA204" s="378"/>
      <c r="AB204" s="378"/>
      <c r="AC204" s="378"/>
      <c r="AD204" s="378"/>
      <c r="AE204" s="378"/>
      <c r="AF204" s="378"/>
      <c r="AG204" s="378"/>
      <c r="AH204" s="378"/>
      <c r="AI204" s="378"/>
      <c r="AJ204" s="378"/>
      <c r="AK204" s="378"/>
      <c r="AL204" s="378"/>
      <c r="AM204" s="378"/>
      <c r="AN204" s="378"/>
      <c r="AO204" s="378"/>
      <c r="AP204" s="378"/>
      <c r="AQ204" s="378"/>
      <c r="AR204" s="378"/>
      <c r="AS204" s="378"/>
      <c r="AT204" s="378"/>
      <c r="AU204" s="378"/>
      <c r="AV204" s="378"/>
      <c r="AW204" s="378"/>
      <c r="AX204" s="378"/>
      <c r="AY204" s="378"/>
      <c r="AZ204" s="378"/>
    </row>
    <row r="205" spans="1:52" ht="15.75" customHeight="1" x14ac:dyDescent="0.25">
      <c r="A205" s="45"/>
      <c r="B205" s="33" t="s">
        <v>131</v>
      </c>
      <c r="C205" s="13"/>
      <c r="D205" s="13"/>
      <c r="E205" s="13"/>
      <c r="F205" s="13"/>
      <c r="G205" s="1614"/>
      <c r="H205" s="1615"/>
      <c r="I205" s="33"/>
      <c r="J205" s="1622"/>
      <c r="K205" s="1622"/>
      <c r="L205" s="378"/>
      <c r="M205" s="378"/>
      <c r="N205" s="378"/>
      <c r="O205" s="378"/>
      <c r="P205" s="378"/>
      <c r="Q205" s="378"/>
      <c r="R205" s="378"/>
      <c r="S205" s="13"/>
      <c r="T205" s="13"/>
      <c r="U205" s="378"/>
      <c r="V205" s="378"/>
      <c r="W205" s="378"/>
      <c r="X205" s="378"/>
      <c r="Y205" s="378"/>
      <c r="Z205" s="378"/>
      <c r="AA205" s="378"/>
      <c r="AB205" s="378"/>
      <c r="AC205" s="378"/>
      <c r="AD205" s="378"/>
      <c r="AE205" s="378"/>
      <c r="AF205" s="378"/>
      <c r="AG205" s="378"/>
      <c r="AH205" s="378"/>
      <c r="AI205" s="378"/>
      <c r="AJ205" s="378"/>
      <c r="AK205" s="378"/>
      <c r="AL205" s="378"/>
      <c r="AM205" s="378"/>
      <c r="AN205" s="378"/>
      <c r="AO205" s="378"/>
      <c r="AP205" s="378"/>
      <c r="AQ205" s="378"/>
      <c r="AR205" s="378"/>
      <c r="AS205" s="378"/>
      <c r="AT205" s="378"/>
      <c r="AU205" s="378"/>
      <c r="AV205" s="378"/>
      <c r="AW205" s="378"/>
      <c r="AX205" s="378"/>
      <c r="AY205" s="378"/>
      <c r="AZ205" s="378"/>
    </row>
    <row r="206" spans="1:52" x14ac:dyDescent="0.25">
      <c r="A206" s="45"/>
      <c r="B206" s="1554" t="s">
        <v>96</v>
      </c>
      <c r="C206" s="1554"/>
      <c r="D206" s="1554"/>
      <c r="E206" s="1554"/>
      <c r="F206" s="13"/>
      <c r="G206" s="13"/>
      <c r="H206" s="13"/>
      <c r="I206" s="13"/>
      <c r="J206" s="478" t="s">
        <v>132</v>
      </c>
      <c r="K206" s="13"/>
      <c r="L206" s="13"/>
      <c r="M206" s="13"/>
      <c r="N206" s="13"/>
      <c r="O206" s="76"/>
      <c r="P206" s="76"/>
      <c r="Q206" s="13"/>
      <c r="R206" s="13"/>
      <c r="S206" s="13"/>
      <c r="T206" s="13"/>
      <c r="U206" s="378"/>
      <c r="V206" s="378"/>
      <c r="W206" s="378"/>
      <c r="X206" s="378"/>
      <c r="Y206" s="378"/>
      <c r="Z206" s="378"/>
      <c r="AA206" s="378"/>
      <c r="AB206" s="378"/>
      <c r="AC206" s="378"/>
      <c r="AD206" s="378"/>
      <c r="AE206" s="378"/>
      <c r="AF206" s="378"/>
      <c r="AG206" s="378"/>
      <c r="AH206" s="378"/>
      <c r="AI206" s="378"/>
      <c r="AJ206" s="378"/>
      <c r="AK206" s="378"/>
      <c r="AL206" s="378"/>
      <c r="AM206" s="378"/>
      <c r="AN206" s="378"/>
      <c r="AO206" s="378"/>
      <c r="AP206" s="378"/>
      <c r="AQ206" s="378"/>
      <c r="AR206" s="378"/>
      <c r="AS206" s="378"/>
      <c r="AT206" s="378"/>
      <c r="AU206" s="378"/>
      <c r="AV206" s="378"/>
      <c r="AW206" s="378"/>
      <c r="AX206" s="378"/>
      <c r="AY206" s="378"/>
      <c r="AZ206" s="378"/>
    </row>
    <row r="207" spans="1:52" ht="15.75" x14ac:dyDescent="0.25">
      <c r="A207" s="34"/>
      <c r="B207" s="30" t="s">
        <v>133</v>
      </c>
      <c r="C207" s="13"/>
      <c r="D207" s="13"/>
      <c r="E207" s="73"/>
      <c r="F207" s="73"/>
      <c r="G207" s="1621" t="e">
        <f>'GUIA DE APLICAÇÃO'!E546+'GUIA DE APLICAÇÃO'!E547+'GUIA DE APLICAÇÃO'!E548+'GUIA DE APLICAÇÃO'!E549+'GUIA DE APLICAÇÃO'!E550+F191+E173+E157+'GUIA DE APLICAÇÃO'!J554</f>
        <v>#DIV/0!</v>
      </c>
      <c r="H207" s="1621"/>
      <c r="I207" s="13"/>
      <c r="J207" s="1621" t="e">
        <f>'GUIA DE APLICAÇÃO'!I546+'GUIA DE APLICAÇÃO'!I547+'GUIA DE APLICAÇÃO'!I548+'GUIA DE APLICAÇÃO'!I549+'GUIA DE APLICAÇÃO'!I550+G157+G173+J191</f>
        <v>#DIV/0!</v>
      </c>
      <c r="K207" s="1621"/>
      <c r="L207" s="13"/>
      <c r="M207" s="13"/>
      <c r="N207" s="13"/>
      <c r="O207" s="13"/>
      <c r="P207" s="13"/>
      <c r="Q207" s="13"/>
      <c r="R207" s="13"/>
      <c r="S207" s="13"/>
      <c r="T207" s="13"/>
      <c r="U207" s="378"/>
      <c r="V207" s="378"/>
      <c r="W207" s="378"/>
      <c r="X207" s="378"/>
      <c r="Y207" s="378"/>
      <c r="Z207" s="378"/>
      <c r="AA207" s="378"/>
      <c r="AB207" s="378"/>
      <c r="AC207" s="378"/>
      <c r="AD207" s="378"/>
      <c r="AE207" s="378"/>
      <c r="AF207" s="378"/>
      <c r="AG207" s="378"/>
      <c r="AH207" s="378"/>
      <c r="AI207" s="378"/>
      <c r="AJ207" s="378"/>
      <c r="AK207" s="378"/>
      <c r="AL207" s="378"/>
      <c r="AM207" s="378"/>
      <c r="AN207" s="378"/>
      <c r="AO207" s="378"/>
      <c r="AP207" s="378"/>
      <c r="AQ207" s="378"/>
      <c r="AR207" s="378"/>
      <c r="AS207" s="378"/>
      <c r="AT207" s="378"/>
      <c r="AU207" s="378"/>
      <c r="AV207" s="378"/>
      <c r="AW207" s="378"/>
      <c r="AX207" s="378"/>
      <c r="AY207" s="378"/>
      <c r="AZ207" s="378"/>
    </row>
    <row r="208" spans="1:52" ht="15.75" customHeight="1" x14ac:dyDescent="0.25">
      <c r="A208" s="337"/>
      <c r="B208" s="760" t="s">
        <v>134</v>
      </c>
      <c r="C208" s="78"/>
      <c r="D208" s="78"/>
      <c r="E208" s="78"/>
      <c r="F208" s="78"/>
      <c r="G208" s="57"/>
      <c r="H208" s="1611" t="s">
        <v>96</v>
      </c>
      <c r="I208" s="1611"/>
      <c r="J208" s="1611"/>
      <c r="K208" s="1611"/>
      <c r="L208" s="13"/>
      <c r="M208" s="13"/>
      <c r="N208" s="378"/>
      <c r="O208" s="378"/>
      <c r="P208" s="13"/>
      <c r="Q208" s="13"/>
      <c r="R208" s="13"/>
      <c r="S208" s="13"/>
      <c r="T208" s="13"/>
      <c r="U208" s="378"/>
      <c r="V208" s="378"/>
      <c r="W208" s="378"/>
      <c r="X208" s="378"/>
      <c r="Y208" s="378"/>
      <c r="Z208" s="378"/>
      <c r="AA208" s="378"/>
      <c r="AB208" s="378"/>
      <c r="AC208" s="378"/>
      <c r="AD208" s="378"/>
      <c r="AE208" s="378"/>
      <c r="AF208" s="378"/>
      <c r="AG208" s="378"/>
      <c r="AH208" s="378"/>
      <c r="AI208" s="378"/>
      <c r="AJ208" s="378"/>
      <c r="AK208" s="378"/>
      <c r="AL208" s="378"/>
      <c r="AM208" s="378"/>
      <c r="AN208" s="378"/>
      <c r="AO208" s="378"/>
      <c r="AP208" s="378"/>
      <c r="AQ208" s="378"/>
      <c r="AR208" s="378"/>
      <c r="AS208" s="378"/>
      <c r="AT208" s="378"/>
      <c r="AU208" s="378"/>
      <c r="AV208" s="378"/>
      <c r="AW208" s="378"/>
      <c r="AX208" s="378"/>
      <c r="AY208" s="378"/>
      <c r="AZ208" s="378"/>
    </row>
    <row r="209" spans="1:52" s="532" customFormat="1" ht="12" customHeight="1" x14ac:dyDescent="0.25">
      <c r="A209" s="337"/>
      <c r="B209" s="77"/>
      <c r="C209" s="78"/>
      <c r="D209" s="78"/>
      <c r="E209" s="78"/>
      <c r="F209" s="78"/>
      <c r="G209" s="57"/>
      <c r="H209" s="142"/>
      <c r="I209" s="13"/>
      <c r="J209" s="13"/>
      <c r="K209" s="13"/>
      <c r="L209" s="13"/>
      <c r="M209" s="13"/>
      <c r="N209" s="378"/>
      <c r="O209" s="378"/>
      <c r="P209" s="13"/>
      <c r="Q209" s="13"/>
      <c r="R209" s="13"/>
      <c r="S209" s="13"/>
      <c r="T209" s="13"/>
      <c r="U209" s="378"/>
      <c r="V209" s="378"/>
      <c r="W209" s="378"/>
      <c r="X209" s="378"/>
      <c r="Y209" s="378"/>
      <c r="Z209" s="378"/>
      <c r="AA209" s="378"/>
      <c r="AB209" s="378"/>
      <c r="AC209" s="378"/>
      <c r="AD209" s="378"/>
      <c r="AE209" s="378"/>
      <c r="AF209" s="378"/>
      <c r="AG209" s="378"/>
      <c r="AH209" s="378"/>
      <c r="AI209" s="378"/>
      <c r="AJ209" s="378"/>
      <c r="AK209" s="378"/>
      <c r="AL209" s="378"/>
      <c r="AM209" s="378"/>
      <c r="AN209" s="378"/>
      <c r="AO209" s="378"/>
      <c r="AP209" s="378"/>
      <c r="AQ209" s="378"/>
      <c r="AR209" s="378"/>
      <c r="AS209" s="378"/>
      <c r="AT209" s="378"/>
      <c r="AU209" s="378"/>
      <c r="AV209" s="378"/>
      <c r="AW209" s="378"/>
      <c r="AX209" s="378"/>
      <c r="AY209" s="378"/>
      <c r="AZ209" s="378"/>
    </row>
    <row r="210" spans="1:52" s="532" customFormat="1" ht="15.75" x14ac:dyDescent="0.25">
      <c r="A210" s="582">
        <v>14</v>
      </c>
      <c r="B210" s="1595" t="s">
        <v>135</v>
      </c>
      <c r="C210" s="1595"/>
      <c r="D210" s="1595"/>
      <c r="E210" s="1595"/>
      <c r="F210" s="1595"/>
      <c r="G210" s="1595"/>
      <c r="H210" s="142"/>
      <c r="I210" s="13"/>
      <c r="J210" s="13"/>
      <c r="K210" s="13"/>
      <c r="L210" s="13"/>
      <c r="M210" s="13"/>
      <c r="N210" s="378"/>
      <c r="O210" s="378"/>
      <c r="P210" s="13"/>
      <c r="Q210" s="13"/>
      <c r="R210" s="13"/>
      <c r="S210" s="13"/>
      <c r="T210" s="13"/>
      <c r="U210" s="378"/>
      <c r="V210" s="378"/>
      <c r="W210" s="378"/>
      <c r="X210" s="378"/>
      <c r="Y210" s="378"/>
      <c r="Z210" s="378"/>
      <c r="AA210" s="378"/>
      <c r="AB210" s="378"/>
      <c r="AC210" s="378"/>
      <c r="AD210" s="378"/>
      <c r="AE210" s="378"/>
      <c r="AF210" s="378"/>
      <c r="AG210" s="378"/>
      <c r="AH210" s="378"/>
      <c r="AI210" s="378"/>
      <c r="AJ210" s="378"/>
      <c r="AK210" s="378"/>
      <c r="AL210" s="378"/>
      <c r="AM210" s="378"/>
      <c r="AN210" s="378"/>
      <c r="AO210" s="378"/>
      <c r="AP210" s="378"/>
      <c r="AQ210" s="378"/>
      <c r="AR210" s="378"/>
      <c r="AS210" s="378"/>
      <c r="AT210" s="378"/>
      <c r="AU210" s="378"/>
      <c r="AV210" s="378"/>
      <c r="AW210" s="378"/>
      <c r="AX210" s="378"/>
      <c r="AY210" s="378"/>
      <c r="AZ210" s="378"/>
    </row>
    <row r="211" spans="1:52" s="532" customFormat="1" ht="12" customHeight="1" x14ac:dyDescent="0.25">
      <c r="A211" s="582"/>
      <c r="B211" s="1508"/>
      <c r="C211" s="1508"/>
      <c r="D211" s="1508"/>
      <c r="E211" s="1508"/>
      <c r="F211" s="1508"/>
      <c r="G211" s="1508"/>
      <c r="H211" s="142"/>
      <c r="I211" s="13"/>
      <c r="J211" s="13"/>
      <c r="K211" s="478" t="s">
        <v>132</v>
      </c>
      <c r="L211" s="13"/>
      <c r="M211" s="13"/>
      <c r="N211" s="378"/>
      <c r="O211" s="378"/>
      <c r="P211" s="13"/>
      <c r="Q211" s="13"/>
      <c r="R211" s="13"/>
      <c r="S211" s="13"/>
      <c r="T211" s="13"/>
      <c r="U211" s="378"/>
      <c r="V211" s="378"/>
      <c r="W211" s="378"/>
      <c r="X211" s="378"/>
      <c r="Y211" s="378"/>
      <c r="Z211" s="378"/>
      <c r="AA211" s="378"/>
      <c r="AB211" s="378"/>
      <c r="AC211" s="378"/>
      <c r="AD211" s="378"/>
      <c r="AE211" s="378"/>
      <c r="AF211" s="378"/>
      <c r="AG211" s="378"/>
      <c r="AH211" s="378"/>
      <c r="AI211" s="378"/>
      <c r="AJ211" s="378"/>
      <c r="AK211" s="378"/>
      <c r="AL211" s="378"/>
      <c r="AM211" s="378"/>
      <c r="AN211" s="378"/>
      <c r="AO211" s="378"/>
      <c r="AP211" s="378"/>
      <c r="AQ211" s="378"/>
      <c r="AR211" s="378"/>
      <c r="AS211" s="378"/>
      <c r="AT211" s="378"/>
      <c r="AU211" s="378"/>
      <c r="AV211" s="378"/>
      <c r="AW211" s="378"/>
      <c r="AX211" s="378"/>
      <c r="AY211" s="378"/>
      <c r="AZ211" s="378"/>
    </row>
    <row r="212" spans="1:52" s="532" customFormat="1" ht="15.75" x14ac:dyDescent="0.25">
      <c r="A212" s="582"/>
      <c r="B212" s="30" t="s">
        <v>136</v>
      </c>
      <c r="C212" s="13"/>
      <c r="D212" s="13"/>
      <c r="E212" s="13"/>
      <c r="F212" s="13"/>
      <c r="G212" s="378"/>
      <c r="H212" s="1612" t="s">
        <v>103</v>
      </c>
      <c r="I212" s="1613"/>
      <c r="J212" s="982"/>
      <c r="K212" s="982"/>
      <c r="L212" s="13"/>
      <c r="M212" s="13"/>
      <c r="N212" s="378"/>
      <c r="O212" s="378"/>
      <c r="P212" s="13"/>
      <c r="Q212" s="13"/>
      <c r="R212" s="13"/>
      <c r="S212" s="13"/>
      <c r="T212" s="13"/>
      <c r="U212" s="378"/>
      <c r="V212" s="378"/>
      <c r="W212" s="378"/>
      <c r="X212" s="378"/>
      <c r="Y212" s="378"/>
      <c r="Z212" s="378"/>
      <c r="AA212" s="378"/>
      <c r="AB212" s="378"/>
      <c r="AC212" s="378"/>
      <c r="AD212" s="378"/>
      <c r="AE212" s="378"/>
      <c r="AF212" s="378"/>
      <c r="AG212" s="378"/>
      <c r="AH212" s="378"/>
      <c r="AI212" s="378"/>
      <c r="AJ212" s="378"/>
      <c r="AK212" s="378"/>
      <c r="AL212" s="378"/>
      <c r="AM212" s="378"/>
      <c r="AN212" s="378"/>
      <c r="AO212" s="378"/>
      <c r="AP212" s="378"/>
      <c r="AQ212" s="378"/>
      <c r="AR212" s="378"/>
      <c r="AS212" s="378"/>
      <c r="AT212" s="378"/>
      <c r="AU212" s="378"/>
      <c r="AV212" s="378"/>
      <c r="AW212" s="378"/>
      <c r="AX212" s="378"/>
      <c r="AY212" s="378"/>
      <c r="AZ212" s="378"/>
    </row>
    <row r="213" spans="1:52" s="532" customFormat="1" ht="12" customHeight="1" x14ac:dyDescent="0.25">
      <c r="A213" s="582"/>
      <c r="B213" s="760" t="s">
        <v>137</v>
      </c>
      <c r="C213" s="13"/>
      <c r="D213" s="13"/>
      <c r="E213" s="13"/>
      <c r="F213" s="13"/>
      <c r="G213" s="13"/>
      <c r="H213" s="13"/>
      <c r="I213" s="13"/>
      <c r="J213" s="13"/>
      <c r="K213" s="13"/>
      <c r="L213" s="13"/>
      <c r="M213" s="13"/>
      <c r="N213" s="378"/>
      <c r="O213" s="378"/>
      <c r="P213" s="13"/>
      <c r="Q213" s="13"/>
      <c r="R213" s="13"/>
      <c r="S213" s="13"/>
      <c r="T213" s="13"/>
      <c r="U213" s="378"/>
      <c r="V213" s="378"/>
      <c r="W213" s="378"/>
      <c r="X213" s="378"/>
      <c r="Y213" s="378"/>
      <c r="Z213" s="378"/>
      <c r="AA213" s="378"/>
      <c r="AB213" s="378"/>
      <c r="AC213" s="378"/>
      <c r="AD213" s="378"/>
      <c r="AE213" s="378"/>
      <c r="AF213" s="378"/>
      <c r="AG213" s="378"/>
      <c r="AH213" s="378"/>
      <c r="AI213" s="378"/>
      <c r="AJ213" s="378"/>
      <c r="AK213" s="378"/>
      <c r="AL213" s="378"/>
      <c r="AM213" s="378"/>
      <c r="AN213" s="378"/>
      <c r="AO213" s="378"/>
      <c r="AP213" s="378"/>
      <c r="AQ213" s="378"/>
      <c r="AR213" s="378"/>
      <c r="AS213" s="378"/>
      <c r="AT213" s="378"/>
      <c r="AU213" s="378"/>
      <c r="AV213" s="378"/>
      <c r="AW213" s="378"/>
      <c r="AX213" s="378"/>
      <c r="AY213" s="378"/>
      <c r="AZ213" s="378"/>
    </row>
    <row r="214" spans="1:52" s="532" customFormat="1" ht="15.75" x14ac:dyDescent="0.25">
      <c r="A214" s="582"/>
      <c r="B214" s="30" t="s">
        <v>138</v>
      </c>
      <c r="C214" s="13"/>
      <c r="D214" s="13"/>
      <c r="E214" s="13"/>
      <c r="F214" s="13"/>
      <c r="G214" s="13"/>
      <c r="H214" s="1612" t="s">
        <v>103</v>
      </c>
      <c r="I214" s="1613"/>
      <c r="J214" s="982"/>
      <c r="K214" s="982"/>
      <c r="L214" s="13"/>
      <c r="M214" s="13"/>
      <c r="N214" s="378"/>
      <c r="O214" s="378"/>
      <c r="P214" s="13"/>
      <c r="Q214" s="13"/>
      <c r="R214" s="13"/>
      <c r="S214" s="13"/>
      <c r="T214" s="13"/>
      <c r="U214" s="378"/>
      <c r="V214" s="378"/>
      <c r="W214" s="378"/>
      <c r="X214" s="378"/>
      <c r="Y214" s="378"/>
      <c r="Z214" s="378"/>
      <c r="AA214" s="378"/>
      <c r="AB214" s="378"/>
      <c r="AC214" s="378"/>
      <c r="AD214" s="378"/>
      <c r="AE214" s="378"/>
      <c r="AF214" s="378"/>
      <c r="AG214" s="378"/>
      <c r="AH214" s="378"/>
      <c r="AI214" s="378"/>
      <c r="AJ214" s="378"/>
      <c r="AK214" s="378"/>
      <c r="AL214" s="378"/>
      <c r="AM214" s="378"/>
      <c r="AN214" s="378"/>
      <c r="AO214" s="378"/>
      <c r="AP214" s="378"/>
      <c r="AQ214" s="378"/>
      <c r="AR214" s="378"/>
      <c r="AS214" s="378"/>
      <c r="AT214" s="378"/>
      <c r="AU214" s="378"/>
      <c r="AV214" s="378"/>
      <c r="AW214" s="378"/>
      <c r="AX214" s="378"/>
      <c r="AY214" s="378"/>
      <c r="AZ214" s="378"/>
    </row>
    <row r="215" spans="1:52" s="532" customFormat="1" ht="9" customHeight="1" x14ac:dyDescent="0.25">
      <c r="A215" s="582"/>
      <c r="C215" s="1508"/>
      <c r="D215" s="1508"/>
      <c r="E215" s="1508"/>
      <c r="F215" s="1508"/>
      <c r="G215" s="1508"/>
      <c r="H215" s="378"/>
      <c r="I215" s="378"/>
      <c r="J215" s="876"/>
      <c r="K215" s="876"/>
      <c r="L215" s="13"/>
      <c r="M215" s="13"/>
      <c r="N215" s="378"/>
      <c r="O215" s="378"/>
      <c r="P215" s="13"/>
      <c r="Q215" s="13"/>
      <c r="R215" s="13"/>
      <c r="S215" s="13"/>
      <c r="T215" s="13"/>
      <c r="U215" s="378"/>
      <c r="V215" s="378"/>
      <c r="W215" s="378"/>
      <c r="X215" s="378"/>
      <c r="Y215" s="378"/>
      <c r="Z215" s="378"/>
      <c r="AA215" s="378"/>
      <c r="AB215" s="378"/>
      <c r="AC215" s="378"/>
      <c r="AD215" s="378"/>
      <c r="AE215" s="378"/>
      <c r="AF215" s="378"/>
      <c r="AG215" s="378"/>
      <c r="AH215" s="378"/>
      <c r="AI215" s="378"/>
      <c r="AJ215" s="378"/>
      <c r="AK215" s="378"/>
      <c r="AL215" s="378"/>
      <c r="AM215" s="378"/>
      <c r="AN215" s="378"/>
      <c r="AO215" s="378"/>
      <c r="AP215" s="378"/>
      <c r="AQ215" s="378"/>
      <c r="AR215" s="378"/>
      <c r="AS215" s="378"/>
      <c r="AT215" s="378"/>
      <c r="AU215" s="378"/>
      <c r="AV215" s="378"/>
      <c r="AW215" s="378"/>
      <c r="AX215" s="378"/>
      <c r="AY215" s="378"/>
      <c r="AZ215" s="378"/>
    </row>
    <row r="216" spans="1:52" s="532" customFormat="1" ht="15.75" x14ac:dyDescent="0.25">
      <c r="A216" s="582"/>
      <c r="B216" s="30" t="s">
        <v>139</v>
      </c>
      <c r="C216" s="13"/>
      <c r="D216" s="13"/>
      <c r="E216" s="13"/>
      <c r="F216" s="13"/>
      <c r="G216" s="378"/>
      <c r="H216" s="1612" t="s">
        <v>103</v>
      </c>
      <c r="I216" s="1613"/>
      <c r="J216" s="982"/>
      <c r="K216" s="982"/>
      <c r="L216" s="13"/>
      <c r="M216" s="13"/>
      <c r="N216" s="378"/>
      <c r="O216" s="378"/>
      <c r="P216" s="13"/>
      <c r="Q216" s="13"/>
      <c r="R216" s="13"/>
      <c r="S216" s="13"/>
      <c r="T216" s="13"/>
      <c r="U216" s="378"/>
      <c r="V216" s="378"/>
      <c r="W216" s="378"/>
      <c r="X216" s="378"/>
      <c r="Y216" s="378"/>
      <c r="Z216" s="378"/>
      <c r="AA216" s="378"/>
      <c r="AB216" s="378"/>
      <c r="AC216" s="378"/>
      <c r="AD216" s="378"/>
      <c r="AE216" s="378"/>
      <c r="AF216" s="378"/>
      <c r="AG216" s="378"/>
      <c r="AH216" s="378"/>
      <c r="AI216" s="378"/>
      <c r="AJ216" s="378"/>
      <c r="AK216" s="378"/>
      <c r="AL216" s="378"/>
      <c r="AM216" s="378"/>
      <c r="AN216" s="378"/>
      <c r="AO216" s="378"/>
      <c r="AP216" s="378"/>
      <c r="AQ216" s="378"/>
      <c r="AR216" s="378"/>
      <c r="AS216" s="378"/>
      <c r="AT216" s="378"/>
      <c r="AU216" s="378"/>
      <c r="AV216" s="378"/>
      <c r="AW216" s="378"/>
      <c r="AX216" s="378"/>
      <c r="AY216" s="378"/>
      <c r="AZ216" s="378"/>
    </row>
    <row r="217" spans="1:52" s="532" customFormat="1" ht="8.25" customHeight="1" x14ac:dyDescent="0.25">
      <c r="A217" s="582"/>
      <c r="B217" s="760"/>
      <c r="C217" s="1508"/>
      <c r="D217" s="1508"/>
      <c r="E217" s="1508"/>
      <c r="F217" s="1508"/>
      <c r="G217" s="1508"/>
      <c r="H217" s="1509"/>
      <c r="I217" s="1509"/>
      <c r="J217" s="877"/>
      <c r="K217" s="877"/>
      <c r="L217" s="13"/>
      <c r="M217" s="13"/>
      <c r="N217" s="378"/>
      <c r="O217" s="378"/>
      <c r="P217" s="13"/>
      <c r="Q217" s="13"/>
      <c r="R217" s="13"/>
      <c r="S217" s="13"/>
      <c r="T217" s="13"/>
      <c r="U217" s="378"/>
      <c r="V217" s="378"/>
      <c r="W217" s="378"/>
      <c r="X217" s="378"/>
      <c r="Y217" s="378"/>
      <c r="Z217" s="378"/>
      <c r="AA217" s="378"/>
      <c r="AB217" s="378"/>
      <c r="AC217" s="378"/>
      <c r="AD217" s="378"/>
      <c r="AE217" s="378"/>
      <c r="AF217" s="378"/>
      <c r="AG217" s="378"/>
      <c r="AH217" s="378"/>
      <c r="AI217" s="378"/>
      <c r="AJ217" s="378"/>
      <c r="AK217" s="378"/>
      <c r="AL217" s="378"/>
      <c r="AM217" s="378"/>
      <c r="AN217" s="378"/>
      <c r="AO217" s="378"/>
      <c r="AP217" s="378"/>
      <c r="AQ217" s="378"/>
      <c r="AR217" s="378"/>
      <c r="AS217" s="378"/>
      <c r="AT217" s="378"/>
      <c r="AU217" s="378"/>
      <c r="AV217" s="378"/>
      <c r="AW217" s="378"/>
      <c r="AX217" s="378"/>
      <c r="AY217" s="378"/>
      <c r="AZ217" s="378"/>
    </row>
    <row r="218" spans="1:52" s="532" customFormat="1" ht="15.75" x14ac:dyDescent="0.25">
      <c r="A218" s="582"/>
      <c r="B218" s="30" t="s">
        <v>140</v>
      </c>
      <c r="C218" s="13"/>
      <c r="D218" s="13"/>
      <c r="E218" s="13"/>
      <c r="F218" s="13"/>
      <c r="G218" s="378"/>
      <c r="H218" s="1612" t="s">
        <v>103</v>
      </c>
      <c r="I218" s="1613"/>
      <c r="J218" s="982"/>
      <c r="K218" s="982"/>
      <c r="L218" s="13"/>
      <c r="M218" s="13"/>
      <c r="N218" s="378"/>
      <c r="O218" s="378"/>
      <c r="P218" s="13"/>
      <c r="Q218" s="13"/>
      <c r="R218" s="13"/>
      <c r="S218" s="13"/>
      <c r="T218" s="13"/>
      <c r="U218" s="378"/>
      <c r="V218" s="378"/>
      <c r="W218" s="378"/>
      <c r="X218" s="378"/>
      <c r="Y218" s="378"/>
      <c r="Z218" s="378"/>
      <c r="AA218" s="378"/>
      <c r="AB218" s="378"/>
      <c r="AC218" s="378"/>
      <c r="AD218" s="378"/>
      <c r="AE218" s="378"/>
      <c r="AF218" s="378"/>
      <c r="AG218" s="378"/>
      <c r="AH218" s="378"/>
      <c r="AI218" s="378"/>
      <c r="AJ218" s="378"/>
      <c r="AK218" s="378"/>
      <c r="AL218" s="378"/>
      <c r="AM218" s="378"/>
      <c r="AN218" s="378"/>
      <c r="AO218" s="378"/>
      <c r="AP218" s="378"/>
      <c r="AQ218" s="378"/>
      <c r="AR218" s="378"/>
      <c r="AS218" s="378"/>
      <c r="AT218" s="378"/>
      <c r="AU218" s="378"/>
      <c r="AV218" s="378"/>
      <c r="AW218" s="378"/>
      <c r="AX218" s="378"/>
      <c r="AY218" s="378"/>
      <c r="AZ218" s="378"/>
    </row>
    <row r="219" spans="1:52" s="532" customFormat="1" ht="12.75" customHeight="1" x14ac:dyDescent="0.25">
      <c r="A219" s="582"/>
      <c r="B219" s="760"/>
      <c r="C219" s="1508"/>
      <c r="D219" s="1508"/>
      <c r="E219" s="1508"/>
      <c r="F219" s="1508"/>
      <c r="G219" s="1508"/>
      <c r="H219" s="1616" t="s">
        <v>96</v>
      </c>
      <c r="I219" s="1616"/>
      <c r="J219" s="1616"/>
      <c r="K219" s="1616"/>
      <c r="L219" s="13"/>
      <c r="M219" s="13"/>
      <c r="N219" s="378"/>
      <c r="O219" s="378"/>
      <c r="P219" s="13"/>
      <c r="Q219" s="13"/>
      <c r="R219" s="13"/>
      <c r="S219" s="13"/>
      <c r="T219" s="13"/>
      <c r="U219" s="378"/>
      <c r="V219" s="378"/>
      <c r="W219" s="378"/>
      <c r="X219" s="378"/>
      <c r="Y219" s="378"/>
      <c r="Z219" s="378"/>
      <c r="AA219" s="378"/>
      <c r="AB219" s="378"/>
      <c r="AC219" s="378"/>
      <c r="AD219" s="378"/>
      <c r="AE219" s="378"/>
      <c r="AF219" s="378"/>
      <c r="AG219" s="378"/>
      <c r="AH219" s="378"/>
      <c r="AI219" s="378"/>
      <c r="AJ219" s="378"/>
      <c r="AK219" s="378"/>
      <c r="AL219" s="378"/>
      <c r="AM219" s="378"/>
      <c r="AN219" s="378"/>
      <c r="AO219" s="378"/>
      <c r="AP219" s="378"/>
      <c r="AQ219" s="378"/>
      <c r="AR219" s="378"/>
      <c r="AS219" s="378"/>
      <c r="AT219" s="378"/>
      <c r="AU219" s="378"/>
      <c r="AV219" s="378"/>
      <c r="AW219" s="378"/>
      <c r="AX219" s="378"/>
      <c r="AY219" s="378"/>
      <c r="AZ219" s="378"/>
    </row>
    <row r="220" spans="1:52" s="532" customFormat="1" ht="15.75" x14ac:dyDescent="0.25">
      <c r="A220" s="582"/>
      <c r="B220" s="30" t="s">
        <v>141</v>
      </c>
      <c r="D220" s="378"/>
      <c r="E220" s="378"/>
      <c r="F220" s="378"/>
      <c r="G220" s="378"/>
      <c r="H220" s="378"/>
      <c r="I220" s="13"/>
      <c r="J220" s="13"/>
      <c r="K220" s="13"/>
      <c r="L220" s="13"/>
      <c r="M220" s="13"/>
      <c r="N220" s="378"/>
      <c r="O220" s="378"/>
      <c r="P220" s="13"/>
      <c r="Q220" s="13"/>
      <c r="R220" s="13"/>
      <c r="S220" s="13"/>
      <c r="T220" s="13"/>
      <c r="U220" s="378"/>
      <c r="V220" s="378"/>
      <c r="W220" s="378"/>
      <c r="X220" s="378"/>
      <c r="Y220" s="378"/>
      <c r="Z220" s="378"/>
      <c r="AA220" s="378"/>
      <c r="AB220" s="378"/>
      <c r="AC220" s="378"/>
      <c r="AD220" s="378"/>
      <c r="AE220" s="378"/>
      <c r="AF220" s="378"/>
      <c r="AG220" s="378"/>
      <c r="AH220" s="378"/>
      <c r="AI220" s="378"/>
      <c r="AJ220" s="378"/>
      <c r="AK220" s="378"/>
      <c r="AL220" s="378"/>
      <c r="AM220" s="378"/>
      <c r="AN220" s="378"/>
      <c r="AO220" s="378"/>
      <c r="AP220" s="378"/>
      <c r="AQ220" s="378"/>
      <c r="AR220" s="378"/>
      <c r="AS220" s="378"/>
      <c r="AT220" s="378"/>
      <c r="AU220" s="378"/>
      <c r="AV220" s="378"/>
      <c r="AW220" s="378"/>
      <c r="AX220" s="378"/>
      <c r="AY220" s="378"/>
      <c r="AZ220" s="378"/>
    </row>
    <row r="221" spans="1:52" s="532" customFormat="1" ht="15.75" x14ac:dyDescent="0.25">
      <c r="A221" s="582"/>
      <c r="B221" s="1607" t="s">
        <v>142</v>
      </c>
      <c r="C221" s="1607"/>
      <c r="D221" s="1607"/>
      <c r="E221" s="982"/>
      <c r="F221" s="13"/>
      <c r="G221" s="754" t="s">
        <v>26</v>
      </c>
      <c r="H221" s="81"/>
      <c r="I221" s="13"/>
      <c r="J221" s="13"/>
      <c r="K221" s="13"/>
      <c r="L221" s="13"/>
      <c r="M221" s="13"/>
      <c r="N221" s="378"/>
      <c r="O221" s="378"/>
      <c r="P221" s="13"/>
      <c r="Q221" s="13"/>
      <c r="R221" s="13"/>
      <c r="S221" s="13"/>
      <c r="T221" s="13"/>
      <c r="U221" s="378"/>
      <c r="V221" s="378"/>
      <c r="W221" s="378"/>
      <c r="X221" s="378"/>
      <c r="Y221" s="378"/>
      <c r="Z221" s="378"/>
      <c r="AA221" s="378"/>
      <c r="AB221" s="378"/>
      <c r="AC221" s="378"/>
      <c r="AD221" s="378"/>
      <c r="AE221" s="378"/>
      <c r="AF221" s="378"/>
      <c r="AG221" s="378"/>
      <c r="AH221" s="378"/>
      <c r="AI221" s="378"/>
      <c r="AJ221" s="378"/>
      <c r="AK221" s="378"/>
      <c r="AL221" s="378"/>
      <c r="AM221" s="378"/>
      <c r="AN221" s="378"/>
      <c r="AO221" s="378"/>
      <c r="AP221" s="378"/>
      <c r="AQ221" s="378"/>
      <c r="AR221" s="378"/>
      <c r="AS221" s="378"/>
      <c r="AT221" s="378"/>
      <c r="AU221" s="378"/>
      <c r="AV221" s="378"/>
      <c r="AW221" s="378"/>
      <c r="AX221" s="378"/>
      <c r="AY221" s="378"/>
      <c r="AZ221" s="378"/>
    </row>
    <row r="222" spans="1:52" s="532" customFormat="1" ht="15.75" x14ac:dyDescent="0.25">
      <c r="A222" s="582"/>
      <c r="B222" s="1607" t="s">
        <v>144</v>
      </c>
      <c r="C222" s="1607"/>
      <c r="D222" s="1607"/>
      <c r="E222" s="982"/>
      <c r="F222" s="13"/>
      <c r="G222" s="81"/>
      <c r="H222" s="81"/>
      <c r="I222" s="13"/>
      <c r="J222" s="13"/>
      <c r="K222" s="13"/>
      <c r="L222" s="13"/>
      <c r="M222" s="13"/>
      <c r="N222" s="378"/>
      <c r="O222" s="378"/>
      <c r="P222" s="13"/>
      <c r="Q222" s="13"/>
      <c r="R222" s="13"/>
      <c r="S222" s="13"/>
      <c r="T222" s="13"/>
      <c r="U222" s="378"/>
      <c r="V222" s="378"/>
      <c r="W222" s="378"/>
      <c r="X222" s="378"/>
      <c r="Y222" s="378"/>
      <c r="Z222" s="378"/>
      <c r="AA222" s="378"/>
      <c r="AB222" s="378"/>
      <c r="AC222" s="378"/>
      <c r="AD222" s="378"/>
      <c r="AE222" s="378"/>
      <c r="AF222" s="378"/>
      <c r="AG222" s="378"/>
      <c r="AH222" s="378"/>
      <c r="AI222" s="378"/>
      <c r="AJ222" s="378"/>
      <c r="AK222" s="378"/>
      <c r="AL222" s="378"/>
      <c r="AM222" s="378"/>
      <c r="AN222" s="378"/>
      <c r="AO222" s="378"/>
      <c r="AP222" s="378"/>
      <c r="AQ222" s="378"/>
      <c r="AR222" s="378"/>
      <c r="AS222" s="378"/>
      <c r="AT222" s="378"/>
      <c r="AU222" s="378"/>
      <c r="AV222" s="378"/>
      <c r="AW222" s="378"/>
      <c r="AX222" s="378"/>
      <c r="AY222" s="378"/>
      <c r="AZ222" s="378"/>
    </row>
    <row r="223" spans="1:52" s="532" customFormat="1" ht="14.25" customHeight="1" x14ac:dyDescent="0.25">
      <c r="A223" s="582"/>
      <c r="B223" s="1602" t="s">
        <v>145</v>
      </c>
      <c r="C223" s="1602"/>
      <c r="D223" s="1602"/>
      <c r="E223" s="1602"/>
      <c r="F223" s="1602"/>
      <c r="G223" s="1508"/>
      <c r="H223" s="142"/>
      <c r="I223" s="13"/>
      <c r="J223" s="13"/>
      <c r="K223" s="13"/>
      <c r="L223" s="13"/>
      <c r="M223" s="13"/>
      <c r="N223" s="378"/>
      <c r="O223" s="378"/>
      <c r="P223" s="13"/>
      <c r="Q223" s="13"/>
      <c r="R223" s="13"/>
      <c r="S223" s="13"/>
      <c r="T223" s="13"/>
      <c r="U223" s="378"/>
      <c r="V223" s="378"/>
      <c r="W223" s="378"/>
      <c r="X223" s="378"/>
      <c r="Y223" s="378"/>
      <c r="Z223" s="378"/>
      <c r="AA223" s="378"/>
      <c r="AB223" s="378"/>
      <c r="AC223" s="378"/>
      <c r="AD223" s="378"/>
      <c r="AE223" s="378"/>
      <c r="AF223" s="378"/>
      <c r="AG223" s="378"/>
      <c r="AH223" s="378"/>
      <c r="AI223" s="378"/>
      <c r="AJ223" s="378"/>
      <c r="AK223" s="378"/>
      <c r="AL223" s="378"/>
      <c r="AM223" s="378"/>
      <c r="AN223" s="378"/>
      <c r="AO223" s="378"/>
      <c r="AP223" s="378"/>
      <c r="AQ223" s="378"/>
      <c r="AR223" s="378"/>
      <c r="AS223" s="378"/>
      <c r="AT223" s="378"/>
      <c r="AU223" s="378"/>
      <c r="AV223" s="378"/>
      <c r="AW223" s="378"/>
      <c r="AX223" s="378"/>
      <c r="AY223" s="378"/>
      <c r="AZ223" s="378"/>
    </row>
    <row r="224" spans="1:52" s="532" customFormat="1" ht="15.75" x14ac:dyDescent="0.25">
      <c r="A224" s="45"/>
      <c r="B224" s="30" t="s">
        <v>146</v>
      </c>
      <c r="C224" s="13"/>
      <c r="D224" s="13"/>
      <c r="E224" s="13"/>
      <c r="F224" s="13"/>
      <c r="G224" s="30"/>
      <c r="I224" s="1314"/>
      <c r="J224" s="754" t="s">
        <v>147</v>
      </c>
      <c r="K224" s="13"/>
      <c r="L224" s="13"/>
      <c r="M224" s="13"/>
      <c r="N224" s="13"/>
      <c r="O224" s="13"/>
      <c r="P224" s="13"/>
      <c r="Q224" s="13"/>
      <c r="R224" s="13"/>
      <c r="S224" s="13"/>
      <c r="T224" s="13"/>
      <c r="U224" s="378"/>
      <c r="V224" s="378"/>
      <c r="W224" s="378"/>
      <c r="X224" s="378"/>
      <c r="Y224" s="378"/>
      <c r="Z224" s="378"/>
      <c r="AA224" s="378"/>
      <c r="AB224" s="378"/>
      <c r="AC224" s="378"/>
      <c r="AD224" s="378"/>
      <c r="AE224" s="378"/>
      <c r="AF224" s="378"/>
      <c r="AG224" s="378"/>
      <c r="AH224" s="378"/>
      <c r="AI224" s="378"/>
      <c r="AJ224" s="378"/>
      <c r="AK224" s="378"/>
      <c r="AL224" s="378"/>
      <c r="AM224" s="378"/>
      <c r="AN224" s="378"/>
      <c r="AO224" s="378"/>
      <c r="AP224" s="378"/>
      <c r="AQ224" s="378"/>
      <c r="AR224" s="378"/>
      <c r="AS224" s="378"/>
      <c r="AT224" s="378"/>
      <c r="AU224" s="378"/>
      <c r="AV224" s="378"/>
      <c r="AW224" s="378"/>
      <c r="AX224" s="378"/>
      <c r="AY224" s="378"/>
      <c r="AZ224" s="378"/>
    </row>
    <row r="225" spans="1:52" s="532" customFormat="1" x14ac:dyDescent="0.25">
      <c r="A225" s="45"/>
      <c r="B225" s="1620" t="s">
        <v>148</v>
      </c>
      <c r="C225" s="1620"/>
      <c r="D225" s="1620"/>
      <c r="E225" s="1620"/>
      <c r="F225" s="1620"/>
      <c r="G225" s="1620"/>
      <c r="H225" s="436"/>
      <c r="I225" s="436"/>
      <c r="J225" s="436"/>
      <c r="K225" s="13"/>
      <c r="L225" s="13"/>
      <c r="M225" s="13"/>
      <c r="N225" s="13"/>
      <c r="O225" s="13"/>
      <c r="P225" s="13"/>
      <c r="Q225" s="13"/>
      <c r="R225" s="13"/>
      <c r="S225" s="13"/>
      <c r="T225" s="13"/>
      <c r="U225" s="378"/>
      <c r="V225" s="378"/>
      <c r="W225" s="378"/>
      <c r="X225" s="378"/>
      <c r="Y225" s="378"/>
      <c r="Z225" s="378"/>
      <c r="AA225" s="378"/>
      <c r="AB225" s="378"/>
      <c r="AC225" s="378"/>
      <c r="AD225" s="378"/>
      <c r="AE225" s="378"/>
      <c r="AF225" s="378"/>
      <c r="AG225" s="378"/>
      <c r="AH225" s="378"/>
      <c r="AI225" s="378"/>
      <c r="AJ225" s="378"/>
      <c r="AK225" s="378"/>
      <c r="AL225" s="378"/>
      <c r="AM225" s="378"/>
      <c r="AN225" s="378"/>
      <c r="AO225" s="378"/>
      <c r="AP225" s="378"/>
      <c r="AQ225" s="378"/>
      <c r="AR225" s="378"/>
      <c r="AS225" s="378"/>
      <c r="AT225" s="378"/>
      <c r="AU225" s="378"/>
      <c r="AV225" s="378"/>
      <c r="AW225" s="378"/>
      <c r="AX225" s="378"/>
      <c r="AY225" s="378"/>
      <c r="AZ225" s="378"/>
    </row>
    <row r="226" spans="1:52" s="532" customFormat="1" ht="14.25" customHeight="1" x14ac:dyDescent="0.25">
      <c r="A226" s="45"/>
      <c r="B226" s="1617"/>
      <c r="C226" s="1618"/>
      <c r="D226" s="1618"/>
      <c r="E226" s="1618"/>
      <c r="F226" s="1618"/>
      <c r="G226" s="1619"/>
      <c r="H226" s="1604" t="s">
        <v>149</v>
      </c>
      <c r="I226" s="1605"/>
      <c r="J226" s="1605"/>
      <c r="K226" s="1605"/>
      <c r="L226" s="585"/>
      <c r="M226" s="585"/>
      <c r="N226" s="585"/>
      <c r="O226" s="585"/>
      <c r="P226" s="13"/>
      <c r="Q226" s="13"/>
      <c r="R226" s="13"/>
      <c r="S226" s="13"/>
      <c r="T226" s="13"/>
      <c r="U226" s="378"/>
      <c r="V226" s="378"/>
      <c r="W226" s="378"/>
      <c r="X226" s="378"/>
      <c r="Y226" s="378"/>
      <c r="Z226" s="378"/>
      <c r="AA226" s="378"/>
      <c r="AB226" s="378"/>
      <c r="AC226" s="378"/>
      <c r="AD226" s="378"/>
      <c r="AE226" s="378"/>
      <c r="AF226" s="378"/>
      <c r="AG226" s="378"/>
      <c r="AH226" s="378"/>
      <c r="AI226" s="378"/>
      <c r="AJ226" s="378"/>
      <c r="AK226" s="378"/>
      <c r="AL226" s="378"/>
      <c r="AM226" s="378"/>
      <c r="AN226" s="378"/>
      <c r="AO226" s="378"/>
      <c r="AP226" s="378"/>
      <c r="AQ226" s="378"/>
      <c r="AR226" s="378"/>
      <c r="AS226" s="378"/>
      <c r="AT226" s="378"/>
      <c r="AU226" s="378"/>
      <c r="AV226" s="378"/>
      <c r="AW226" s="378"/>
      <c r="AX226" s="378"/>
      <c r="AY226" s="378"/>
      <c r="AZ226" s="378"/>
    </row>
    <row r="227" spans="1:52" s="532" customFormat="1" ht="12.75" customHeight="1" x14ac:dyDescent="0.25">
      <c r="A227" s="45"/>
      <c r="B227" s="436"/>
      <c r="C227" s="436"/>
      <c r="D227" s="436"/>
      <c r="E227" s="436"/>
      <c r="F227" s="436"/>
      <c r="G227" s="436"/>
      <c r="H227" s="436"/>
      <c r="I227" s="436"/>
      <c r="J227" s="436"/>
      <c r="K227" s="13"/>
      <c r="L227" s="13"/>
      <c r="M227" s="13"/>
      <c r="N227" s="13"/>
      <c r="O227" s="13"/>
      <c r="P227" s="13"/>
      <c r="Q227" s="13"/>
      <c r="R227" s="13"/>
      <c r="S227" s="13"/>
      <c r="T227" s="13"/>
      <c r="U227" s="378"/>
      <c r="V227" s="378"/>
      <c r="W227" s="378"/>
      <c r="X227" s="378"/>
      <c r="Y227" s="378"/>
      <c r="Z227" s="378"/>
      <c r="AA227" s="378"/>
      <c r="AB227" s="378"/>
      <c r="AC227" s="378"/>
      <c r="AD227" s="378"/>
      <c r="AE227" s="378"/>
      <c r="AF227" s="378"/>
      <c r="AG227" s="378"/>
      <c r="AH227" s="378"/>
      <c r="AI227" s="378"/>
      <c r="AJ227" s="378"/>
      <c r="AK227" s="378"/>
      <c r="AL227" s="378"/>
      <c r="AM227" s="378"/>
      <c r="AN227" s="378"/>
      <c r="AO227" s="378"/>
      <c r="AP227" s="378"/>
      <c r="AQ227" s="378"/>
      <c r="AR227" s="378"/>
      <c r="AS227" s="378"/>
      <c r="AT227" s="378"/>
      <c r="AU227" s="378"/>
      <c r="AV227" s="378"/>
      <c r="AW227" s="378"/>
      <c r="AX227" s="378"/>
      <c r="AY227" s="378"/>
      <c r="AZ227" s="378"/>
    </row>
    <row r="228" spans="1:52" s="532" customFormat="1" ht="15.75" x14ac:dyDescent="0.25">
      <c r="A228" s="582">
        <v>15</v>
      </c>
      <c r="B228" s="1595" t="s">
        <v>150</v>
      </c>
      <c r="C228" s="1595"/>
      <c r="D228" s="1595"/>
      <c r="E228" s="1595"/>
      <c r="F228" s="1595"/>
      <c r="G228" s="1595"/>
      <c r="H228" s="436"/>
      <c r="I228" s="436"/>
      <c r="J228" s="436"/>
      <c r="K228" s="13"/>
      <c r="L228" s="13"/>
      <c r="M228" s="13"/>
      <c r="N228" s="13"/>
      <c r="O228" s="13"/>
      <c r="P228" s="13"/>
      <c r="Q228" s="13"/>
      <c r="R228" s="13"/>
      <c r="S228" s="13"/>
      <c r="T228" s="13"/>
      <c r="U228" s="378"/>
      <c r="V228" s="378"/>
      <c r="W228" s="378"/>
      <c r="X228" s="378"/>
      <c r="Y228" s="378"/>
      <c r="Z228" s="378"/>
      <c r="AA228" s="378"/>
      <c r="AB228" s="378"/>
      <c r="AC228" s="378"/>
      <c r="AD228" s="378"/>
      <c r="AE228" s="378"/>
      <c r="AF228" s="378"/>
      <c r="AG228" s="378"/>
      <c r="AH228" s="378"/>
      <c r="AI228" s="378"/>
      <c r="AJ228" s="378"/>
      <c r="AK228" s="378"/>
      <c r="AL228" s="378"/>
      <c r="AM228" s="378"/>
      <c r="AN228" s="378"/>
      <c r="AO228" s="378"/>
      <c r="AP228" s="378"/>
      <c r="AQ228" s="378"/>
      <c r="AR228" s="378"/>
      <c r="AS228" s="378"/>
      <c r="AT228" s="378"/>
      <c r="AU228" s="378"/>
      <c r="AV228" s="378"/>
      <c r="AW228" s="378"/>
      <c r="AX228" s="378"/>
      <c r="AY228" s="378"/>
      <c r="AZ228" s="378"/>
    </row>
    <row r="229" spans="1:52" ht="15.75" x14ac:dyDescent="0.25">
      <c r="A229" s="532"/>
      <c r="B229" s="30" t="s">
        <v>151</v>
      </c>
      <c r="C229" s="39"/>
      <c r="D229" s="13"/>
      <c r="E229" s="13"/>
      <c r="F229" s="39"/>
      <c r="G229" s="13"/>
      <c r="H229" s="13"/>
      <c r="I229" s="13"/>
      <c r="J229" s="13"/>
      <c r="K229" s="13"/>
      <c r="L229" s="13"/>
      <c r="M229" s="13"/>
      <c r="N229" s="13"/>
      <c r="O229" s="13"/>
      <c r="P229" s="13"/>
      <c r="Q229" s="13"/>
      <c r="R229" s="13"/>
      <c r="S229" s="13"/>
      <c r="T229" s="13"/>
      <c r="U229" s="378"/>
      <c r="V229" s="378"/>
      <c r="W229" s="378"/>
      <c r="X229" s="378"/>
      <c r="Y229" s="378"/>
      <c r="Z229" s="378"/>
      <c r="AA229" s="378"/>
      <c r="AB229" s="378"/>
      <c r="AC229" s="378"/>
      <c r="AD229" s="378"/>
      <c r="AE229" s="378"/>
      <c r="AF229" s="378"/>
      <c r="AG229" s="378"/>
      <c r="AH229" s="378"/>
      <c r="AI229" s="378"/>
      <c r="AJ229" s="378"/>
      <c r="AK229" s="378"/>
      <c r="AL229" s="378"/>
      <c r="AM229" s="378"/>
      <c r="AN229" s="378"/>
      <c r="AO229" s="378"/>
      <c r="AP229" s="378"/>
      <c r="AQ229" s="378"/>
      <c r="AR229" s="378"/>
      <c r="AS229" s="378"/>
      <c r="AT229" s="378"/>
      <c r="AU229" s="378"/>
      <c r="AV229" s="378"/>
      <c r="AW229" s="378"/>
      <c r="AX229" s="378"/>
      <c r="AY229" s="378"/>
      <c r="AZ229" s="378"/>
    </row>
    <row r="230" spans="1:52" ht="15.75" x14ac:dyDescent="0.25">
      <c r="A230" s="45"/>
      <c r="B230" s="1607" t="s">
        <v>152</v>
      </c>
      <c r="C230" s="1607"/>
      <c r="D230" s="1607"/>
      <c r="E230" s="982"/>
      <c r="F230" s="13"/>
      <c r="G230" s="754" t="s">
        <v>26</v>
      </c>
      <c r="H230" s="13"/>
      <c r="I230" s="13"/>
      <c r="J230" s="13"/>
      <c r="K230" s="13"/>
      <c r="L230" s="13"/>
      <c r="M230" s="13"/>
      <c r="N230" s="13"/>
      <c r="O230" s="13"/>
      <c r="P230" s="13"/>
      <c r="Q230" s="13"/>
      <c r="R230" s="13"/>
      <c r="S230" s="13"/>
      <c r="T230" s="13"/>
      <c r="U230" s="378"/>
      <c r="V230" s="378"/>
      <c r="W230" s="378"/>
      <c r="X230" s="378"/>
      <c r="Y230" s="378"/>
      <c r="Z230" s="378"/>
      <c r="AA230" s="378"/>
      <c r="AB230" s="378"/>
      <c r="AC230" s="378"/>
      <c r="AD230" s="378"/>
      <c r="AE230" s="378"/>
      <c r="AF230" s="378"/>
      <c r="AG230" s="378"/>
      <c r="AH230" s="378"/>
      <c r="AI230" s="378"/>
      <c r="AJ230" s="378"/>
      <c r="AK230" s="378"/>
      <c r="AL230" s="378"/>
      <c r="AM230" s="378"/>
      <c r="AN230" s="378"/>
      <c r="AO230" s="378"/>
      <c r="AP230" s="378"/>
      <c r="AQ230" s="378"/>
      <c r="AR230" s="378"/>
      <c r="AS230" s="378"/>
      <c r="AT230" s="378"/>
      <c r="AU230" s="378"/>
      <c r="AV230" s="378"/>
      <c r="AW230" s="378"/>
      <c r="AX230" s="378"/>
      <c r="AY230" s="378"/>
      <c r="AZ230" s="378"/>
    </row>
    <row r="231" spans="1:52" ht="15.75" x14ac:dyDescent="0.25">
      <c r="A231" s="45"/>
      <c r="B231" s="1607" t="s">
        <v>153</v>
      </c>
      <c r="C231" s="1607"/>
      <c r="D231" s="1607"/>
      <c r="E231" s="982"/>
      <c r="F231" s="13"/>
      <c r="G231" s="13"/>
      <c r="H231" s="13"/>
      <c r="I231" s="13"/>
      <c r="J231" s="13"/>
      <c r="K231" s="13"/>
      <c r="L231" s="13"/>
      <c r="M231" s="13"/>
      <c r="N231" s="13"/>
      <c r="O231" s="13"/>
      <c r="P231" s="13"/>
      <c r="Q231" s="13"/>
      <c r="R231" s="13"/>
      <c r="S231" s="13"/>
      <c r="T231" s="13"/>
      <c r="U231" s="378"/>
      <c r="V231" s="378"/>
      <c r="W231" s="378"/>
      <c r="X231" s="378"/>
      <c r="Y231" s="378"/>
      <c r="Z231" s="378"/>
      <c r="AA231" s="378"/>
      <c r="AB231" s="378"/>
      <c r="AC231" s="378"/>
      <c r="AD231" s="378"/>
      <c r="AE231" s="378"/>
      <c r="AF231" s="378"/>
      <c r="AG231" s="378"/>
      <c r="AH231" s="378"/>
      <c r="AI231" s="378"/>
      <c r="AJ231" s="378"/>
      <c r="AK231" s="378"/>
      <c r="AL231" s="378"/>
      <c r="AM231" s="378"/>
      <c r="AN231" s="378"/>
      <c r="AO231" s="378"/>
      <c r="AP231" s="378"/>
      <c r="AQ231" s="378"/>
      <c r="AR231" s="378"/>
      <c r="AS231" s="378"/>
      <c r="AT231" s="378"/>
      <c r="AU231" s="378"/>
      <c r="AV231" s="378"/>
      <c r="AW231" s="378"/>
      <c r="AX231" s="378"/>
      <c r="AY231" s="378"/>
      <c r="AZ231" s="378"/>
    </row>
    <row r="232" spans="1:52" ht="15.75" x14ac:dyDescent="0.25">
      <c r="A232" s="45"/>
      <c r="B232" s="1607" t="s">
        <v>154</v>
      </c>
      <c r="C232" s="1607"/>
      <c r="D232" s="1607"/>
      <c r="E232" s="982"/>
      <c r="F232" s="13"/>
      <c r="G232" s="13"/>
      <c r="H232" s="13"/>
      <c r="I232" s="13"/>
      <c r="J232" s="13"/>
      <c r="K232" s="13"/>
      <c r="L232" s="13"/>
      <c r="M232" s="13"/>
      <c r="N232" s="13"/>
      <c r="O232" s="13"/>
      <c r="P232" s="13"/>
      <c r="Q232" s="13"/>
      <c r="R232" s="13"/>
      <c r="S232" s="13"/>
      <c r="T232" s="13"/>
      <c r="U232" s="378"/>
      <c r="V232" s="378"/>
      <c r="W232" s="378"/>
      <c r="X232" s="378"/>
      <c r="Y232" s="378"/>
      <c r="Z232" s="378"/>
      <c r="AA232" s="378"/>
      <c r="AB232" s="378"/>
      <c r="AC232" s="378"/>
      <c r="AD232" s="378"/>
      <c r="AE232" s="378"/>
      <c r="AF232" s="378"/>
      <c r="AG232" s="378"/>
      <c r="AH232" s="378"/>
      <c r="AI232" s="378"/>
      <c r="AJ232" s="378"/>
      <c r="AK232" s="378"/>
      <c r="AL232" s="378"/>
      <c r="AM232" s="378"/>
      <c r="AN232" s="378"/>
      <c r="AO232" s="378"/>
      <c r="AP232" s="378"/>
      <c r="AQ232" s="378"/>
      <c r="AR232" s="378"/>
      <c r="AS232" s="378"/>
      <c r="AT232" s="378"/>
      <c r="AU232" s="378"/>
      <c r="AV232" s="378"/>
      <c r="AW232" s="378"/>
      <c r="AX232" s="378"/>
      <c r="AY232" s="378"/>
      <c r="AZ232" s="378"/>
    </row>
    <row r="233" spans="1:52" ht="15.75" x14ac:dyDescent="0.25">
      <c r="A233" s="45"/>
      <c r="B233" s="1607" t="s">
        <v>155</v>
      </c>
      <c r="C233" s="1607"/>
      <c r="D233" s="1607"/>
      <c r="E233" s="982"/>
      <c r="F233" s="13"/>
      <c r="G233" s="13"/>
      <c r="H233" s="13"/>
      <c r="I233" s="13"/>
      <c r="J233" s="13"/>
      <c r="K233" s="13"/>
      <c r="L233" s="13"/>
      <c r="M233" s="13"/>
      <c r="N233" s="13"/>
      <c r="O233" s="13"/>
      <c r="P233" s="13"/>
      <c r="Q233" s="13"/>
      <c r="R233" s="13"/>
      <c r="S233" s="13"/>
      <c r="T233" s="13"/>
      <c r="U233" s="378"/>
      <c r="V233" s="378"/>
      <c r="W233" s="378"/>
      <c r="X233" s="378"/>
      <c r="Y233" s="378"/>
      <c r="Z233" s="378"/>
      <c r="AA233" s="378"/>
      <c r="AB233" s="378"/>
      <c r="AC233" s="378"/>
      <c r="AD233" s="378"/>
      <c r="AE233" s="378"/>
      <c r="AF233" s="378"/>
      <c r="AG233" s="378"/>
      <c r="AH233" s="378"/>
      <c r="AI233" s="378"/>
      <c r="AJ233" s="378"/>
      <c r="AK233" s="378"/>
      <c r="AL233" s="378"/>
      <c r="AM233" s="378"/>
      <c r="AN233" s="378"/>
      <c r="AO233" s="378"/>
      <c r="AP233" s="378"/>
      <c r="AQ233" s="378"/>
      <c r="AR233" s="378"/>
      <c r="AS233" s="378"/>
      <c r="AT233" s="378"/>
      <c r="AU233" s="378"/>
      <c r="AV233" s="378"/>
      <c r="AW233" s="378"/>
      <c r="AX233" s="378"/>
      <c r="AY233" s="378"/>
      <c r="AZ233" s="378"/>
    </row>
    <row r="234" spans="1:52" ht="15.75" x14ac:dyDescent="0.25">
      <c r="A234" s="45"/>
      <c r="B234" s="1607" t="s">
        <v>156</v>
      </c>
      <c r="C234" s="1607"/>
      <c r="D234" s="1607"/>
      <c r="E234" s="982"/>
      <c r="F234" s="13"/>
      <c r="G234" s="13"/>
      <c r="H234" s="13"/>
      <c r="I234" s="13"/>
      <c r="J234" s="13"/>
      <c r="K234" s="13"/>
      <c r="L234" s="13"/>
      <c r="M234" s="13"/>
      <c r="N234" s="13"/>
      <c r="O234" s="13"/>
      <c r="P234" s="13"/>
      <c r="Q234" s="13"/>
      <c r="R234" s="13"/>
      <c r="S234" s="13"/>
      <c r="T234" s="13"/>
      <c r="U234" s="378"/>
      <c r="V234" s="378"/>
      <c r="W234" s="378"/>
      <c r="X234" s="378"/>
      <c r="Y234" s="378"/>
      <c r="Z234" s="378"/>
      <c r="AA234" s="378"/>
      <c r="AB234" s="378"/>
      <c r="AC234" s="378"/>
      <c r="AD234" s="378"/>
      <c r="AE234" s="378"/>
      <c r="AF234" s="378"/>
      <c r="AG234" s="378"/>
      <c r="AH234" s="378"/>
      <c r="AI234" s="378"/>
      <c r="AJ234" s="378"/>
      <c r="AK234" s="378"/>
      <c r="AL234" s="378"/>
      <c r="AM234" s="378"/>
      <c r="AN234" s="378"/>
      <c r="AO234" s="378"/>
      <c r="AP234" s="378"/>
      <c r="AQ234" s="378"/>
      <c r="AR234" s="378"/>
      <c r="AS234" s="378"/>
      <c r="AT234" s="378"/>
      <c r="AU234" s="378"/>
      <c r="AV234" s="378"/>
      <c r="AW234" s="378"/>
      <c r="AX234" s="378"/>
      <c r="AY234" s="378"/>
      <c r="AZ234" s="378"/>
    </row>
    <row r="235" spans="1:52" ht="10.5" customHeight="1" x14ac:dyDescent="0.25">
      <c r="A235" s="45"/>
      <c r="B235" s="13"/>
      <c r="C235" s="13"/>
      <c r="D235" s="13"/>
      <c r="E235" s="13"/>
      <c r="F235" s="13"/>
      <c r="G235" s="13"/>
      <c r="H235" s="13"/>
      <c r="I235" s="13"/>
      <c r="J235" s="13"/>
      <c r="K235" s="13"/>
      <c r="L235" s="13"/>
      <c r="M235" s="13"/>
      <c r="N235" s="13"/>
      <c r="O235" s="13"/>
      <c r="P235" s="13"/>
      <c r="Q235" s="13"/>
      <c r="R235" s="13"/>
      <c r="S235" s="13"/>
      <c r="T235" s="13"/>
      <c r="U235" s="378"/>
      <c r="V235" s="378"/>
      <c r="W235" s="378"/>
      <c r="X235" s="378"/>
      <c r="Y235" s="378"/>
      <c r="Z235" s="378"/>
      <c r="AA235" s="378"/>
      <c r="AB235" s="378"/>
      <c r="AC235" s="378"/>
      <c r="AD235" s="378"/>
      <c r="AE235" s="378"/>
      <c r="AF235" s="378"/>
      <c r="AG235" s="378"/>
      <c r="AH235" s="378"/>
      <c r="AI235" s="378"/>
      <c r="AJ235" s="378"/>
      <c r="AK235" s="378"/>
      <c r="AL235" s="378"/>
      <c r="AM235" s="378"/>
      <c r="AN235" s="378"/>
      <c r="AO235" s="378"/>
      <c r="AP235" s="378"/>
      <c r="AQ235" s="378"/>
      <c r="AR235" s="378"/>
      <c r="AS235" s="378"/>
      <c r="AT235" s="378"/>
      <c r="AU235" s="378"/>
      <c r="AV235" s="378"/>
      <c r="AW235" s="378"/>
      <c r="AX235" s="378"/>
      <c r="AY235" s="378"/>
      <c r="AZ235" s="378"/>
    </row>
    <row r="236" spans="1:52" ht="15.75" x14ac:dyDescent="0.25">
      <c r="A236" s="582"/>
      <c r="B236" s="30" t="s">
        <v>157</v>
      </c>
      <c r="C236" s="39"/>
      <c r="D236" s="13"/>
      <c r="E236" s="13"/>
      <c r="F236" s="39"/>
      <c r="G236" s="378"/>
      <c r="H236" s="13"/>
      <c r="I236" s="13"/>
      <c r="J236" s="13"/>
      <c r="K236" s="13"/>
      <c r="L236" s="13"/>
      <c r="M236" s="13"/>
      <c r="N236" s="13"/>
      <c r="O236" s="13"/>
      <c r="P236" s="13"/>
      <c r="Q236" s="13"/>
      <c r="R236" s="13"/>
      <c r="S236" s="13"/>
      <c r="T236" s="13"/>
      <c r="U236" s="378"/>
      <c r="V236" s="378"/>
      <c r="W236" s="378"/>
      <c r="X236" s="378"/>
      <c r="Y236" s="378"/>
      <c r="Z236" s="378"/>
      <c r="AA236" s="378"/>
      <c r="AB236" s="378"/>
      <c r="AC236" s="378"/>
      <c r="AD236" s="378"/>
      <c r="AE236" s="378"/>
      <c r="AF236" s="378"/>
      <c r="AG236" s="378"/>
      <c r="AH236" s="378"/>
      <c r="AI236" s="378"/>
      <c r="AJ236" s="378"/>
      <c r="AK236" s="378"/>
      <c r="AL236" s="378"/>
      <c r="AM236" s="378"/>
      <c r="AN236" s="378"/>
      <c r="AO236" s="378"/>
      <c r="AP236" s="378"/>
      <c r="AQ236" s="378"/>
      <c r="AR236" s="378"/>
      <c r="AS236" s="378"/>
      <c r="AT236" s="378"/>
      <c r="AU236" s="378"/>
      <c r="AV236" s="378"/>
      <c r="AW236" s="378"/>
      <c r="AX236" s="378"/>
      <c r="AY236" s="378"/>
      <c r="AZ236" s="378"/>
    </row>
    <row r="237" spans="1:52" ht="15.75" x14ac:dyDescent="0.25">
      <c r="A237" s="45"/>
      <c r="B237" s="1606" t="s">
        <v>158</v>
      </c>
      <c r="C237" s="1606"/>
      <c r="D237" s="1606"/>
      <c r="E237" s="981"/>
      <c r="F237" s="378"/>
      <c r="G237" s="754" t="s">
        <v>26</v>
      </c>
      <c r="H237" s="13"/>
      <c r="I237" s="13"/>
      <c r="J237" s="13"/>
      <c r="K237" s="13"/>
      <c r="L237" s="13"/>
      <c r="M237" s="13"/>
      <c r="N237" s="13"/>
      <c r="O237" s="13"/>
      <c r="P237" s="13"/>
      <c r="Q237" s="13"/>
      <c r="R237" s="13"/>
      <c r="S237" s="13"/>
      <c r="T237" s="13"/>
      <c r="U237" s="378"/>
      <c r="V237" s="378"/>
      <c r="W237" s="378"/>
      <c r="X237" s="378"/>
      <c r="Y237" s="378"/>
      <c r="Z237" s="378"/>
      <c r="AA237" s="378"/>
      <c r="AB237" s="378"/>
      <c r="AC237" s="378"/>
      <c r="AD237" s="378"/>
      <c r="AE237" s="378"/>
      <c r="AF237" s="378"/>
      <c r="AG237" s="378"/>
      <c r="AH237" s="378"/>
      <c r="AI237" s="378"/>
      <c r="AJ237" s="378"/>
      <c r="AK237" s="378"/>
      <c r="AL237" s="378"/>
      <c r="AM237" s="378"/>
      <c r="AN237" s="378"/>
      <c r="AO237" s="378"/>
      <c r="AP237" s="378"/>
      <c r="AQ237" s="378"/>
      <c r="AR237" s="378"/>
      <c r="AS237" s="378"/>
      <c r="AT237" s="378"/>
      <c r="AU237" s="378"/>
      <c r="AV237" s="378"/>
      <c r="AW237" s="378"/>
      <c r="AX237" s="378"/>
      <c r="AY237" s="378"/>
      <c r="AZ237" s="378"/>
    </row>
    <row r="238" spans="1:52" ht="15.75" x14ac:dyDescent="0.25">
      <c r="A238" s="45"/>
      <c r="B238" s="1606" t="s">
        <v>159</v>
      </c>
      <c r="C238" s="1606"/>
      <c r="D238" s="1606"/>
      <c r="E238" s="981"/>
      <c r="F238" s="13"/>
      <c r="G238" s="13"/>
      <c r="H238" s="13"/>
      <c r="I238" s="13"/>
      <c r="J238" s="69"/>
      <c r="K238" s="69"/>
      <c r="L238" s="69"/>
      <c r="M238" s="13"/>
      <c r="N238" s="13"/>
      <c r="O238" s="13"/>
      <c r="P238" s="13"/>
      <c r="Q238" s="13"/>
      <c r="R238" s="13"/>
      <c r="S238" s="13"/>
      <c r="T238" s="13"/>
      <c r="U238" s="378"/>
      <c r="V238" s="378"/>
      <c r="W238" s="378"/>
      <c r="X238" s="378"/>
      <c r="Y238" s="378"/>
      <c r="Z238" s="378"/>
      <c r="AA238" s="378"/>
      <c r="AB238" s="378"/>
      <c r="AC238" s="378"/>
      <c r="AD238" s="378"/>
      <c r="AE238" s="378"/>
      <c r="AF238" s="378"/>
      <c r="AG238" s="378"/>
      <c r="AH238" s="378"/>
      <c r="AI238" s="378"/>
      <c r="AJ238" s="378"/>
      <c r="AK238" s="378"/>
      <c r="AL238" s="378"/>
      <c r="AM238" s="378"/>
      <c r="AN238" s="378"/>
      <c r="AO238" s="378"/>
      <c r="AP238" s="378"/>
      <c r="AQ238" s="378"/>
      <c r="AR238" s="378"/>
      <c r="AS238" s="378"/>
      <c r="AT238" s="378"/>
      <c r="AU238" s="378"/>
      <c r="AV238" s="378"/>
      <c r="AW238" s="378"/>
      <c r="AX238" s="378"/>
      <c r="AY238" s="378"/>
      <c r="AZ238" s="378"/>
    </row>
    <row r="239" spans="1:52" ht="15.75" x14ac:dyDescent="0.25">
      <c r="A239" s="45"/>
      <c r="B239" s="1606" t="s">
        <v>160</v>
      </c>
      <c r="C239" s="1606"/>
      <c r="D239" s="1606"/>
      <c r="E239" s="981"/>
      <c r="F239" s="13"/>
      <c r="G239" s="13"/>
      <c r="H239" s="13"/>
      <c r="I239" s="13"/>
      <c r="J239" s="13"/>
      <c r="K239" s="13"/>
      <c r="L239" s="13"/>
      <c r="M239" s="13"/>
      <c r="N239" s="13"/>
      <c r="O239" s="13"/>
      <c r="P239" s="13"/>
      <c r="Q239" s="13"/>
      <c r="R239" s="13"/>
      <c r="S239" s="13"/>
      <c r="T239" s="13"/>
      <c r="U239" s="378"/>
      <c r="V239" s="378"/>
      <c r="W239" s="378"/>
      <c r="X239" s="378"/>
      <c r="Y239" s="378"/>
      <c r="Z239" s="378"/>
      <c r="AA239" s="378"/>
      <c r="AB239" s="378"/>
      <c r="AC239" s="378"/>
      <c r="AD239" s="378"/>
      <c r="AE239" s="378"/>
      <c r="AF239" s="378"/>
      <c r="AG239" s="378"/>
      <c r="AH239" s="378"/>
      <c r="AI239" s="378"/>
      <c r="AJ239" s="378"/>
      <c r="AK239" s="378"/>
      <c r="AL239" s="378"/>
      <c r="AM239" s="378"/>
      <c r="AN239" s="378"/>
      <c r="AO239" s="378"/>
      <c r="AP239" s="378"/>
      <c r="AQ239" s="378"/>
      <c r="AR239" s="378"/>
      <c r="AS239" s="378"/>
      <c r="AT239" s="378"/>
      <c r="AU239" s="378"/>
      <c r="AV239" s="378"/>
      <c r="AW239" s="378"/>
      <c r="AX239" s="378"/>
      <c r="AY239" s="378"/>
      <c r="AZ239" s="378"/>
    </row>
    <row r="240" spans="1:52" ht="15.75" x14ac:dyDescent="0.25">
      <c r="A240" s="45"/>
      <c r="B240" s="1606" t="s">
        <v>161</v>
      </c>
      <c r="C240" s="1606"/>
      <c r="D240" s="1606"/>
      <c r="E240" s="981"/>
      <c r="F240" s="13"/>
      <c r="G240" s="13"/>
      <c r="H240" s="13"/>
      <c r="I240" s="13"/>
      <c r="J240" s="13"/>
      <c r="K240" s="13"/>
      <c r="L240" s="13"/>
      <c r="M240" s="13"/>
      <c r="N240" s="13"/>
      <c r="O240" s="13"/>
      <c r="P240" s="13"/>
      <c r="Q240" s="13"/>
      <c r="R240" s="13"/>
      <c r="S240" s="13"/>
      <c r="T240" s="13"/>
      <c r="U240" s="378"/>
      <c r="V240" s="378"/>
      <c r="W240" s="378"/>
      <c r="X240" s="378"/>
      <c r="Y240" s="378"/>
      <c r="Z240" s="378"/>
      <c r="AA240" s="378"/>
      <c r="AB240" s="378"/>
      <c r="AC240" s="378"/>
      <c r="AD240" s="378"/>
      <c r="AE240" s="378"/>
      <c r="AF240" s="378"/>
      <c r="AG240" s="378"/>
      <c r="AH240" s="378"/>
      <c r="AI240" s="378"/>
      <c r="AJ240" s="378"/>
      <c r="AK240" s="378"/>
      <c r="AL240" s="378"/>
      <c r="AM240" s="378"/>
      <c r="AN240" s="378"/>
      <c r="AO240" s="378"/>
      <c r="AP240" s="378"/>
      <c r="AQ240" s="378"/>
      <c r="AR240" s="378"/>
      <c r="AS240" s="378"/>
      <c r="AT240" s="378"/>
      <c r="AU240" s="378"/>
      <c r="AV240" s="378"/>
      <c r="AW240" s="378"/>
      <c r="AX240" s="378"/>
      <c r="AY240" s="378"/>
      <c r="AZ240" s="378"/>
    </row>
    <row r="241" spans="1:52" ht="15.75" x14ac:dyDescent="0.25">
      <c r="A241" s="45"/>
      <c r="B241" s="1606" t="s">
        <v>78</v>
      </c>
      <c r="C241" s="1606"/>
      <c r="D241" s="1606"/>
      <c r="E241" s="981"/>
      <c r="F241" s="13"/>
      <c r="G241" s="13"/>
      <c r="H241" s="13"/>
      <c r="I241" s="13"/>
      <c r="J241" s="13"/>
      <c r="K241" s="13"/>
      <c r="L241" s="13"/>
      <c r="M241" s="13"/>
      <c r="N241" s="13"/>
      <c r="O241" s="13"/>
      <c r="P241" s="13"/>
      <c r="Q241" s="13"/>
      <c r="R241" s="13"/>
      <c r="S241" s="13"/>
      <c r="T241" s="13"/>
      <c r="U241" s="378"/>
      <c r="V241" s="378"/>
      <c r="W241" s="378"/>
      <c r="X241" s="378"/>
      <c r="Y241" s="378"/>
      <c r="Z241" s="378"/>
      <c r="AA241" s="378"/>
      <c r="AB241" s="378"/>
      <c r="AC241" s="378"/>
      <c r="AD241" s="378"/>
      <c r="AE241" s="378"/>
      <c r="AF241" s="378"/>
      <c r="AG241" s="378"/>
      <c r="AH241" s="378"/>
      <c r="AI241" s="378"/>
      <c r="AJ241" s="378"/>
      <c r="AK241" s="378"/>
      <c r="AL241" s="378"/>
      <c r="AM241" s="378"/>
      <c r="AN241" s="378"/>
      <c r="AO241" s="378"/>
      <c r="AP241" s="378"/>
      <c r="AQ241" s="378"/>
      <c r="AR241" s="378"/>
      <c r="AS241" s="378"/>
      <c r="AT241" s="378"/>
      <c r="AU241" s="378"/>
      <c r="AV241" s="378"/>
      <c r="AW241" s="378"/>
      <c r="AX241" s="378"/>
      <c r="AY241" s="378"/>
      <c r="AZ241" s="378"/>
    </row>
    <row r="242" spans="1:52" x14ac:dyDescent="0.25">
      <c r="A242" s="45"/>
      <c r="B242" s="1570"/>
      <c r="C242" s="1574"/>
      <c r="D242" s="1601"/>
      <c r="E242" s="13"/>
      <c r="F242" s="13"/>
      <c r="G242" s="13"/>
      <c r="H242" s="13"/>
      <c r="I242" s="13"/>
      <c r="J242" s="13"/>
      <c r="K242" s="13"/>
      <c r="L242" s="13"/>
      <c r="M242" s="13"/>
      <c r="N242" s="13"/>
      <c r="O242" s="13"/>
      <c r="P242" s="13"/>
      <c r="Q242" s="13"/>
      <c r="R242" s="13"/>
      <c r="S242" s="13"/>
      <c r="T242" s="13"/>
      <c r="U242" s="378"/>
      <c r="V242" s="378"/>
      <c r="W242" s="378"/>
      <c r="X242" s="378"/>
      <c r="Y242" s="378"/>
      <c r="Z242" s="378"/>
      <c r="AA242" s="378"/>
      <c r="AB242" s="378"/>
      <c r="AC242" s="378"/>
      <c r="AD242" s="378"/>
      <c r="AE242" s="378"/>
      <c r="AF242" s="378"/>
      <c r="AG242" s="378"/>
      <c r="AH242" s="378"/>
      <c r="AI242" s="378"/>
      <c r="AJ242" s="378"/>
      <c r="AK242" s="378"/>
      <c r="AL242" s="378"/>
      <c r="AM242" s="378"/>
      <c r="AN242" s="378"/>
      <c r="AO242" s="378"/>
      <c r="AP242" s="378"/>
      <c r="AQ242" s="378"/>
      <c r="AR242" s="378"/>
      <c r="AS242" s="378"/>
      <c r="AT242" s="378"/>
      <c r="AU242" s="378"/>
      <c r="AV242" s="378"/>
      <c r="AW242" s="378"/>
      <c r="AX242" s="378"/>
      <c r="AY242" s="378"/>
      <c r="AZ242" s="378"/>
    </row>
    <row r="243" spans="1:52" ht="11.25" customHeight="1" x14ac:dyDescent="0.25">
      <c r="A243" s="45"/>
      <c r="B243" s="13"/>
      <c r="C243" s="13"/>
      <c r="D243" s="13"/>
      <c r="E243" s="13"/>
      <c r="F243" s="13"/>
      <c r="G243" s="13"/>
      <c r="H243" s="13"/>
      <c r="I243" s="13"/>
      <c r="J243" s="13"/>
      <c r="K243" s="13"/>
      <c r="L243" s="13"/>
      <c r="M243" s="13"/>
      <c r="N243" s="13"/>
      <c r="O243" s="13"/>
      <c r="P243" s="13"/>
      <c r="Q243" s="13"/>
      <c r="R243" s="13"/>
      <c r="S243" s="13"/>
      <c r="T243" s="13"/>
      <c r="U243" s="378"/>
      <c r="V243" s="378"/>
      <c r="W243" s="378"/>
      <c r="X243" s="378"/>
      <c r="Y243" s="378"/>
      <c r="Z243" s="378"/>
      <c r="AA243" s="378"/>
      <c r="AB243" s="378"/>
      <c r="AC243" s="378"/>
      <c r="AD243" s="378"/>
      <c r="AE243" s="378"/>
      <c r="AF243" s="378"/>
      <c r="AG243" s="378"/>
      <c r="AH243" s="378"/>
      <c r="AI243" s="378"/>
      <c r="AJ243" s="378"/>
      <c r="AK243" s="378"/>
      <c r="AL243" s="378"/>
      <c r="AM243" s="378"/>
      <c r="AN243" s="378"/>
      <c r="AO243" s="378"/>
      <c r="AP243" s="378"/>
      <c r="AQ243" s="378"/>
      <c r="AR243" s="378"/>
      <c r="AS243" s="378"/>
      <c r="AT243" s="378"/>
      <c r="AU243" s="378"/>
      <c r="AV243" s="378"/>
      <c r="AW243" s="378"/>
      <c r="AX243" s="378"/>
      <c r="AY243" s="378"/>
      <c r="AZ243" s="378"/>
    </row>
    <row r="244" spans="1:52" s="532" customFormat="1" ht="15.75" x14ac:dyDescent="0.25">
      <c r="A244" s="582">
        <v>16</v>
      </c>
      <c r="B244" s="1595" t="s">
        <v>162</v>
      </c>
      <c r="C244" s="1595"/>
      <c r="D244" s="1595"/>
      <c r="E244" s="1595"/>
      <c r="F244" s="1595"/>
      <c r="G244" s="1595"/>
      <c r="H244" s="81"/>
      <c r="I244" s="13"/>
      <c r="J244" s="32"/>
      <c r="K244" s="30"/>
      <c r="L244" s="13"/>
      <c r="M244" s="13"/>
      <c r="N244" s="13"/>
      <c r="O244" s="13"/>
      <c r="P244" s="13"/>
      <c r="Q244" s="13"/>
      <c r="R244" s="13"/>
      <c r="S244" s="13"/>
      <c r="T244" s="13"/>
      <c r="U244" s="378"/>
      <c r="V244" s="378"/>
      <c r="W244" s="378"/>
      <c r="X244" s="378"/>
      <c r="Y244" s="378"/>
      <c r="Z244" s="378"/>
      <c r="AA244" s="378"/>
      <c r="AB244" s="378"/>
      <c r="AC244" s="378"/>
      <c r="AD244" s="378"/>
      <c r="AE244" s="378"/>
      <c r="AF244" s="378"/>
      <c r="AG244" s="378"/>
      <c r="AH244" s="378"/>
      <c r="AI244" s="378"/>
      <c r="AJ244" s="378"/>
      <c r="AK244" s="378"/>
      <c r="AL244" s="378"/>
      <c r="AM244" s="378"/>
      <c r="AN244" s="378"/>
      <c r="AO244" s="378"/>
      <c r="AP244" s="378"/>
      <c r="AQ244" s="378"/>
      <c r="AR244" s="378"/>
      <c r="AS244" s="378"/>
      <c r="AT244" s="378"/>
      <c r="AU244" s="378"/>
      <c r="AV244" s="378"/>
      <c r="AW244" s="378"/>
      <c r="AX244" s="378"/>
      <c r="AY244" s="378"/>
      <c r="AZ244" s="378"/>
    </row>
    <row r="245" spans="1:52" s="532" customFormat="1" ht="15.75" x14ac:dyDescent="0.25">
      <c r="A245" s="45"/>
      <c r="B245" s="20" t="s">
        <v>163</v>
      </c>
      <c r="C245" s="13"/>
      <c r="D245" s="13"/>
      <c r="E245" s="13"/>
      <c r="F245" s="13"/>
      <c r="G245" s="81"/>
      <c r="H245" s="81"/>
      <c r="I245" s="586"/>
      <c r="J245" s="754" t="s">
        <v>164</v>
      </c>
      <c r="K245" s="30"/>
      <c r="L245" s="13"/>
      <c r="M245" s="13"/>
      <c r="N245" s="13"/>
      <c r="O245" s="13"/>
      <c r="P245" s="13"/>
      <c r="Q245" s="13"/>
      <c r="R245" s="13"/>
      <c r="S245" s="13"/>
      <c r="T245" s="13"/>
      <c r="U245" s="378"/>
      <c r="V245" s="378"/>
      <c r="W245" s="378"/>
      <c r="X245" s="378"/>
      <c r="Y245" s="378"/>
      <c r="Z245" s="378"/>
      <c r="AA245" s="378"/>
      <c r="AB245" s="378"/>
      <c r="AC245" s="378"/>
      <c r="AD245" s="378"/>
      <c r="AE245" s="378"/>
      <c r="AF245" s="378"/>
      <c r="AG245" s="378"/>
      <c r="AH245" s="378"/>
      <c r="AI245" s="378"/>
      <c r="AJ245" s="378"/>
      <c r="AK245" s="378"/>
      <c r="AL245" s="378"/>
      <c r="AM245" s="378"/>
      <c r="AN245" s="378"/>
      <c r="AO245" s="378"/>
      <c r="AP245" s="378"/>
      <c r="AQ245" s="378"/>
      <c r="AR245" s="378"/>
      <c r="AS245" s="378"/>
      <c r="AT245" s="378"/>
      <c r="AU245" s="378"/>
      <c r="AV245" s="378"/>
      <c r="AW245" s="378"/>
      <c r="AX245" s="378"/>
      <c r="AY245" s="378"/>
      <c r="AZ245" s="378"/>
    </row>
    <row r="246" spans="1:52" s="532" customFormat="1" ht="15.75" x14ac:dyDescent="0.25">
      <c r="A246" s="45"/>
      <c r="B246" s="879" t="s">
        <v>165</v>
      </c>
      <c r="C246" s="13"/>
      <c r="D246" s="13"/>
      <c r="E246" s="13"/>
      <c r="F246" s="13"/>
      <c r="G246" s="81"/>
      <c r="H246" s="81"/>
      <c r="I246" s="13"/>
      <c r="J246" s="13"/>
      <c r="K246" s="30"/>
      <c r="L246" s="13"/>
      <c r="M246" s="13"/>
      <c r="N246" s="13"/>
      <c r="O246" s="13"/>
      <c r="P246" s="13"/>
      <c r="Q246" s="13"/>
      <c r="R246" s="13"/>
      <c r="S246" s="13"/>
      <c r="T246" s="13"/>
      <c r="U246" s="378"/>
      <c r="V246" s="378"/>
      <c r="W246" s="378"/>
      <c r="X246" s="378"/>
      <c r="Y246" s="378"/>
      <c r="Z246" s="378"/>
      <c r="AA246" s="378"/>
      <c r="AB246" s="378"/>
      <c r="AC246" s="378"/>
      <c r="AD246" s="378"/>
      <c r="AE246" s="378"/>
      <c r="AF246" s="378"/>
      <c r="AG246" s="378"/>
      <c r="AH246" s="378"/>
      <c r="AI246" s="378"/>
      <c r="AJ246" s="378"/>
      <c r="AK246" s="378"/>
      <c r="AL246" s="378"/>
      <c r="AM246" s="378"/>
      <c r="AN246" s="378"/>
      <c r="AO246" s="378"/>
      <c r="AP246" s="378"/>
      <c r="AQ246" s="378"/>
      <c r="AR246" s="378"/>
      <c r="AS246" s="378"/>
      <c r="AT246" s="378"/>
      <c r="AU246" s="378"/>
      <c r="AV246" s="378"/>
      <c r="AW246" s="378"/>
      <c r="AX246" s="378"/>
      <c r="AY246" s="378"/>
      <c r="AZ246" s="378"/>
    </row>
    <row r="247" spans="1:52" s="532" customFormat="1" ht="15.75" x14ac:dyDescent="0.25">
      <c r="A247" s="45"/>
      <c r="B247" s="20" t="s">
        <v>166</v>
      </c>
      <c r="C247" s="13"/>
      <c r="D247" s="13"/>
      <c r="E247" s="13"/>
      <c r="F247" s="13"/>
      <c r="G247" s="81"/>
      <c r="H247" s="81"/>
      <c r="I247" s="586"/>
      <c r="J247" s="754" t="s">
        <v>164</v>
      </c>
      <c r="K247" s="30"/>
      <c r="L247" s="13"/>
      <c r="M247" s="13"/>
      <c r="N247" s="13"/>
      <c r="O247" s="13"/>
      <c r="P247" s="13"/>
      <c r="Q247" s="13"/>
      <c r="R247" s="13"/>
      <c r="S247" s="13"/>
      <c r="T247" s="13"/>
      <c r="U247" s="378"/>
      <c r="V247" s="378"/>
      <c r="W247" s="378"/>
      <c r="X247" s="378"/>
      <c r="Y247" s="378"/>
      <c r="Z247" s="378"/>
      <c r="AA247" s="378"/>
      <c r="AB247" s="378"/>
      <c r="AC247" s="378"/>
      <c r="AD247" s="378"/>
      <c r="AE247" s="378"/>
      <c r="AF247" s="378"/>
      <c r="AG247" s="378"/>
      <c r="AH247" s="378"/>
      <c r="AI247" s="378"/>
      <c r="AJ247" s="378"/>
      <c r="AK247" s="378"/>
      <c r="AL247" s="378"/>
      <c r="AM247" s="378"/>
      <c r="AN247" s="378"/>
      <c r="AO247" s="378"/>
      <c r="AP247" s="378"/>
      <c r="AQ247" s="378"/>
      <c r="AR247" s="378"/>
      <c r="AS247" s="378"/>
      <c r="AT247" s="378"/>
      <c r="AU247" s="378"/>
      <c r="AV247" s="378"/>
      <c r="AW247" s="378"/>
      <c r="AX247" s="378"/>
      <c r="AY247" s="378"/>
      <c r="AZ247" s="378"/>
    </row>
    <row r="248" spans="1:52" s="532" customFormat="1" ht="15.75" x14ac:dyDescent="0.25">
      <c r="A248" s="45"/>
      <c r="B248" s="879" t="s">
        <v>167</v>
      </c>
      <c r="C248" s="13"/>
      <c r="D248" s="13"/>
      <c r="E248" s="13"/>
      <c r="F248" s="13"/>
      <c r="G248" s="81"/>
      <c r="H248" s="81"/>
      <c r="I248" s="13"/>
      <c r="J248" s="13"/>
      <c r="K248" s="30"/>
      <c r="L248" s="13"/>
      <c r="M248" s="13"/>
      <c r="N248" s="13"/>
      <c r="O248" s="13"/>
      <c r="P248" s="13"/>
      <c r="Q248" s="13"/>
      <c r="R248" s="13"/>
      <c r="S248" s="13"/>
      <c r="T248" s="13"/>
      <c r="U248" s="378"/>
      <c r="V248" s="378"/>
      <c r="W248" s="378"/>
      <c r="X248" s="378"/>
      <c r="Y248" s="378"/>
      <c r="Z248" s="378"/>
      <c r="AA248" s="378"/>
      <c r="AB248" s="378"/>
      <c r="AC248" s="378"/>
      <c r="AD248" s="378"/>
      <c r="AE248" s="378"/>
      <c r="AF248" s="378"/>
      <c r="AG248" s="378"/>
      <c r="AH248" s="378"/>
      <c r="AI248" s="378"/>
      <c r="AJ248" s="378"/>
      <c r="AK248" s="378"/>
      <c r="AL248" s="378"/>
      <c r="AM248" s="378"/>
      <c r="AN248" s="378"/>
      <c r="AO248" s="378"/>
      <c r="AP248" s="378"/>
      <c r="AQ248" s="378"/>
      <c r="AR248" s="378"/>
      <c r="AS248" s="378"/>
      <c r="AT248" s="378"/>
      <c r="AU248" s="378"/>
      <c r="AV248" s="378"/>
      <c r="AW248" s="378"/>
      <c r="AX248" s="378"/>
      <c r="AY248" s="378"/>
      <c r="AZ248" s="378"/>
    </row>
    <row r="249" spans="1:52" s="532" customFormat="1" ht="15.75" x14ac:dyDescent="0.25">
      <c r="A249" s="45"/>
      <c r="B249" s="20" t="s">
        <v>168</v>
      </c>
      <c r="C249" s="13"/>
      <c r="D249" s="13"/>
      <c r="E249" s="13"/>
      <c r="F249" s="13"/>
      <c r="G249" s="81"/>
      <c r="H249" s="81"/>
      <c r="I249" s="586"/>
      <c r="J249" s="754" t="s">
        <v>164</v>
      </c>
      <c r="K249" s="30"/>
      <c r="L249" s="13"/>
      <c r="M249" s="13"/>
      <c r="N249" s="13"/>
      <c r="O249" s="13"/>
      <c r="P249" s="13"/>
      <c r="Q249" s="13"/>
      <c r="R249" s="13"/>
      <c r="S249" s="13"/>
      <c r="T249" s="13"/>
      <c r="U249" s="378"/>
      <c r="V249" s="378"/>
      <c r="W249" s="378"/>
      <c r="X249" s="378"/>
      <c r="Y249" s="378"/>
      <c r="Z249" s="378"/>
      <c r="AA249" s="378"/>
      <c r="AB249" s="378"/>
      <c r="AC249" s="378"/>
      <c r="AD249" s="378"/>
      <c r="AE249" s="378"/>
      <c r="AF249" s="378"/>
      <c r="AG249" s="378"/>
      <c r="AH249" s="378"/>
      <c r="AI249" s="378"/>
      <c r="AJ249" s="378"/>
      <c r="AK249" s="378"/>
      <c r="AL249" s="378"/>
      <c r="AM249" s="378"/>
      <c r="AN249" s="378"/>
      <c r="AO249" s="378"/>
      <c r="AP249" s="378"/>
      <c r="AQ249" s="378"/>
      <c r="AR249" s="378"/>
      <c r="AS249" s="378"/>
      <c r="AT249" s="378"/>
      <c r="AU249" s="378"/>
      <c r="AV249" s="378"/>
      <c r="AW249" s="378"/>
      <c r="AX249" s="378"/>
      <c r="AY249" s="378"/>
      <c r="AZ249" s="378"/>
    </row>
    <row r="250" spans="1:52" x14ac:dyDescent="0.25">
      <c r="A250" s="45"/>
      <c r="B250" s="879" t="s">
        <v>169</v>
      </c>
      <c r="C250" s="13"/>
      <c r="D250" s="13"/>
      <c r="E250" s="13"/>
      <c r="F250" s="13"/>
      <c r="G250" s="81"/>
      <c r="H250" s="81"/>
      <c r="I250" s="13"/>
      <c r="J250" s="13"/>
      <c r="K250" s="13"/>
      <c r="L250" s="13"/>
      <c r="M250" s="13"/>
      <c r="N250" s="13"/>
      <c r="O250" s="13"/>
      <c r="P250" s="13"/>
      <c r="Q250" s="13"/>
      <c r="R250" s="13"/>
      <c r="S250" s="13"/>
      <c r="T250" s="13"/>
      <c r="U250" s="378"/>
      <c r="V250" s="378"/>
      <c r="W250" s="378"/>
      <c r="X250" s="378"/>
      <c r="Y250" s="378"/>
      <c r="Z250" s="378"/>
      <c r="AA250" s="378"/>
      <c r="AB250" s="378"/>
      <c r="AC250" s="378"/>
      <c r="AD250" s="378"/>
      <c r="AE250" s="378"/>
      <c r="AF250" s="378"/>
      <c r="AG250" s="378"/>
      <c r="AH250" s="378"/>
      <c r="AI250" s="378"/>
      <c r="AJ250" s="378"/>
      <c r="AK250" s="378"/>
      <c r="AL250" s="378"/>
      <c r="AM250" s="378"/>
      <c r="AN250" s="378"/>
      <c r="AO250" s="378"/>
      <c r="AP250" s="378"/>
      <c r="AQ250" s="378"/>
      <c r="AR250" s="378"/>
      <c r="AS250" s="378"/>
      <c r="AT250" s="378"/>
      <c r="AU250" s="378"/>
      <c r="AV250" s="378"/>
      <c r="AW250" s="378"/>
      <c r="AX250" s="378"/>
      <c r="AY250" s="378"/>
      <c r="AZ250" s="378"/>
    </row>
    <row r="251" spans="1:52" s="532" customFormat="1" ht="12.75" customHeight="1" x14ac:dyDescent="0.25">
      <c r="A251" s="45"/>
      <c r="B251" s="879"/>
      <c r="C251" s="13"/>
      <c r="D251" s="13"/>
      <c r="E251" s="13"/>
      <c r="F251" s="13"/>
      <c r="G251" s="81"/>
      <c r="H251" s="81"/>
      <c r="I251" s="13"/>
      <c r="J251" s="13"/>
      <c r="K251" s="13"/>
      <c r="L251" s="13"/>
      <c r="M251" s="13"/>
      <c r="N251" s="13"/>
      <c r="O251" s="13"/>
      <c r="P251" s="13"/>
      <c r="Q251" s="13"/>
      <c r="R251" s="13"/>
      <c r="S251" s="13"/>
      <c r="T251" s="13"/>
      <c r="U251" s="378"/>
      <c r="V251" s="378"/>
      <c r="W251" s="378"/>
      <c r="X251" s="378"/>
      <c r="Y251" s="378"/>
      <c r="Z251" s="378"/>
      <c r="AA251" s="378"/>
      <c r="AB251" s="378"/>
      <c r="AC251" s="378"/>
      <c r="AD251" s="378"/>
      <c r="AE251" s="378"/>
      <c r="AF251" s="378"/>
      <c r="AG251" s="378"/>
      <c r="AH251" s="378"/>
      <c r="AI251" s="378"/>
      <c r="AJ251" s="378"/>
      <c r="AK251" s="378"/>
      <c r="AL251" s="378"/>
      <c r="AM251" s="378"/>
      <c r="AN251" s="378"/>
      <c r="AO251" s="378"/>
      <c r="AP251" s="378"/>
      <c r="AQ251" s="378"/>
      <c r="AR251" s="378"/>
      <c r="AS251" s="378"/>
      <c r="AT251" s="378"/>
      <c r="AU251" s="378"/>
      <c r="AV251" s="378"/>
      <c r="AW251" s="378"/>
      <c r="AX251" s="378"/>
      <c r="AY251" s="378"/>
      <c r="AZ251" s="378"/>
    </row>
    <row r="252" spans="1:52" s="532" customFormat="1" ht="15.75" x14ac:dyDescent="0.25">
      <c r="A252" s="582">
        <v>17</v>
      </c>
      <c r="B252" s="1595" t="s">
        <v>170</v>
      </c>
      <c r="C252" s="1595"/>
      <c r="D252" s="1595"/>
      <c r="E252" s="1595"/>
      <c r="F252" s="1595"/>
      <c r="G252" s="1595"/>
      <c r="H252" s="81"/>
      <c r="I252" s="13"/>
      <c r="J252" s="13"/>
      <c r="K252" s="13"/>
      <c r="L252" s="13"/>
      <c r="M252" s="13"/>
      <c r="N252" s="13"/>
      <c r="O252" s="13"/>
      <c r="P252" s="13"/>
      <c r="Q252" s="13"/>
      <c r="R252" s="13"/>
      <c r="S252" s="13"/>
      <c r="T252" s="13"/>
      <c r="U252" s="378"/>
      <c r="V252" s="378"/>
      <c r="W252" s="378"/>
      <c r="X252" s="378"/>
      <c r="Y252" s="378"/>
      <c r="Z252" s="378"/>
      <c r="AA252" s="378"/>
      <c r="AB252" s="378"/>
      <c r="AC252" s="378"/>
      <c r="AD252" s="378"/>
      <c r="AE252" s="378"/>
      <c r="AF252" s="378"/>
      <c r="AG252" s="378"/>
      <c r="AH252" s="378"/>
      <c r="AI252" s="378"/>
      <c r="AJ252" s="378"/>
      <c r="AK252" s="378"/>
      <c r="AL252" s="378"/>
      <c r="AM252" s="378"/>
      <c r="AN252" s="378"/>
      <c r="AO252" s="378"/>
      <c r="AP252" s="378"/>
      <c r="AQ252" s="378"/>
      <c r="AR252" s="378"/>
      <c r="AS252" s="378"/>
      <c r="AT252" s="378"/>
      <c r="AU252" s="378"/>
      <c r="AV252" s="378"/>
      <c r="AW252" s="378"/>
      <c r="AX252" s="378"/>
      <c r="AY252" s="378"/>
      <c r="AZ252" s="378"/>
    </row>
    <row r="253" spans="1:52" s="532" customFormat="1" ht="15" customHeight="1" x14ac:dyDescent="0.25">
      <c r="A253" s="45"/>
      <c r="B253" s="1609" t="s">
        <v>171</v>
      </c>
      <c r="C253" s="1609"/>
      <c r="D253" s="1609"/>
      <c r="E253" s="1609"/>
      <c r="F253" s="1609"/>
      <c r="G253" s="1609"/>
      <c r="H253" s="1609"/>
      <c r="I253" s="1609"/>
      <c r="J253" s="1609"/>
      <c r="K253" s="13"/>
      <c r="L253" s="13"/>
      <c r="M253" s="13"/>
      <c r="N253" s="13"/>
      <c r="O253" s="13"/>
      <c r="P253" s="13"/>
      <c r="Q253" s="13"/>
      <c r="R253" s="13"/>
      <c r="S253" s="13"/>
      <c r="T253" s="13"/>
      <c r="U253" s="378"/>
      <c r="V253" s="378"/>
      <c r="W253" s="378"/>
      <c r="X253" s="378"/>
      <c r="Y253" s="378"/>
      <c r="Z253" s="378"/>
      <c r="AA253" s="378"/>
      <c r="AB253" s="378"/>
      <c r="AC253" s="378"/>
      <c r="AD253" s="378"/>
      <c r="AE253" s="378"/>
      <c r="AF253" s="378"/>
      <c r="AG253" s="378"/>
      <c r="AH253" s="378"/>
      <c r="AI253" s="378"/>
      <c r="AJ253" s="378"/>
      <c r="AK253" s="378"/>
      <c r="AL253" s="378"/>
      <c r="AM253" s="378"/>
      <c r="AN253" s="378"/>
      <c r="AO253" s="378"/>
      <c r="AP253" s="378"/>
      <c r="AQ253" s="378"/>
      <c r="AR253" s="378"/>
      <c r="AS253" s="378"/>
      <c r="AT253" s="378"/>
      <c r="AU253" s="378"/>
      <c r="AV253" s="378"/>
      <c r="AW253" s="378"/>
      <c r="AX253" s="378"/>
      <c r="AY253" s="378"/>
      <c r="AZ253" s="378"/>
    </row>
    <row r="254" spans="1:52" x14ac:dyDescent="0.25">
      <c r="A254" s="20"/>
      <c r="B254" s="1603"/>
      <c r="C254" s="1603"/>
      <c r="D254" s="1603"/>
      <c r="E254" s="1603"/>
      <c r="F254" s="1603"/>
      <c r="G254" s="1603"/>
      <c r="H254" s="1603"/>
      <c r="I254" s="1603"/>
      <c r="J254" s="1603"/>
      <c r="K254" s="13"/>
      <c r="L254" s="13"/>
      <c r="M254" s="13"/>
      <c r="N254" s="13"/>
      <c r="O254" s="13"/>
      <c r="P254" s="13"/>
      <c r="Q254" s="13"/>
      <c r="R254" s="13"/>
      <c r="S254" s="13"/>
      <c r="T254" s="13"/>
      <c r="U254" s="378"/>
      <c r="V254" s="378"/>
      <c r="W254" s="378"/>
      <c r="X254" s="378"/>
      <c r="Y254" s="378"/>
      <c r="Z254" s="378"/>
      <c r="AA254" s="378"/>
      <c r="AB254" s="378"/>
      <c r="AC254" s="378"/>
      <c r="AD254" s="378"/>
      <c r="AE254" s="378"/>
      <c r="AF254" s="378"/>
      <c r="AG254" s="378"/>
      <c r="AH254" s="378"/>
      <c r="AI254" s="378"/>
      <c r="AJ254" s="378"/>
      <c r="AK254" s="378"/>
      <c r="AL254" s="378"/>
      <c r="AM254" s="378"/>
      <c r="AN254" s="378"/>
      <c r="AO254" s="378"/>
      <c r="AP254" s="378"/>
      <c r="AQ254" s="378"/>
      <c r="AR254" s="378"/>
      <c r="AS254" s="378"/>
      <c r="AT254" s="378"/>
      <c r="AU254" s="378"/>
      <c r="AV254" s="378"/>
      <c r="AW254" s="378"/>
      <c r="AX254" s="378"/>
      <c r="AY254" s="378"/>
      <c r="AZ254" s="378"/>
    </row>
    <row r="255" spans="1:52" x14ac:dyDescent="0.25">
      <c r="A255" s="20"/>
      <c r="B255" s="1603"/>
      <c r="C255" s="1603"/>
      <c r="D255" s="1603"/>
      <c r="E255" s="1603"/>
      <c r="F255" s="1603"/>
      <c r="G255" s="1603"/>
      <c r="H255" s="1603"/>
      <c r="I255" s="1603"/>
      <c r="J255" s="1603"/>
      <c r="K255" s="13"/>
      <c r="L255" s="13"/>
      <c r="M255" s="13"/>
      <c r="N255" s="13"/>
      <c r="O255" s="13"/>
      <c r="P255" s="13"/>
      <c r="Q255" s="13"/>
      <c r="R255" s="13"/>
      <c r="S255" s="13"/>
      <c r="T255" s="13"/>
      <c r="U255" s="378"/>
      <c r="V255" s="378"/>
      <c r="W255" s="378"/>
      <c r="X255" s="378"/>
      <c r="Y255" s="378"/>
      <c r="Z255" s="378"/>
      <c r="AA255" s="378"/>
      <c r="AB255" s="378"/>
      <c r="AC255" s="378"/>
      <c r="AD255" s="378"/>
      <c r="AE255" s="378"/>
      <c r="AF255" s="378"/>
      <c r="AG255" s="378"/>
      <c r="AH255" s="378"/>
      <c r="AI255" s="378"/>
      <c r="AJ255" s="378"/>
      <c r="AK255" s="378"/>
      <c r="AL255" s="378"/>
      <c r="AM255" s="378"/>
      <c r="AN255" s="378"/>
      <c r="AO255" s="378"/>
      <c r="AP255" s="378"/>
      <c r="AQ255" s="378"/>
      <c r="AR255" s="378"/>
      <c r="AS255" s="378"/>
      <c r="AT255" s="378"/>
      <c r="AU255" s="378"/>
      <c r="AV255" s="378"/>
      <c r="AW255" s="378"/>
      <c r="AX255" s="378"/>
      <c r="AY255" s="378"/>
      <c r="AZ255" s="378"/>
    </row>
    <row r="256" spans="1:52" ht="15" customHeight="1" x14ac:dyDescent="0.25">
      <c r="A256" s="20"/>
      <c r="B256" s="1608"/>
      <c r="C256" s="1608"/>
      <c r="D256" s="1608"/>
      <c r="E256" s="1608"/>
      <c r="F256" s="1608"/>
      <c r="G256" s="1608"/>
      <c r="H256" s="1608"/>
      <c r="I256" s="1608"/>
      <c r="J256" s="1608"/>
      <c r="K256" s="13"/>
      <c r="L256" s="13"/>
      <c r="M256" s="13"/>
      <c r="N256" s="13"/>
      <c r="O256" s="13"/>
      <c r="P256" s="13"/>
      <c r="Q256" s="13"/>
      <c r="R256" s="13"/>
      <c r="S256" s="13"/>
      <c r="T256" s="13"/>
      <c r="U256" s="378"/>
      <c r="V256" s="378"/>
      <c r="W256" s="378"/>
      <c r="X256" s="378"/>
      <c r="Y256" s="378"/>
      <c r="Z256" s="378"/>
      <c r="AA256" s="378"/>
      <c r="AB256" s="378"/>
      <c r="AC256" s="378"/>
      <c r="AD256" s="378"/>
      <c r="AE256" s="378"/>
      <c r="AF256" s="378"/>
      <c r="AG256" s="378"/>
      <c r="AH256" s="378"/>
      <c r="AI256" s="378"/>
      <c r="AJ256" s="378"/>
      <c r="AK256" s="378"/>
      <c r="AL256" s="378"/>
      <c r="AM256" s="378"/>
      <c r="AN256" s="378"/>
      <c r="AO256" s="378"/>
      <c r="AP256" s="378"/>
      <c r="AQ256" s="378"/>
      <c r="AR256" s="378"/>
      <c r="AS256" s="378"/>
      <c r="AT256" s="378"/>
      <c r="AU256" s="378"/>
      <c r="AV256" s="378"/>
      <c r="AW256" s="378"/>
      <c r="AX256" s="378"/>
      <c r="AY256" s="378"/>
      <c r="AZ256" s="378"/>
    </row>
    <row r="257" spans="1:52" x14ac:dyDescent="0.25">
      <c r="A257" s="20"/>
      <c r="B257" s="1608"/>
      <c r="C257" s="1608"/>
      <c r="D257" s="1608"/>
      <c r="E257" s="1608"/>
      <c r="F257" s="1608"/>
      <c r="G257" s="1608"/>
      <c r="H257" s="1608"/>
      <c r="I257" s="1608"/>
      <c r="J257" s="1608"/>
      <c r="K257" s="13"/>
      <c r="L257" s="13"/>
      <c r="M257" s="13"/>
      <c r="N257" s="13"/>
      <c r="O257" s="13"/>
      <c r="P257" s="13"/>
      <c r="Q257" s="13"/>
      <c r="R257" s="13"/>
      <c r="S257" s="13"/>
      <c r="T257" s="13"/>
      <c r="U257" s="378"/>
      <c r="V257" s="378"/>
      <c r="W257" s="378"/>
      <c r="X257" s="378"/>
      <c r="Y257" s="378"/>
      <c r="Z257" s="378"/>
      <c r="AA257" s="378"/>
      <c r="AB257" s="378"/>
      <c r="AC257" s="378"/>
      <c r="AD257" s="378"/>
      <c r="AE257" s="378"/>
      <c r="AF257" s="378"/>
      <c r="AG257" s="378"/>
      <c r="AH257" s="378"/>
      <c r="AI257" s="378"/>
      <c r="AJ257" s="378"/>
      <c r="AK257" s="378"/>
      <c r="AL257" s="378"/>
      <c r="AM257" s="378"/>
      <c r="AN257" s="378"/>
      <c r="AO257" s="378"/>
      <c r="AP257" s="378"/>
      <c r="AQ257" s="378"/>
      <c r="AR257" s="378"/>
      <c r="AS257" s="378"/>
      <c r="AT257" s="378"/>
      <c r="AU257" s="378"/>
      <c r="AV257" s="378"/>
      <c r="AW257" s="378"/>
      <c r="AX257" s="378"/>
      <c r="AY257" s="378"/>
      <c r="AZ257" s="378"/>
    </row>
    <row r="258" spans="1:52" ht="15" customHeight="1" x14ac:dyDescent="0.25">
      <c r="A258" s="20"/>
      <c r="B258" s="1608"/>
      <c r="C258" s="1608"/>
      <c r="D258" s="1608"/>
      <c r="E258" s="1608"/>
      <c r="F258" s="1608"/>
      <c r="G258" s="1608"/>
      <c r="H258" s="1608"/>
      <c r="I258" s="1608"/>
      <c r="J258" s="1608"/>
      <c r="K258" s="13"/>
      <c r="L258" s="13"/>
      <c r="M258" s="13"/>
      <c r="N258" s="13"/>
      <c r="O258" s="13"/>
      <c r="P258" s="13"/>
      <c r="Q258" s="13"/>
      <c r="R258" s="13"/>
      <c r="S258" s="13"/>
      <c r="T258" s="13"/>
      <c r="U258" s="378"/>
      <c r="V258" s="378"/>
      <c r="W258" s="378"/>
      <c r="X258" s="378"/>
      <c r="Y258" s="378"/>
      <c r="Z258" s="378"/>
      <c r="AA258" s="378"/>
      <c r="AB258" s="378"/>
      <c r="AC258" s="378"/>
      <c r="AD258" s="378"/>
      <c r="AE258" s="378"/>
      <c r="AF258" s="378"/>
      <c r="AG258" s="378"/>
      <c r="AH258" s="378"/>
      <c r="AI258" s="378"/>
      <c r="AJ258" s="378"/>
      <c r="AK258" s="378"/>
      <c r="AL258" s="378"/>
      <c r="AM258" s="378"/>
      <c r="AN258" s="378"/>
      <c r="AO258" s="378"/>
      <c r="AP258" s="378"/>
      <c r="AQ258" s="378"/>
      <c r="AR258" s="378"/>
      <c r="AS258" s="378"/>
      <c r="AT258" s="378"/>
      <c r="AU258" s="378"/>
      <c r="AV258" s="378"/>
      <c r="AW258" s="378"/>
      <c r="AX258" s="378"/>
      <c r="AY258" s="378"/>
      <c r="AZ258" s="378"/>
    </row>
    <row r="259" spans="1:52" x14ac:dyDescent="0.25">
      <c r="A259" s="20"/>
      <c r="B259" s="1608"/>
      <c r="C259" s="1608"/>
      <c r="D259" s="1608"/>
      <c r="E259" s="1608"/>
      <c r="F259" s="1608"/>
      <c r="G259" s="1608"/>
      <c r="H259" s="1608"/>
      <c r="I259" s="1608"/>
      <c r="J259" s="1608"/>
      <c r="K259" s="13"/>
      <c r="L259" s="13"/>
      <c r="M259" s="13"/>
      <c r="N259" s="13"/>
      <c r="O259" s="13"/>
      <c r="P259" s="13"/>
      <c r="Q259" s="13"/>
      <c r="R259" s="13"/>
      <c r="S259" s="13"/>
      <c r="T259" s="13"/>
      <c r="U259" s="378"/>
      <c r="V259" s="378"/>
      <c r="W259" s="378"/>
      <c r="X259" s="378"/>
      <c r="Y259" s="378"/>
      <c r="Z259" s="378"/>
      <c r="AA259" s="378"/>
      <c r="AB259" s="378"/>
      <c r="AC259" s="378"/>
      <c r="AD259" s="378"/>
      <c r="AE259" s="378"/>
      <c r="AF259" s="378"/>
      <c r="AG259" s="378"/>
      <c r="AH259" s="378"/>
      <c r="AI259" s="378"/>
      <c r="AJ259" s="378"/>
      <c r="AK259" s="378"/>
      <c r="AL259" s="378"/>
      <c r="AM259" s="378"/>
      <c r="AN259" s="378"/>
      <c r="AO259" s="378"/>
      <c r="AP259" s="378"/>
      <c r="AQ259" s="378"/>
      <c r="AR259" s="378"/>
      <c r="AS259" s="378"/>
      <c r="AT259" s="378"/>
      <c r="AU259" s="378"/>
      <c r="AV259" s="378"/>
      <c r="AW259" s="378"/>
      <c r="AX259" s="378"/>
      <c r="AY259" s="378"/>
      <c r="AZ259" s="378"/>
    </row>
    <row r="260" spans="1:52" s="435" customFormat="1" x14ac:dyDescent="0.25">
      <c r="A260" s="20"/>
      <c r="B260" s="436"/>
      <c r="C260" s="436"/>
      <c r="D260" s="436"/>
      <c r="E260" s="436"/>
      <c r="F260" s="436"/>
      <c r="G260" s="436"/>
      <c r="H260" s="436"/>
      <c r="I260" s="436"/>
      <c r="J260" s="436"/>
      <c r="K260" s="13"/>
      <c r="L260" s="13"/>
      <c r="M260" s="13"/>
      <c r="N260" s="13"/>
      <c r="O260" s="13"/>
      <c r="P260" s="13"/>
      <c r="Q260" s="13"/>
      <c r="R260" s="13"/>
      <c r="S260" s="13"/>
      <c r="T260" s="13"/>
      <c r="U260" s="378"/>
      <c r="V260" s="378"/>
      <c r="W260" s="378"/>
      <c r="X260" s="378"/>
      <c r="Y260" s="378"/>
      <c r="Z260" s="378"/>
      <c r="AA260" s="378"/>
      <c r="AB260" s="378"/>
      <c r="AC260" s="378"/>
      <c r="AD260" s="378"/>
      <c r="AE260" s="378"/>
      <c r="AF260" s="378"/>
      <c r="AG260" s="378"/>
      <c r="AH260" s="378"/>
      <c r="AI260" s="378"/>
      <c r="AJ260" s="378"/>
      <c r="AK260" s="378"/>
      <c r="AL260" s="378"/>
      <c r="AM260" s="378"/>
      <c r="AN260" s="378"/>
      <c r="AO260" s="378"/>
      <c r="AP260" s="378"/>
      <c r="AQ260" s="378"/>
      <c r="AR260" s="378"/>
      <c r="AS260" s="378"/>
      <c r="AT260" s="378"/>
      <c r="AU260" s="378"/>
      <c r="AV260" s="378"/>
      <c r="AW260" s="378"/>
      <c r="AX260" s="378"/>
      <c r="AY260" s="378"/>
      <c r="AZ260" s="378"/>
    </row>
    <row r="261" spans="1:52" s="532" customFormat="1" ht="15.75" x14ac:dyDescent="0.25">
      <c r="A261" s="1032">
        <v>18</v>
      </c>
      <c r="B261" s="1595" t="s">
        <v>172</v>
      </c>
      <c r="C261" s="1595"/>
      <c r="D261" s="1595"/>
      <c r="E261" s="1595"/>
      <c r="F261" s="1595"/>
      <c r="G261" s="1595"/>
      <c r="H261" s="436"/>
      <c r="I261" s="436"/>
      <c r="J261" s="436"/>
      <c r="K261" s="13"/>
      <c r="L261" s="13"/>
      <c r="M261" s="13"/>
      <c r="N261" s="13"/>
      <c r="O261" s="13"/>
      <c r="P261" s="13"/>
      <c r="Q261" s="13"/>
      <c r="R261" s="13"/>
      <c r="S261" s="13"/>
      <c r="T261" s="13"/>
      <c r="U261" s="378"/>
      <c r="V261" s="378"/>
      <c r="W261" s="378"/>
      <c r="X261" s="378"/>
      <c r="Y261" s="378"/>
      <c r="Z261" s="378"/>
      <c r="AA261" s="378"/>
      <c r="AB261" s="378"/>
      <c r="AC261" s="378"/>
      <c r="AD261" s="378"/>
      <c r="AE261" s="378"/>
      <c r="AF261" s="378"/>
      <c r="AG261" s="378"/>
      <c r="AH261" s="378"/>
      <c r="AI261" s="378"/>
      <c r="AJ261" s="378"/>
      <c r="AK261" s="378"/>
      <c r="AL261" s="378"/>
      <c r="AM261" s="378"/>
      <c r="AN261" s="378"/>
      <c r="AO261" s="378"/>
      <c r="AP261" s="378"/>
      <c r="AQ261" s="378"/>
      <c r="AR261" s="378"/>
      <c r="AS261" s="378"/>
      <c r="AT261" s="378"/>
      <c r="AU261" s="378"/>
      <c r="AV261" s="378"/>
      <c r="AW261" s="378"/>
      <c r="AX261" s="378"/>
      <c r="AY261" s="378"/>
      <c r="AZ261" s="378"/>
    </row>
    <row r="262" spans="1:52" s="449" customFormat="1" ht="15" customHeight="1" x14ac:dyDescent="0.25">
      <c r="A262" s="532"/>
      <c r="B262" s="444" t="s">
        <v>173</v>
      </c>
      <c r="C262" s="43"/>
      <c r="D262" s="43"/>
      <c r="E262" s="439"/>
      <c r="F262" s="443"/>
      <c r="G262" s="439"/>
      <c r="H262" s="439"/>
      <c r="I262" s="1610" t="s">
        <v>174</v>
      </c>
      <c r="J262" s="1610"/>
      <c r="K262" s="1610"/>
      <c r="L262" s="440"/>
      <c r="M262" s="69"/>
      <c r="N262" s="38"/>
      <c r="O262" s="85"/>
      <c r="P262" s="378"/>
      <c r="Q262" s="378"/>
      <c r="R262" s="13"/>
      <c r="S262" s="13"/>
      <c r="T262" s="13"/>
      <c r="U262" s="378"/>
      <c r="V262" s="378"/>
      <c r="W262" s="378"/>
      <c r="X262" s="378"/>
      <c r="Y262" s="378"/>
      <c r="Z262" s="378"/>
      <c r="AA262" s="378"/>
      <c r="AB262" s="378"/>
      <c r="AC262" s="378"/>
      <c r="AD262" s="378"/>
      <c r="AE262" s="378"/>
      <c r="AF262" s="378"/>
      <c r="AG262" s="378"/>
      <c r="AH262" s="378"/>
      <c r="AI262" s="378"/>
      <c r="AJ262" s="378"/>
      <c r="AK262" s="378"/>
      <c r="AL262" s="378"/>
      <c r="AM262" s="378"/>
      <c r="AN262" s="378"/>
      <c r="AO262" s="378"/>
      <c r="AP262" s="378"/>
      <c r="AQ262" s="378"/>
      <c r="AR262" s="378"/>
      <c r="AS262" s="378"/>
      <c r="AT262" s="378"/>
      <c r="AU262" s="378"/>
      <c r="AV262" s="378"/>
      <c r="AW262" s="378"/>
      <c r="AX262" s="378"/>
      <c r="AY262" s="378"/>
      <c r="AZ262" s="378"/>
    </row>
    <row r="263" spans="1:52" s="449" customFormat="1" ht="15" customHeight="1" x14ac:dyDescent="0.25">
      <c r="A263" s="441"/>
      <c r="B263" s="442"/>
      <c r="C263" s="439"/>
      <c r="D263" s="439"/>
      <c r="E263" s="762" t="s">
        <v>175</v>
      </c>
      <c r="F263" s="443"/>
      <c r="G263" s="439"/>
      <c r="H263" s="439"/>
      <c r="I263" s="1610"/>
      <c r="J263" s="1610"/>
      <c r="K263" s="1610"/>
      <c r="L263" s="440"/>
      <c r="M263" s="69"/>
      <c r="N263" s="38"/>
      <c r="O263" s="85"/>
      <c r="P263" s="378"/>
      <c r="Q263" s="378"/>
      <c r="R263" s="13"/>
      <c r="S263" s="13"/>
      <c r="T263" s="13"/>
      <c r="U263" s="378"/>
      <c r="V263" s="378"/>
      <c r="W263" s="378"/>
      <c r="X263" s="378"/>
      <c r="Y263" s="378"/>
      <c r="Z263" s="378"/>
      <c r="AA263" s="378"/>
      <c r="AB263" s="378"/>
      <c r="AC263" s="378"/>
      <c r="AD263" s="378"/>
      <c r="AE263" s="378"/>
      <c r="AF263" s="378"/>
      <c r="AG263" s="378"/>
      <c r="AH263" s="378"/>
      <c r="AI263" s="378"/>
      <c r="AJ263" s="378"/>
      <c r="AK263" s="378"/>
      <c r="AL263" s="378"/>
      <c r="AM263" s="378"/>
      <c r="AN263" s="378"/>
      <c r="AO263" s="378"/>
      <c r="AP263" s="378"/>
      <c r="AQ263" s="378"/>
      <c r="AR263" s="378"/>
      <c r="AS263" s="378"/>
      <c r="AT263" s="378"/>
      <c r="AU263" s="378"/>
      <c r="AV263" s="378"/>
      <c r="AW263" s="378"/>
      <c r="AX263" s="378"/>
      <c r="AY263" s="378"/>
      <c r="AZ263" s="378"/>
    </row>
    <row r="264" spans="1:52" s="450" customFormat="1" ht="41.25" customHeight="1" x14ac:dyDescent="0.25">
      <c r="A264" s="441"/>
      <c r="B264" s="442"/>
      <c r="C264" s="439"/>
      <c r="D264" s="504" t="s">
        <v>176</v>
      </c>
      <c r="E264" s="768" t="s">
        <v>77</v>
      </c>
      <c r="F264" s="769" t="s">
        <v>177</v>
      </c>
      <c r="G264" s="769" t="s">
        <v>178</v>
      </c>
      <c r="H264" s="807"/>
      <c r="I264" s="1517" t="s">
        <v>179</v>
      </c>
      <c r="J264" s="807"/>
      <c r="K264" s="438"/>
      <c r="L264" s="440"/>
      <c r="M264" s="69"/>
      <c r="N264" s="38"/>
      <c r="O264" s="85"/>
      <c r="P264" s="378"/>
      <c r="Q264" s="378"/>
      <c r="R264" s="13"/>
      <c r="S264" s="13"/>
      <c r="T264" s="13"/>
      <c r="U264" s="378"/>
      <c r="V264" s="378"/>
      <c r="W264" s="378"/>
      <c r="X264" s="378"/>
      <c r="Y264" s="378"/>
      <c r="Z264" s="378"/>
      <c r="AA264" s="378"/>
      <c r="AB264" s="378"/>
      <c r="AC264" s="378"/>
      <c r="AD264" s="378"/>
      <c r="AE264" s="378"/>
      <c r="AF264" s="378"/>
      <c r="AG264" s="378"/>
      <c r="AH264" s="378"/>
      <c r="AI264" s="378"/>
      <c r="AJ264" s="378"/>
      <c r="AK264" s="378"/>
      <c r="AL264" s="378"/>
      <c r="AM264" s="378"/>
      <c r="AN264" s="378"/>
      <c r="AO264" s="378"/>
      <c r="AP264" s="378"/>
      <c r="AQ264" s="378"/>
      <c r="AR264" s="378"/>
      <c r="AS264" s="378"/>
      <c r="AT264" s="378"/>
      <c r="AU264" s="378"/>
      <c r="AV264" s="378"/>
      <c r="AW264" s="378"/>
      <c r="AX264" s="378"/>
      <c r="AY264" s="378"/>
      <c r="AZ264" s="378"/>
    </row>
    <row r="265" spans="1:52" s="449" customFormat="1" ht="18" customHeight="1" x14ac:dyDescent="0.25">
      <c r="A265" s="441"/>
      <c r="B265" s="1597" t="s">
        <v>180</v>
      </c>
      <c r="C265" s="1598"/>
      <c r="D265" s="505" t="s">
        <v>181</v>
      </c>
      <c r="E265" s="454"/>
      <c r="F265" s="454"/>
      <c r="G265" s="454"/>
      <c r="H265" s="810">
        <f>SUM((IF(E265="x",4,0))+(IF(F265="x",2,0)))</f>
        <v>0</v>
      </c>
      <c r="I265" s="1022">
        <v>4</v>
      </c>
      <c r="J265" s="809">
        <f>I265*H265</f>
        <v>0</v>
      </c>
      <c r="K265" s="764"/>
      <c r="L265" s="440"/>
      <c r="M265" s="69"/>
      <c r="N265" s="38"/>
      <c r="O265" s="85"/>
      <c r="P265" s="378"/>
      <c r="Q265" s="378"/>
      <c r="R265" s="13"/>
      <c r="S265" s="13"/>
      <c r="T265" s="13"/>
      <c r="U265" s="378"/>
      <c r="V265" s="378"/>
      <c r="W265" s="378"/>
      <c r="X265" s="378"/>
      <c r="Y265" s="378"/>
      <c r="Z265" s="378"/>
      <c r="AA265" s="378"/>
      <c r="AB265" s="378"/>
      <c r="AC265" s="378"/>
      <c r="AD265" s="378"/>
      <c r="AE265" s="378"/>
      <c r="AF265" s="378"/>
      <c r="AG265" s="378"/>
      <c r="AH265" s="378"/>
      <c r="AI265" s="378"/>
      <c r="AJ265" s="378"/>
      <c r="AK265" s="378"/>
      <c r="AL265" s="378"/>
      <c r="AM265" s="378"/>
      <c r="AN265" s="378"/>
      <c r="AO265" s="378"/>
      <c r="AP265" s="378"/>
      <c r="AQ265" s="378"/>
      <c r="AR265" s="378"/>
      <c r="AS265" s="378"/>
      <c r="AT265" s="378"/>
      <c r="AU265" s="378"/>
      <c r="AV265" s="378"/>
      <c r="AW265" s="378"/>
      <c r="AX265" s="378"/>
      <c r="AY265" s="378"/>
      <c r="AZ265" s="378"/>
    </row>
    <row r="266" spans="1:52" s="449" customFormat="1" ht="17.25" customHeight="1" x14ac:dyDescent="0.25">
      <c r="A266" s="441"/>
      <c r="B266" s="1599"/>
      <c r="C266" s="1600"/>
      <c r="D266" s="505" t="s">
        <v>182</v>
      </c>
      <c r="E266" s="454"/>
      <c r="F266" s="454"/>
      <c r="G266" s="454"/>
      <c r="H266" s="810">
        <f>SUM((IF(E266="x",4,0))+(IF(F266="x",2,0)))</f>
        <v>0</v>
      </c>
      <c r="I266" s="1022">
        <v>4</v>
      </c>
      <c r="J266" s="809">
        <f>I266*H266</f>
        <v>0</v>
      </c>
      <c r="K266" s="764"/>
      <c r="L266" s="440"/>
      <c r="M266" s="69"/>
      <c r="N266" s="38"/>
      <c r="O266" s="85"/>
      <c r="P266" s="378"/>
      <c r="Q266" s="378"/>
      <c r="R266" s="13"/>
      <c r="S266" s="13"/>
      <c r="T266" s="13"/>
      <c r="U266" s="378"/>
      <c r="V266" s="378"/>
      <c r="W266" s="378"/>
      <c r="X266" s="378"/>
      <c r="Y266" s="378"/>
      <c r="Z266" s="378"/>
      <c r="AA266" s="378"/>
      <c r="AB266" s="378"/>
      <c r="AC266" s="378"/>
      <c r="AD266" s="378"/>
      <c r="AE266" s="378"/>
      <c r="AF266" s="378"/>
      <c r="AG266" s="378"/>
      <c r="AH266" s="378"/>
      <c r="AI266" s="378"/>
      <c r="AJ266" s="378"/>
      <c r="AK266" s="378"/>
      <c r="AL266" s="378"/>
      <c r="AM266" s="378"/>
      <c r="AN266" s="378"/>
      <c r="AO266" s="378"/>
      <c r="AP266" s="378"/>
      <c r="AQ266" s="378"/>
      <c r="AR266" s="378"/>
      <c r="AS266" s="378"/>
      <c r="AT266" s="378"/>
      <c r="AU266" s="378"/>
      <c r="AV266" s="378"/>
      <c r="AW266" s="378"/>
      <c r="AX266" s="378"/>
      <c r="AY266" s="378"/>
      <c r="AZ266" s="378"/>
    </row>
    <row r="267" spans="1:52" s="532" customFormat="1" ht="60.75" customHeight="1" x14ac:dyDescent="0.25">
      <c r="A267" s="441"/>
      <c r="B267" s="506"/>
      <c r="C267" s="506"/>
      <c r="D267" s="439"/>
      <c r="E267" s="769" t="s">
        <v>183</v>
      </c>
      <c r="F267" s="769" t="s">
        <v>184</v>
      </c>
      <c r="G267" s="769" t="s">
        <v>185</v>
      </c>
      <c r="H267" s="807"/>
      <c r="I267" s="439"/>
      <c r="J267" s="807"/>
      <c r="K267" s="438"/>
      <c r="L267" s="440"/>
      <c r="M267" s="69"/>
      <c r="N267" s="38"/>
      <c r="O267" s="85"/>
      <c r="P267" s="378"/>
      <c r="Q267" s="378"/>
      <c r="R267" s="13"/>
      <c r="S267" s="13"/>
      <c r="T267" s="13"/>
      <c r="U267" s="378"/>
      <c r="V267" s="378"/>
      <c r="W267" s="378"/>
      <c r="X267" s="378"/>
      <c r="Y267" s="378"/>
      <c r="Z267" s="378"/>
      <c r="AA267" s="378"/>
      <c r="AB267" s="378"/>
      <c r="AC267" s="378"/>
      <c r="AD267" s="378"/>
      <c r="AE267" s="378"/>
      <c r="AF267" s="378"/>
      <c r="AG267" s="378"/>
      <c r="AH267" s="378"/>
      <c r="AI267" s="378"/>
      <c r="AJ267" s="378"/>
      <c r="AK267" s="378"/>
      <c r="AL267" s="378"/>
      <c r="AM267" s="378"/>
      <c r="AN267" s="378"/>
      <c r="AO267" s="378"/>
      <c r="AP267" s="378"/>
      <c r="AQ267" s="378"/>
      <c r="AR267" s="378"/>
      <c r="AS267" s="378"/>
      <c r="AT267" s="378"/>
      <c r="AU267" s="378"/>
      <c r="AV267" s="378"/>
      <c r="AW267" s="378"/>
      <c r="AX267" s="378"/>
      <c r="AY267" s="378"/>
      <c r="AZ267" s="378"/>
    </row>
    <row r="268" spans="1:52" s="532" customFormat="1" ht="13.5" customHeight="1" x14ac:dyDescent="0.25">
      <c r="A268" s="441"/>
      <c r="B268" s="1597" t="s">
        <v>186</v>
      </c>
      <c r="C268" s="1598"/>
      <c r="D268" s="505" t="s">
        <v>181</v>
      </c>
      <c r="E268" s="454"/>
      <c r="F268" s="454"/>
      <c r="G268" s="564"/>
      <c r="H268" s="810">
        <f>SUM((IF(E268="x",4,0))+(IF(F268="x",2,0)))</f>
        <v>0</v>
      </c>
      <c r="I268" s="1022">
        <v>2</v>
      </c>
      <c r="J268" s="809">
        <f>I268*H268</f>
        <v>0</v>
      </c>
      <c r="K268" s="438"/>
      <c r="L268" s="440"/>
      <c r="M268" s="69"/>
      <c r="N268" s="38"/>
      <c r="O268" s="85"/>
      <c r="P268" s="378"/>
      <c r="Q268" s="378"/>
      <c r="R268" s="13"/>
      <c r="S268" s="13"/>
      <c r="T268" s="13"/>
      <c r="U268" s="378"/>
      <c r="V268" s="378"/>
      <c r="W268" s="378"/>
      <c r="X268" s="378"/>
      <c r="Y268" s="378"/>
      <c r="Z268" s="378"/>
      <c r="AA268" s="378"/>
      <c r="AB268" s="378"/>
      <c r="AC268" s="378"/>
      <c r="AD268" s="378"/>
      <c r="AE268" s="378"/>
      <c r="AF268" s="378"/>
      <c r="AG268" s="378"/>
      <c r="AH268" s="378"/>
      <c r="AI268" s="378"/>
      <c r="AJ268" s="378"/>
      <c r="AK268" s="378"/>
      <c r="AL268" s="378"/>
      <c r="AM268" s="378"/>
      <c r="AN268" s="378"/>
      <c r="AO268" s="378"/>
      <c r="AP268" s="378"/>
      <c r="AQ268" s="378"/>
      <c r="AR268" s="378"/>
      <c r="AS268" s="378"/>
      <c r="AT268" s="378"/>
      <c r="AU268" s="378"/>
      <c r="AV268" s="378"/>
      <c r="AW268" s="378"/>
      <c r="AX268" s="378"/>
      <c r="AY268" s="378"/>
      <c r="AZ268" s="378"/>
    </row>
    <row r="269" spans="1:52" s="532" customFormat="1" ht="14.25" customHeight="1" x14ac:dyDescent="0.25">
      <c r="A269" s="441"/>
      <c r="B269" s="1599"/>
      <c r="C269" s="1600"/>
      <c r="D269" s="505" t="s">
        <v>182</v>
      </c>
      <c r="E269" s="454"/>
      <c r="F269" s="454"/>
      <c r="G269" s="564"/>
      <c r="H269" s="810">
        <f>SUM((IF(E269="x",4,0))+(IF(F269="x",2,0)))</f>
        <v>0</v>
      </c>
      <c r="I269" s="1022">
        <v>2</v>
      </c>
      <c r="J269" s="809">
        <f>I269*H269</f>
        <v>0</v>
      </c>
      <c r="K269" s="438"/>
      <c r="L269" s="440"/>
      <c r="M269" s="69"/>
      <c r="N269" s="38"/>
      <c r="O269" s="85"/>
      <c r="P269" s="378"/>
      <c r="Q269" s="378"/>
      <c r="R269" s="13"/>
      <c r="S269" s="13"/>
      <c r="T269" s="13"/>
      <c r="U269" s="378"/>
      <c r="V269" s="378"/>
      <c r="W269" s="378"/>
      <c r="X269" s="378"/>
      <c r="Y269" s="378"/>
      <c r="Z269" s="378"/>
      <c r="AA269" s="378"/>
      <c r="AB269" s="378"/>
      <c r="AC269" s="378"/>
      <c r="AD269" s="378"/>
      <c r="AE269" s="378"/>
      <c r="AF269" s="378"/>
      <c r="AG269" s="378"/>
      <c r="AH269" s="378"/>
      <c r="AI269" s="378"/>
      <c r="AJ269" s="378"/>
      <c r="AK269" s="378"/>
      <c r="AL269" s="378"/>
      <c r="AM269" s="378"/>
      <c r="AN269" s="378"/>
      <c r="AO269" s="378"/>
      <c r="AP269" s="378"/>
      <c r="AQ269" s="378"/>
      <c r="AR269" s="378"/>
      <c r="AS269" s="378"/>
      <c r="AT269" s="378"/>
      <c r="AU269" s="378"/>
      <c r="AV269" s="378"/>
      <c r="AW269" s="378"/>
      <c r="AX269" s="378"/>
      <c r="AY269" s="378"/>
      <c r="AZ269" s="378"/>
    </row>
    <row r="270" spans="1:52" s="532" customFormat="1" ht="17.25" customHeight="1" x14ac:dyDescent="0.25">
      <c r="A270" s="441"/>
      <c r="B270" s="506"/>
      <c r="C270" s="506"/>
      <c r="D270" s="439"/>
      <c r="E270" s="769" t="s">
        <v>187</v>
      </c>
      <c r="F270" s="769" t="s">
        <v>79</v>
      </c>
      <c r="G270" s="769" t="s">
        <v>183</v>
      </c>
      <c r="H270" s="807"/>
      <c r="I270" s="439"/>
      <c r="J270" s="807"/>
      <c r="K270" s="438"/>
      <c r="L270" s="440"/>
      <c r="M270" s="69"/>
      <c r="N270" s="38"/>
      <c r="O270" s="85"/>
      <c r="P270" s="378"/>
      <c r="Q270" s="378"/>
      <c r="R270" s="13"/>
      <c r="S270" s="13"/>
      <c r="T270" s="13"/>
      <c r="U270" s="378"/>
      <c r="V270" s="378"/>
      <c r="W270" s="378"/>
      <c r="X270" s="378"/>
      <c r="Y270" s="378"/>
      <c r="Z270" s="378"/>
      <c r="AA270" s="378"/>
      <c r="AB270" s="378"/>
      <c r="AC270" s="378"/>
      <c r="AD270" s="378"/>
      <c r="AE270" s="378"/>
      <c r="AF270" s="378"/>
      <c r="AG270" s="378"/>
      <c r="AH270" s="378"/>
      <c r="AI270" s="378"/>
      <c r="AJ270" s="378"/>
      <c r="AK270" s="378"/>
      <c r="AL270" s="378"/>
      <c r="AM270" s="378"/>
      <c r="AN270" s="378"/>
      <c r="AO270" s="378"/>
      <c r="AP270" s="378"/>
      <c r="AQ270" s="378"/>
      <c r="AR270" s="378"/>
      <c r="AS270" s="378"/>
      <c r="AT270" s="378"/>
      <c r="AU270" s="378"/>
      <c r="AV270" s="378"/>
      <c r="AW270" s="378"/>
      <c r="AX270" s="378"/>
      <c r="AY270" s="378"/>
      <c r="AZ270" s="378"/>
    </row>
    <row r="271" spans="1:52" s="532" customFormat="1" ht="21" customHeight="1" x14ac:dyDescent="0.25">
      <c r="A271" s="441"/>
      <c r="B271" s="1597" t="s">
        <v>188</v>
      </c>
      <c r="C271" s="1598"/>
      <c r="D271" s="505" t="s">
        <v>181</v>
      </c>
      <c r="E271" s="454"/>
      <c r="F271" s="454"/>
      <c r="G271" s="564"/>
      <c r="H271" s="810">
        <f>SUM((IF(E271="x",4,0))+(IF(F271="x",2,0)))</f>
        <v>0</v>
      </c>
      <c r="I271" s="1022">
        <v>4</v>
      </c>
      <c r="J271" s="809">
        <f>I271*H271</f>
        <v>0</v>
      </c>
      <c r="K271" s="438"/>
      <c r="L271" s="440"/>
      <c r="M271" s="69"/>
      <c r="N271" s="38"/>
      <c r="O271" s="85"/>
      <c r="P271" s="378"/>
      <c r="Q271" s="378"/>
      <c r="R271" s="13"/>
      <c r="S271" s="13"/>
      <c r="T271" s="13"/>
      <c r="U271" s="378"/>
      <c r="V271" s="378"/>
      <c r="W271" s="378"/>
      <c r="X271" s="378"/>
      <c r="Y271" s="378"/>
      <c r="Z271" s="378"/>
      <c r="AA271" s="378"/>
      <c r="AB271" s="378"/>
      <c r="AC271" s="378"/>
      <c r="AD271" s="378"/>
      <c r="AE271" s="378"/>
      <c r="AF271" s="378"/>
      <c r="AG271" s="378"/>
      <c r="AH271" s="378"/>
      <c r="AI271" s="378"/>
      <c r="AJ271" s="378"/>
      <c r="AK271" s="378"/>
      <c r="AL271" s="378"/>
      <c r="AM271" s="378"/>
      <c r="AN271" s="378"/>
      <c r="AO271" s="378"/>
      <c r="AP271" s="378"/>
      <c r="AQ271" s="378"/>
      <c r="AR271" s="378"/>
      <c r="AS271" s="378"/>
      <c r="AT271" s="378"/>
      <c r="AU271" s="378"/>
      <c r="AV271" s="378"/>
      <c r="AW271" s="378"/>
      <c r="AX271" s="378"/>
      <c r="AY271" s="378"/>
      <c r="AZ271" s="378"/>
    </row>
    <row r="272" spans="1:52" s="532" customFormat="1" ht="17.25" customHeight="1" x14ac:dyDescent="0.25">
      <c r="A272" s="441"/>
      <c r="B272" s="1599"/>
      <c r="C272" s="1600"/>
      <c r="D272" s="505" t="s">
        <v>182</v>
      </c>
      <c r="E272" s="454"/>
      <c r="F272" s="454"/>
      <c r="G272" s="564"/>
      <c r="H272" s="810">
        <f>SUM((IF(E272="x",4,0))+(IF(F272="x",2,0)))</f>
        <v>0</v>
      </c>
      <c r="I272" s="1022">
        <v>4</v>
      </c>
      <c r="J272" s="809">
        <f>I272*H272</f>
        <v>0</v>
      </c>
      <c r="K272" s="438"/>
      <c r="L272" s="440"/>
      <c r="M272" s="69"/>
      <c r="N272" s="38"/>
      <c r="O272" s="85"/>
      <c r="P272" s="378"/>
      <c r="Q272" s="378"/>
      <c r="R272" s="13"/>
      <c r="S272" s="13"/>
      <c r="T272" s="13"/>
      <c r="U272" s="378"/>
      <c r="V272" s="378"/>
      <c r="W272" s="378"/>
      <c r="X272" s="378"/>
      <c r="Y272" s="378"/>
      <c r="Z272" s="378"/>
      <c r="AA272" s="378"/>
      <c r="AB272" s="378"/>
      <c r="AC272" s="378"/>
      <c r="AD272" s="378"/>
      <c r="AE272" s="378"/>
      <c r="AF272" s="378"/>
      <c r="AG272" s="378"/>
      <c r="AH272" s="378"/>
      <c r="AI272" s="378"/>
      <c r="AJ272" s="378"/>
      <c r="AK272" s="378"/>
      <c r="AL272" s="378"/>
      <c r="AM272" s="378"/>
      <c r="AN272" s="378"/>
      <c r="AO272" s="378"/>
      <c r="AP272" s="378"/>
      <c r="AQ272" s="378"/>
      <c r="AR272" s="378"/>
      <c r="AS272" s="378"/>
      <c r="AT272" s="378"/>
      <c r="AU272" s="378"/>
      <c r="AV272" s="378"/>
      <c r="AW272" s="378"/>
      <c r="AX272" s="378"/>
      <c r="AY272" s="378"/>
      <c r="AZ272" s="378"/>
    </row>
    <row r="273" spans="1:52" s="450" customFormat="1" ht="17.25" customHeight="1" x14ac:dyDescent="0.25">
      <c r="A273" s="441"/>
      <c r="B273" s="506"/>
      <c r="C273" s="506"/>
      <c r="D273" s="439"/>
      <c r="E273" s="769" t="s">
        <v>183</v>
      </c>
      <c r="F273" s="769" t="s">
        <v>189</v>
      </c>
      <c r="G273" s="769" t="s">
        <v>190</v>
      </c>
      <c r="H273" s="807"/>
      <c r="I273" s="439"/>
      <c r="J273" s="807"/>
      <c r="K273" s="438"/>
      <c r="L273" s="440"/>
      <c r="M273" s="69"/>
      <c r="N273" s="38"/>
      <c r="O273" s="85"/>
      <c r="P273" s="378"/>
      <c r="Q273" s="378"/>
      <c r="R273" s="13"/>
      <c r="S273" s="13"/>
      <c r="T273" s="13"/>
      <c r="U273" s="378"/>
      <c r="V273" s="378"/>
      <c r="W273" s="378"/>
      <c r="X273" s="378"/>
      <c r="Y273" s="378"/>
      <c r="Z273" s="378"/>
      <c r="AA273" s="378"/>
      <c r="AB273" s="378"/>
      <c r="AC273" s="378"/>
      <c r="AD273" s="378"/>
      <c r="AE273" s="378"/>
      <c r="AF273" s="378"/>
      <c r="AG273" s="378"/>
      <c r="AH273" s="378"/>
      <c r="AI273" s="378"/>
      <c r="AJ273" s="378"/>
      <c r="AK273" s="378"/>
      <c r="AL273" s="378"/>
      <c r="AM273" s="378"/>
      <c r="AN273" s="378"/>
      <c r="AO273" s="378"/>
      <c r="AP273" s="378"/>
      <c r="AQ273" s="378"/>
      <c r="AR273" s="378"/>
      <c r="AS273" s="378"/>
      <c r="AT273" s="378"/>
      <c r="AU273" s="378"/>
      <c r="AV273" s="378"/>
      <c r="AW273" s="378"/>
      <c r="AX273" s="378"/>
      <c r="AY273" s="378"/>
      <c r="AZ273" s="378"/>
    </row>
    <row r="274" spans="1:52" s="450" customFormat="1" ht="17.25" customHeight="1" x14ac:dyDescent="0.25">
      <c r="A274" s="441"/>
      <c r="B274" s="1597" t="s">
        <v>191</v>
      </c>
      <c r="C274" s="1598"/>
      <c r="D274" s="505" t="s">
        <v>181</v>
      </c>
      <c r="E274" s="454"/>
      <c r="F274" s="454"/>
      <c r="G274" s="564"/>
      <c r="H274" s="810">
        <f>SUM((IF(E274="x",4,0))+(IF(F274="x",2,0)))</f>
        <v>0</v>
      </c>
      <c r="I274" s="1022">
        <v>4</v>
      </c>
      <c r="J274" s="809">
        <f>I274*H274</f>
        <v>0</v>
      </c>
      <c r="K274" s="438"/>
      <c r="L274" s="440"/>
      <c r="M274" s="69"/>
      <c r="N274" s="38"/>
      <c r="O274" s="85"/>
      <c r="P274" s="378"/>
      <c r="Q274" s="378"/>
      <c r="R274" s="13"/>
      <c r="S274" s="13"/>
      <c r="T274" s="13"/>
      <c r="U274" s="378"/>
      <c r="V274" s="378"/>
      <c r="W274" s="378"/>
      <c r="X274" s="378"/>
      <c r="Y274" s="378"/>
      <c r="Z274" s="378"/>
      <c r="AA274" s="378"/>
      <c r="AB274" s="378"/>
      <c r="AC274" s="378"/>
      <c r="AD274" s="378"/>
      <c r="AE274" s="378"/>
      <c r="AF274" s="378"/>
      <c r="AG274" s="378"/>
      <c r="AH274" s="378"/>
      <c r="AI274" s="378"/>
      <c r="AJ274" s="378"/>
      <c r="AK274" s="378"/>
      <c r="AL274" s="378"/>
      <c r="AM274" s="378"/>
      <c r="AN274" s="378"/>
      <c r="AO274" s="378"/>
      <c r="AP274" s="378"/>
      <c r="AQ274" s="378"/>
      <c r="AR274" s="378"/>
      <c r="AS274" s="378"/>
      <c r="AT274" s="378"/>
      <c r="AU274" s="378"/>
      <c r="AV274" s="378"/>
      <c r="AW274" s="378"/>
      <c r="AX274" s="378"/>
      <c r="AY274" s="378"/>
      <c r="AZ274" s="378"/>
    </row>
    <row r="275" spans="1:52" s="450" customFormat="1" ht="18.75" customHeight="1" x14ac:dyDescent="0.25">
      <c r="A275" s="441"/>
      <c r="B275" s="1599"/>
      <c r="C275" s="1600"/>
      <c r="D275" s="505" t="s">
        <v>182</v>
      </c>
      <c r="E275" s="454"/>
      <c r="F275" s="454"/>
      <c r="G275" s="564"/>
      <c r="H275" s="810">
        <f>SUM((IF(E275="x",4,0))+(IF(F275="x",2,0)))</f>
        <v>0</v>
      </c>
      <c r="I275" s="1022">
        <v>4</v>
      </c>
      <c r="J275" s="809">
        <f>I275*H275</f>
        <v>0</v>
      </c>
      <c r="K275" s="438"/>
      <c r="L275" s="440"/>
      <c r="M275" s="69"/>
      <c r="N275" s="38"/>
      <c r="O275" s="85"/>
      <c r="P275" s="378"/>
      <c r="Q275" s="378"/>
      <c r="R275" s="13"/>
      <c r="S275" s="13"/>
      <c r="T275" s="13"/>
      <c r="U275" s="378"/>
      <c r="V275" s="378"/>
      <c r="W275" s="378"/>
      <c r="X275" s="378"/>
      <c r="Y275" s="378"/>
      <c r="Z275" s="378"/>
      <c r="AA275" s="378"/>
      <c r="AB275" s="378"/>
      <c r="AC275" s="378"/>
      <c r="AD275" s="378"/>
      <c r="AE275" s="378"/>
      <c r="AF275" s="378"/>
      <c r="AG275" s="378"/>
      <c r="AH275" s="378"/>
      <c r="AI275" s="378"/>
      <c r="AJ275" s="378"/>
      <c r="AK275" s="378"/>
      <c r="AL275" s="378"/>
      <c r="AM275" s="378"/>
      <c r="AN275" s="378"/>
      <c r="AO275" s="378"/>
      <c r="AP275" s="378"/>
      <c r="AQ275" s="378"/>
      <c r="AR275" s="378"/>
      <c r="AS275" s="378"/>
      <c r="AT275" s="378"/>
      <c r="AU275" s="378"/>
      <c r="AV275" s="378"/>
      <c r="AW275" s="378"/>
      <c r="AX275" s="378"/>
      <c r="AY275" s="378"/>
      <c r="AZ275" s="378"/>
    </row>
    <row r="276" spans="1:52" s="532" customFormat="1" ht="27" customHeight="1" x14ac:dyDescent="0.25">
      <c r="A276" s="441"/>
      <c r="B276" s="506"/>
      <c r="C276" s="506"/>
      <c r="D276" s="439"/>
      <c r="E276" s="769" t="s">
        <v>192</v>
      </c>
      <c r="F276" s="769" t="s">
        <v>193</v>
      </c>
      <c r="G276" s="769" t="s">
        <v>194</v>
      </c>
      <c r="H276" s="807"/>
      <c r="I276" s="439"/>
      <c r="J276" s="807"/>
      <c r="K276" s="438"/>
      <c r="L276" s="440"/>
      <c r="M276" s="69"/>
      <c r="N276" s="38"/>
      <c r="O276" s="85"/>
      <c r="P276" s="378"/>
      <c r="Q276" s="378"/>
      <c r="R276" s="13"/>
      <c r="S276" s="13"/>
      <c r="T276" s="13"/>
      <c r="U276" s="378"/>
      <c r="V276" s="378"/>
      <c r="W276" s="378"/>
      <c r="X276" s="378"/>
      <c r="Y276" s="378"/>
      <c r="Z276" s="378"/>
      <c r="AA276" s="378"/>
      <c r="AB276" s="378"/>
      <c r="AC276" s="378"/>
      <c r="AD276" s="378"/>
      <c r="AE276" s="378"/>
      <c r="AF276" s="378"/>
      <c r="AG276" s="378"/>
      <c r="AH276" s="378"/>
      <c r="AI276" s="378"/>
      <c r="AJ276" s="378"/>
      <c r="AK276" s="378"/>
      <c r="AL276" s="378"/>
      <c r="AM276" s="378"/>
      <c r="AN276" s="378"/>
      <c r="AO276" s="378"/>
      <c r="AP276" s="378"/>
      <c r="AQ276" s="378"/>
      <c r="AR276" s="378"/>
      <c r="AS276" s="378"/>
      <c r="AT276" s="378"/>
      <c r="AU276" s="378"/>
      <c r="AV276" s="378"/>
      <c r="AW276" s="378"/>
      <c r="AX276" s="378"/>
      <c r="AY276" s="378"/>
      <c r="AZ276" s="378"/>
    </row>
    <row r="277" spans="1:52" s="532" customFormat="1" ht="18" customHeight="1" x14ac:dyDescent="0.25">
      <c r="A277" s="441"/>
      <c r="B277" s="1597" t="s">
        <v>195</v>
      </c>
      <c r="C277" s="1598"/>
      <c r="D277" s="505" t="s">
        <v>181</v>
      </c>
      <c r="E277" s="454"/>
      <c r="F277" s="454"/>
      <c r="G277" s="564"/>
      <c r="H277" s="810">
        <f>SUM((IF(E277="x",4,0))+(IF(F277="x",2,0)))</f>
        <v>0</v>
      </c>
      <c r="I277" s="1022">
        <v>3</v>
      </c>
      <c r="J277" s="809">
        <f>I277*H277</f>
        <v>0</v>
      </c>
      <c r="K277" s="438"/>
      <c r="L277" s="440"/>
      <c r="M277" s="69"/>
      <c r="N277" s="38"/>
      <c r="O277" s="85"/>
      <c r="P277" s="378"/>
      <c r="Q277" s="378"/>
      <c r="R277" s="13"/>
      <c r="S277" s="13"/>
      <c r="T277" s="13"/>
      <c r="U277" s="378"/>
      <c r="V277" s="378"/>
      <c r="W277" s="378"/>
      <c r="X277" s="378"/>
      <c r="Y277" s="378"/>
      <c r="Z277" s="378"/>
      <c r="AA277" s="378"/>
      <c r="AB277" s="378"/>
      <c r="AC277" s="378"/>
      <c r="AD277" s="378"/>
      <c r="AE277" s="378"/>
      <c r="AF277" s="378"/>
      <c r="AG277" s="378"/>
      <c r="AH277" s="378"/>
      <c r="AI277" s="378"/>
      <c r="AJ277" s="378"/>
      <c r="AK277" s="378"/>
      <c r="AL277" s="378"/>
      <c r="AM277" s="378"/>
      <c r="AN277" s="378"/>
      <c r="AO277" s="378"/>
      <c r="AP277" s="378"/>
      <c r="AQ277" s="378"/>
      <c r="AR277" s="378"/>
      <c r="AS277" s="378"/>
      <c r="AT277" s="378"/>
      <c r="AU277" s="378"/>
      <c r="AV277" s="378"/>
      <c r="AW277" s="378"/>
      <c r="AX277" s="378"/>
      <c r="AY277" s="378"/>
      <c r="AZ277" s="378"/>
    </row>
    <row r="278" spans="1:52" s="532" customFormat="1" ht="17.25" customHeight="1" x14ac:dyDescent="0.25">
      <c r="A278" s="441"/>
      <c r="B278" s="1599"/>
      <c r="C278" s="1600"/>
      <c r="D278" s="505" t="s">
        <v>182</v>
      </c>
      <c r="E278" s="454"/>
      <c r="F278" s="454"/>
      <c r="G278" s="564"/>
      <c r="H278" s="810">
        <f>SUM((IF(E278="x",4,0))+(IF(F278="x",2,0)))</f>
        <v>0</v>
      </c>
      <c r="I278" s="1022">
        <v>3</v>
      </c>
      <c r="J278" s="809">
        <f>I278*H278</f>
        <v>0</v>
      </c>
      <c r="K278" s="438"/>
      <c r="L278" s="440"/>
      <c r="M278" s="69"/>
      <c r="N278" s="38"/>
      <c r="O278" s="85"/>
      <c r="P278" s="378"/>
      <c r="Q278" s="378"/>
      <c r="R278" s="13"/>
      <c r="S278" s="13"/>
      <c r="T278" s="13"/>
      <c r="U278" s="378"/>
      <c r="V278" s="378"/>
      <c r="W278" s="378"/>
      <c r="X278" s="378"/>
      <c r="Y278" s="378"/>
      <c r="Z278" s="378"/>
      <c r="AA278" s="378"/>
      <c r="AB278" s="378"/>
      <c r="AC278" s="378"/>
      <c r="AD278" s="378"/>
      <c r="AE278" s="378"/>
      <c r="AF278" s="378"/>
      <c r="AG278" s="378"/>
      <c r="AH278" s="378"/>
      <c r="AI278" s="378"/>
      <c r="AJ278" s="378"/>
      <c r="AK278" s="378"/>
      <c r="AL278" s="378"/>
      <c r="AM278" s="378"/>
      <c r="AN278" s="378"/>
      <c r="AO278" s="378"/>
      <c r="AP278" s="378"/>
      <c r="AQ278" s="378"/>
      <c r="AR278" s="378"/>
      <c r="AS278" s="378"/>
      <c r="AT278" s="378"/>
      <c r="AU278" s="378"/>
      <c r="AV278" s="378"/>
      <c r="AW278" s="378"/>
      <c r="AX278" s="378"/>
      <c r="AY278" s="378"/>
      <c r="AZ278" s="378"/>
    </row>
    <row r="279" spans="1:52" s="450" customFormat="1" ht="24.75" customHeight="1" x14ac:dyDescent="0.25">
      <c r="A279" s="441"/>
      <c r="B279" s="506"/>
      <c r="C279" s="506"/>
      <c r="D279" s="439"/>
      <c r="E279" s="769" t="s">
        <v>196</v>
      </c>
      <c r="F279" s="769" t="s">
        <v>197</v>
      </c>
      <c r="G279" s="769" t="s">
        <v>198</v>
      </c>
      <c r="H279" s="807"/>
      <c r="I279" s="439"/>
      <c r="J279" s="807"/>
      <c r="K279" s="438"/>
      <c r="L279" s="440"/>
      <c r="M279" s="69"/>
      <c r="N279" s="38"/>
      <c r="O279" s="85"/>
      <c r="P279" s="378"/>
      <c r="Q279" s="378"/>
      <c r="R279" s="13"/>
      <c r="S279" s="13"/>
      <c r="T279" s="13"/>
      <c r="U279" s="378"/>
      <c r="V279" s="378"/>
      <c r="W279" s="378"/>
      <c r="X279" s="378"/>
      <c r="Y279" s="378"/>
      <c r="Z279" s="378"/>
      <c r="AA279" s="378"/>
      <c r="AB279" s="378"/>
      <c r="AC279" s="378"/>
      <c r="AD279" s="378"/>
      <c r="AE279" s="378"/>
      <c r="AF279" s="378"/>
      <c r="AG279" s="378"/>
      <c r="AH279" s="378"/>
      <c r="AI279" s="378"/>
      <c r="AJ279" s="378"/>
      <c r="AK279" s="378"/>
      <c r="AL279" s="378"/>
      <c r="AM279" s="378"/>
      <c r="AN279" s="378"/>
      <c r="AO279" s="378"/>
      <c r="AP279" s="378"/>
      <c r="AQ279" s="378"/>
      <c r="AR279" s="378"/>
      <c r="AS279" s="378"/>
      <c r="AT279" s="378"/>
      <c r="AU279" s="378"/>
      <c r="AV279" s="378"/>
      <c r="AW279" s="378"/>
      <c r="AX279" s="378"/>
      <c r="AY279" s="378"/>
      <c r="AZ279" s="378"/>
    </row>
    <row r="280" spans="1:52" s="450" customFormat="1" ht="17.25" customHeight="1" x14ac:dyDescent="0.25">
      <c r="A280" s="441"/>
      <c r="B280" s="1597" t="s">
        <v>199</v>
      </c>
      <c r="C280" s="1598"/>
      <c r="D280" s="505" t="s">
        <v>181</v>
      </c>
      <c r="E280" s="454"/>
      <c r="F280" s="454"/>
      <c r="G280" s="564"/>
      <c r="H280" s="810">
        <f>SUM((IF(E280="x",4,0))+(IF(F280="x",2,0)))</f>
        <v>0</v>
      </c>
      <c r="I280" s="1022">
        <v>2</v>
      </c>
      <c r="J280" s="809">
        <f>I280*H280</f>
        <v>0</v>
      </c>
      <c r="K280" s="438"/>
      <c r="L280" s="440"/>
      <c r="M280" s="69"/>
      <c r="N280" s="38"/>
      <c r="O280" s="85"/>
      <c r="P280" s="378"/>
      <c r="Q280" s="378"/>
      <c r="R280" s="13"/>
      <c r="S280" s="13"/>
      <c r="T280" s="13"/>
      <c r="U280" s="378"/>
      <c r="V280" s="378"/>
      <c r="W280" s="378"/>
      <c r="X280" s="378"/>
      <c r="Y280" s="378"/>
      <c r="Z280" s="378"/>
      <c r="AA280" s="378"/>
      <c r="AB280" s="378"/>
      <c r="AC280" s="378"/>
      <c r="AD280" s="378"/>
      <c r="AE280" s="378"/>
      <c r="AF280" s="378"/>
      <c r="AG280" s="378"/>
      <c r="AH280" s="378"/>
      <c r="AI280" s="378"/>
      <c r="AJ280" s="378"/>
      <c r="AK280" s="378"/>
      <c r="AL280" s="378"/>
      <c r="AM280" s="378"/>
      <c r="AN280" s="378"/>
      <c r="AO280" s="378"/>
      <c r="AP280" s="378"/>
      <c r="AQ280" s="378"/>
      <c r="AR280" s="378"/>
      <c r="AS280" s="378"/>
      <c r="AT280" s="378"/>
      <c r="AU280" s="378"/>
      <c r="AV280" s="378"/>
      <c r="AW280" s="378"/>
      <c r="AX280" s="378"/>
      <c r="AY280" s="378"/>
      <c r="AZ280" s="378"/>
    </row>
    <row r="281" spans="1:52" s="450" customFormat="1" ht="15.75" customHeight="1" x14ac:dyDescent="0.25">
      <c r="A281" s="441"/>
      <c r="B281" s="1599"/>
      <c r="C281" s="1600"/>
      <c r="D281" s="505" t="s">
        <v>182</v>
      </c>
      <c r="E281" s="454"/>
      <c r="F281" s="454"/>
      <c r="G281" s="564"/>
      <c r="H281" s="810">
        <f>SUM((IF(E281="x",4,0))+(IF(F281="x",2,0)))</f>
        <v>0</v>
      </c>
      <c r="I281" s="1022">
        <v>2</v>
      </c>
      <c r="J281" s="809">
        <f>I281*H281</f>
        <v>0</v>
      </c>
      <c r="K281" s="438"/>
      <c r="L281" s="440"/>
      <c r="M281" s="69"/>
      <c r="N281" s="38"/>
      <c r="O281" s="85"/>
      <c r="P281" s="378"/>
      <c r="Q281" s="378"/>
      <c r="R281" s="13"/>
      <c r="S281" s="13"/>
      <c r="T281" s="13"/>
      <c r="U281" s="378"/>
      <c r="V281" s="378"/>
      <c r="W281" s="378"/>
      <c r="X281" s="378"/>
      <c r="Y281" s="378"/>
      <c r="Z281" s="378"/>
      <c r="AA281" s="378"/>
      <c r="AB281" s="378"/>
      <c r="AC281" s="378"/>
      <c r="AD281" s="378"/>
      <c r="AE281" s="378"/>
      <c r="AF281" s="378"/>
      <c r="AG281" s="378"/>
      <c r="AH281" s="378"/>
      <c r="AI281" s="378"/>
      <c r="AJ281" s="378"/>
      <c r="AK281" s="378"/>
      <c r="AL281" s="378"/>
      <c r="AM281" s="378"/>
      <c r="AN281" s="378"/>
      <c r="AO281" s="378"/>
      <c r="AP281" s="378"/>
      <c r="AQ281" s="378"/>
      <c r="AR281" s="378"/>
      <c r="AS281" s="378"/>
      <c r="AT281" s="378"/>
      <c r="AU281" s="378"/>
      <c r="AV281" s="378"/>
      <c r="AW281" s="378"/>
      <c r="AX281" s="378"/>
      <c r="AY281" s="378"/>
      <c r="AZ281" s="378"/>
    </row>
    <row r="282" spans="1:52" s="450" customFormat="1" ht="15.75" customHeight="1" x14ac:dyDescent="0.25">
      <c r="A282" s="441"/>
      <c r="B282" s="506"/>
      <c r="C282" s="506"/>
      <c r="D282" s="439"/>
      <c r="E282" s="769" t="s">
        <v>183</v>
      </c>
      <c r="F282" s="769" t="s">
        <v>189</v>
      </c>
      <c r="G282" s="769" t="s">
        <v>200</v>
      </c>
      <c r="H282" s="807"/>
      <c r="I282" s="439"/>
      <c r="J282" s="807"/>
      <c r="K282" s="438"/>
      <c r="L282" s="440"/>
      <c r="M282" s="69"/>
      <c r="N282" s="38"/>
      <c r="O282" s="85"/>
      <c r="P282" s="378"/>
      <c r="Q282" s="378"/>
      <c r="R282" s="13"/>
      <c r="S282" s="13"/>
      <c r="T282" s="13"/>
      <c r="U282" s="378"/>
      <c r="V282" s="378"/>
      <c r="W282" s="378"/>
      <c r="X282" s="378"/>
      <c r="Y282" s="378"/>
      <c r="Z282" s="378"/>
      <c r="AA282" s="378"/>
      <c r="AB282" s="378"/>
      <c r="AC282" s="378"/>
      <c r="AD282" s="378"/>
      <c r="AE282" s="378"/>
      <c r="AF282" s="378"/>
      <c r="AG282" s="378"/>
      <c r="AH282" s="378"/>
      <c r="AI282" s="378"/>
      <c r="AJ282" s="378"/>
      <c r="AK282" s="378"/>
      <c r="AL282" s="378"/>
      <c r="AM282" s="378"/>
      <c r="AN282" s="378"/>
      <c r="AO282" s="378"/>
      <c r="AP282" s="378"/>
      <c r="AQ282" s="378"/>
      <c r="AR282" s="378"/>
      <c r="AS282" s="378"/>
      <c r="AT282" s="378"/>
      <c r="AU282" s="378"/>
      <c r="AV282" s="378"/>
      <c r="AW282" s="378"/>
      <c r="AX282" s="378"/>
      <c r="AY282" s="378"/>
      <c r="AZ282" s="378"/>
    </row>
    <row r="283" spans="1:52" s="450" customFormat="1" ht="15.75" customHeight="1" x14ac:dyDescent="0.25">
      <c r="A283" s="441"/>
      <c r="B283" s="1597" t="s">
        <v>201</v>
      </c>
      <c r="C283" s="1598"/>
      <c r="D283" s="505" t="s">
        <v>181</v>
      </c>
      <c r="E283" s="454"/>
      <c r="F283" s="454"/>
      <c r="G283" s="564"/>
      <c r="H283" s="810">
        <f>SUM((IF(E283="x",4,0))+(IF(F283="x",2,0)))</f>
        <v>0</v>
      </c>
      <c r="I283" s="1022">
        <v>0.5</v>
      </c>
      <c r="J283" s="809">
        <f>I283*H283</f>
        <v>0</v>
      </c>
      <c r="K283" s="438"/>
      <c r="L283" s="440"/>
      <c r="M283" s="69"/>
      <c r="N283" s="38"/>
      <c r="O283" s="85"/>
      <c r="P283" s="378"/>
      <c r="Q283" s="378"/>
      <c r="R283" s="13"/>
      <c r="S283" s="13"/>
      <c r="T283" s="13"/>
      <c r="U283" s="378"/>
      <c r="V283" s="378"/>
      <c r="W283" s="378"/>
      <c r="X283" s="378"/>
      <c r="Y283" s="378"/>
      <c r="Z283" s="378"/>
      <c r="AA283" s="378"/>
      <c r="AB283" s="378"/>
      <c r="AC283" s="378"/>
      <c r="AD283" s="378"/>
      <c r="AE283" s="378"/>
      <c r="AF283" s="378"/>
      <c r="AG283" s="378"/>
      <c r="AH283" s="378"/>
      <c r="AI283" s="378"/>
      <c r="AJ283" s="378"/>
      <c r="AK283" s="378"/>
      <c r="AL283" s="378"/>
      <c r="AM283" s="378"/>
      <c r="AN283" s="378"/>
      <c r="AO283" s="378"/>
      <c r="AP283" s="378"/>
      <c r="AQ283" s="378"/>
      <c r="AR283" s="378"/>
      <c r="AS283" s="378"/>
      <c r="AT283" s="378"/>
      <c r="AU283" s="378"/>
      <c r="AV283" s="378"/>
      <c r="AW283" s="378"/>
      <c r="AX283" s="378"/>
      <c r="AY283" s="378"/>
      <c r="AZ283" s="378"/>
    </row>
    <row r="284" spans="1:52" s="450" customFormat="1" ht="15" customHeight="1" x14ac:dyDescent="0.25">
      <c r="A284" s="441"/>
      <c r="B284" s="1599"/>
      <c r="C284" s="1600"/>
      <c r="D284" s="505" t="s">
        <v>182</v>
      </c>
      <c r="E284" s="454"/>
      <c r="F284" s="454"/>
      <c r="G284" s="564"/>
      <c r="H284" s="810">
        <f>SUM((IF(E284="x",4,0))+(IF(F284="x",2,0)))</f>
        <v>0</v>
      </c>
      <c r="I284" s="1022">
        <v>0.5</v>
      </c>
      <c r="J284" s="809">
        <f>I284*H284</f>
        <v>0</v>
      </c>
      <c r="K284" s="438"/>
      <c r="L284" s="440"/>
      <c r="M284" s="69"/>
      <c r="N284" s="38"/>
      <c r="O284" s="85"/>
      <c r="P284" s="378"/>
      <c r="Q284" s="378"/>
      <c r="R284" s="13"/>
      <c r="S284" s="13"/>
      <c r="T284" s="13"/>
      <c r="U284" s="378"/>
      <c r="V284" s="378"/>
      <c r="W284" s="378"/>
      <c r="X284" s="378"/>
      <c r="Y284" s="378"/>
      <c r="Z284" s="378"/>
      <c r="AA284" s="378"/>
      <c r="AB284" s="378"/>
      <c r="AC284" s="378"/>
      <c r="AD284" s="378"/>
      <c r="AE284" s="378"/>
      <c r="AF284" s="378"/>
      <c r="AG284" s="378"/>
      <c r="AH284" s="378"/>
      <c r="AI284" s="378"/>
      <c r="AJ284" s="378"/>
      <c r="AK284" s="378"/>
      <c r="AL284" s="378"/>
      <c r="AM284" s="378"/>
      <c r="AN284" s="378"/>
      <c r="AO284" s="378"/>
      <c r="AP284" s="378"/>
      <c r="AQ284" s="378"/>
      <c r="AR284" s="378"/>
      <c r="AS284" s="378"/>
      <c r="AT284" s="378"/>
      <c r="AU284" s="378"/>
      <c r="AV284" s="378"/>
      <c r="AW284" s="378"/>
      <c r="AX284" s="378"/>
      <c r="AY284" s="378"/>
      <c r="AZ284" s="378"/>
    </row>
    <row r="285" spans="1:52" s="450" customFormat="1" ht="25.5" customHeight="1" x14ac:dyDescent="0.25">
      <c r="A285" s="441"/>
      <c r="B285" s="506"/>
      <c r="C285" s="506"/>
      <c r="D285" s="439"/>
      <c r="E285" s="769" t="s">
        <v>196</v>
      </c>
      <c r="F285" s="769" t="s">
        <v>197</v>
      </c>
      <c r="G285" s="769" t="s">
        <v>198</v>
      </c>
      <c r="H285" s="807"/>
      <c r="I285" s="439"/>
      <c r="J285" s="807"/>
      <c r="K285" s="438"/>
      <c r="L285" s="440"/>
      <c r="M285" s="69"/>
      <c r="N285" s="38"/>
      <c r="O285" s="85"/>
      <c r="P285" s="378"/>
      <c r="Q285" s="378"/>
      <c r="R285" s="13"/>
      <c r="S285" s="13"/>
      <c r="T285" s="13"/>
      <c r="U285" s="378"/>
      <c r="V285" s="378"/>
      <c r="W285" s="378"/>
      <c r="X285" s="378"/>
      <c r="Y285" s="378"/>
      <c r="Z285" s="378"/>
      <c r="AA285" s="378"/>
      <c r="AB285" s="378"/>
      <c r="AC285" s="378"/>
      <c r="AD285" s="378"/>
      <c r="AE285" s="378"/>
      <c r="AF285" s="378"/>
      <c r="AG285" s="378"/>
      <c r="AH285" s="378"/>
      <c r="AI285" s="378"/>
      <c r="AJ285" s="378"/>
      <c r="AK285" s="378"/>
      <c r="AL285" s="378"/>
      <c r="AM285" s="378"/>
      <c r="AN285" s="378"/>
      <c r="AO285" s="378"/>
      <c r="AP285" s="378"/>
      <c r="AQ285" s="378"/>
      <c r="AR285" s="378"/>
      <c r="AS285" s="378"/>
      <c r="AT285" s="378"/>
      <c r="AU285" s="378"/>
      <c r="AV285" s="378"/>
      <c r="AW285" s="378"/>
      <c r="AX285" s="378"/>
      <c r="AY285" s="378"/>
      <c r="AZ285" s="378"/>
    </row>
    <row r="286" spans="1:52" s="450" customFormat="1" ht="15" customHeight="1" x14ac:dyDescent="0.25">
      <c r="A286" s="441"/>
      <c r="B286" s="1597" t="s">
        <v>202</v>
      </c>
      <c r="C286" s="1598"/>
      <c r="D286" s="505" t="s">
        <v>181</v>
      </c>
      <c r="E286" s="454"/>
      <c r="F286" s="454"/>
      <c r="G286" s="564"/>
      <c r="H286" s="810">
        <f>SUM((IF(E286="x",4,0))+(IF(F286="x",2,0)))</f>
        <v>0</v>
      </c>
      <c r="I286" s="1022">
        <v>1</v>
      </c>
      <c r="J286" s="809">
        <f>I286*H286</f>
        <v>0</v>
      </c>
      <c r="K286" s="438"/>
      <c r="L286" s="440"/>
      <c r="M286" s="69"/>
      <c r="N286" s="38"/>
      <c r="O286" s="85"/>
      <c r="P286" s="378"/>
      <c r="Q286" s="378"/>
      <c r="R286" s="13"/>
      <c r="S286" s="13"/>
      <c r="T286" s="13"/>
      <c r="U286" s="378"/>
      <c r="V286" s="378"/>
      <c r="W286" s="378"/>
      <c r="X286" s="378"/>
      <c r="Y286" s="378"/>
      <c r="Z286" s="378"/>
      <c r="AA286" s="378"/>
      <c r="AB286" s="378"/>
      <c r="AC286" s="378"/>
      <c r="AD286" s="378"/>
      <c r="AE286" s="378"/>
      <c r="AF286" s="378"/>
      <c r="AG286" s="378"/>
      <c r="AH286" s="378"/>
      <c r="AI286" s="378"/>
      <c r="AJ286" s="378"/>
      <c r="AK286" s="378"/>
      <c r="AL286" s="378"/>
      <c r="AM286" s="378"/>
      <c r="AN286" s="378"/>
      <c r="AO286" s="378"/>
      <c r="AP286" s="378"/>
      <c r="AQ286" s="378"/>
      <c r="AR286" s="378"/>
      <c r="AS286" s="378"/>
      <c r="AT286" s="378"/>
      <c r="AU286" s="378"/>
      <c r="AV286" s="378"/>
      <c r="AW286" s="378"/>
      <c r="AX286" s="378"/>
      <c r="AY286" s="378"/>
      <c r="AZ286" s="378"/>
    </row>
    <row r="287" spans="1:52" s="450" customFormat="1" ht="17.25" customHeight="1" x14ac:dyDescent="0.25">
      <c r="A287" s="441"/>
      <c r="B287" s="1599"/>
      <c r="C287" s="1600"/>
      <c r="D287" s="505" t="s">
        <v>182</v>
      </c>
      <c r="E287" s="454"/>
      <c r="F287" s="454"/>
      <c r="G287" s="564"/>
      <c r="H287" s="810">
        <f>SUM((IF(E287="x",4,0))+(IF(F287="x",2,0)))</f>
        <v>0</v>
      </c>
      <c r="I287" s="1022">
        <v>1</v>
      </c>
      <c r="J287" s="809">
        <f>I287*H287</f>
        <v>0</v>
      </c>
      <c r="K287" s="438"/>
      <c r="L287" s="440"/>
      <c r="M287" s="69"/>
      <c r="N287" s="38"/>
      <c r="O287" s="85"/>
      <c r="P287" s="378"/>
      <c r="Q287" s="378"/>
      <c r="R287" s="13"/>
      <c r="S287" s="13"/>
      <c r="T287" s="13"/>
      <c r="U287" s="378"/>
      <c r="V287" s="378"/>
      <c r="W287" s="378"/>
      <c r="X287" s="378"/>
      <c r="Y287" s="378"/>
      <c r="Z287" s="378"/>
      <c r="AA287" s="378"/>
      <c r="AB287" s="378"/>
      <c r="AC287" s="378"/>
      <c r="AD287" s="378"/>
      <c r="AE287" s="378"/>
      <c r="AF287" s="378"/>
      <c r="AG287" s="378"/>
      <c r="AH287" s="378"/>
      <c r="AI287" s="378"/>
      <c r="AJ287" s="378"/>
      <c r="AK287" s="378"/>
      <c r="AL287" s="378"/>
      <c r="AM287" s="378"/>
      <c r="AN287" s="378"/>
      <c r="AO287" s="378"/>
      <c r="AP287" s="378"/>
      <c r="AQ287" s="378"/>
      <c r="AR287" s="378"/>
      <c r="AS287" s="378"/>
      <c r="AT287" s="378"/>
      <c r="AU287" s="378"/>
      <c r="AV287" s="378"/>
      <c r="AW287" s="378"/>
      <c r="AX287" s="378"/>
      <c r="AY287" s="378"/>
      <c r="AZ287" s="378"/>
    </row>
    <row r="288" spans="1:52" s="450" customFormat="1" ht="17.25" customHeight="1" x14ac:dyDescent="0.25">
      <c r="A288" s="441"/>
      <c r="B288" s="506"/>
      <c r="C288" s="506"/>
      <c r="D288" s="439"/>
      <c r="E288" s="769" t="s">
        <v>183</v>
      </c>
      <c r="F288" s="769" t="s">
        <v>189</v>
      </c>
      <c r="G288" s="769" t="s">
        <v>200</v>
      </c>
      <c r="H288" s="807"/>
      <c r="I288" s="439"/>
      <c r="J288" s="807"/>
      <c r="K288" s="438"/>
      <c r="L288" s="440"/>
      <c r="M288" s="69"/>
      <c r="N288" s="38"/>
      <c r="O288" s="85"/>
      <c r="P288" s="378"/>
      <c r="Q288" s="378"/>
      <c r="R288" s="13"/>
      <c r="S288" s="13"/>
      <c r="T288" s="13"/>
      <c r="U288" s="378"/>
      <c r="V288" s="378"/>
      <c r="W288" s="378"/>
      <c r="X288" s="378"/>
      <c r="Y288" s="378"/>
      <c r="Z288" s="378"/>
      <c r="AA288" s="378"/>
      <c r="AB288" s="378"/>
      <c r="AC288" s="378"/>
      <c r="AD288" s="378"/>
      <c r="AE288" s="378"/>
      <c r="AF288" s="378"/>
      <c r="AG288" s="378"/>
      <c r="AH288" s="378"/>
      <c r="AI288" s="378"/>
      <c r="AJ288" s="378"/>
      <c r="AK288" s="378"/>
      <c r="AL288" s="378"/>
      <c r="AM288" s="378"/>
      <c r="AN288" s="378"/>
      <c r="AO288" s="378"/>
      <c r="AP288" s="378"/>
      <c r="AQ288" s="378"/>
      <c r="AR288" s="378"/>
      <c r="AS288" s="378"/>
      <c r="AT288" s="378"/>
      <c r="AU288" s="378"/>
      <c r="AV288" s="378"/>
      <c r="AW288" s="378"/>
      <c r="AX288" s="378"/>
      <c r="AY288" s="378"/>
      <c r="AZ288" s="378"/>
    </row>
    <row r="289" spans="1:52" s="450" customFormat="1" ht="17.25" customHeight="1" x14ac:dyDescent="0.25">
      <c r="A289" s="441"/>
      <c r="B289" s="1597" t="s">
        <v>203</v>
      </c>
      <c r="C289" s="1598"/>
      <c r="D289" s="505" t="s">
        <v>181</v>
      </c>
      <c r="E289" s="454"/>
      <c r="F289" s="454"/>
      <c r="G289" s="564"/>
      <c r="H289" s="810">
        <f>SUM((IF(E289="x",4,0))+(IF(F289="x",2,0)))</f>
        <v>0</v>
      </c>
      <c r="I289" s="1022">
        <v>0.5</v>
      </c>
      <c r="J289" s="809">
        <f>I289*H289</f>
        <v>0</v>
      </c>
      <c r="K289" s="438"/>
      <c r="L289" s="440"/>
      <c r="M289" s="69"/>
      <c r="N289" s="38"/>
      <c r="O289" s="85"/>
      <c r="P289" s="378"/>
      <c r="Q289" s="378"/>
      <c r="R289" s="13"/>
      <c r="S289" s="13"/>
      <c r="T289" s="13"/>
      <c r="U289" s="378"/>
      <c r="V289" s="378"/>
      <c r="W289" s="378"/>
      <c r="X289" s="378"/>
      <c r="Y289" s="378"/>
      <c r="Z289" s="378"/>
      <c r="AA289" s="378"/>
      <c r="AB289" s="378"/>
      <c r="AC289" s="378"/>
      <c r="AD289" s="378"/>
      <c r="AE289" s="378"/>
      <c r="AF289" s="378"/>
      <c r="AG289" s="378"/>
      <c r="AH289" s="378"/>
      <c r="AI289" s="378"/>
      <c r="AJ289" s="378"/>
      <c r="AK289" s="378"/>
      <c r="AL289" s="378"/>
      <c r="AM289" s="378"/>
      <c r="AN289" s="378"/>
      <c r="AO289" s="378"/>
      <c r="AP289" s="378"/>
      <c r="AQ289" s="378"/>
      <c r="AR289" s="378"/>
      <c r="AS289" s="378"/>
      <c r="AT289" s="378"/>
      <c r="AU289" s="378"/>
      <c r="AV289" s="378"/>
      <c r="AW289" s="378"/>
      <c r="AX289" s="378"/>
      <c r="AY289" s="378"/>
      <c r="AZ289" s="378"/>
    </row>
    <row r="290" spans="1:52" s="450" customFormat="1" ht="16.5" customHeight="1" x14ac:dyDescent="0.25">
      <c r="A290" s="441"/>
      <c r="B290" s="1599"/>
      <c r="C290" s="1600"/>
      <c r="D290" s="505" t="s">
        <v>182</v>
      </c>
      <c r="E290" s="454"/>
      <c r="F290" s="454"/>
      <c r="G290" s="564"/>
      <c r="H290" s="810">
        <f>SUM((IF(E290="x",4,0))+(IF(F290="x",2,0)))</f>
        <v>0</v>
      </c>
      <c r="I290" s="1022">
        <v>0.5</v>
      </c>
      <c r="J290" s="809">
        <f>I290*H290</f>
        <v>0</v>
      </c>
      <c r="K290" s="438"/>
      <c r="L290" s="440"/>
      <c r="M290" s="69"/>
      <c r="N290" s="38"/>
      <c r="O290" s="85"/>
      <c r="P290" s="378"/>
      <c r="Q290" s="378"/>
      <c r="R290" s="13"/>
      <c r="S290" s="13"/>
      <c r="T290" s="13"/>
      <c r="U290" s="378"/>
      <c r="V290" s="378"/>
      <c r="W290" s="378"/>
      <c r="X290" s="378"/>
      <c r="Y290" s="378"/>
      <c r="Z290" s="378"/>
      <c r="AA290" s="378"/>
      <c r="AB290" s="378"/>
      <c r="AC290" s="378"/>
      <c r="AD290" s="378"/>
      <c r="AE290" s="378"/>
      <c r="AF290" s="378"/>
      <c r="AG290" s="378"/>
      <c r="AH290" s="378"/>
      <c r="AI290" s="378"/>
      <c r="AJ290" s="378"/>
      <c r="AK290" s="378"/>
      <c r="AL290" s="378"/>
      <c r="AM290" s="378"/>
      <c r="AN290" s="378"/>
      <c r="AO290" s="378"/>
      <c r="AP290" s="378"/>
      <c r="AQ290" s="378"/>
      <c r="AR290" s="378"/>
      <c r="AS290" s="378"/>
      <c r="AT290" s="378"/>
      <c r="AU290" s="378"/>
      <c r="AV290" s="378"/>
      <c r="AW290" s="378"/>
      <c r="AX290" s="378"/>
      <c r="AY290" s="378"/>
      <c r="AZ290" s="378"/>
    </row>
    <row r="291" spans="1:52" s="450" customFormat="1" ht="24.75" customHeight="1" x14ac:dyDescent="0.25">
      <c r="A291" s="441"/>
      <c r="B291" s="506"/>
      <c r="C291" s="506"/>
      <c r="D291" s="439"/>
      <c r="E291" s="769" t="s">
        <v>204</v>
      </c>
      <c r="F291" s="769" t="s">
        <v>205</v>
      </c>
      <c r="G291" s="769" t="s">
        <v>206</v>
      </c>
      <c r="H291" s="807"/>
      <c r="I291" s="378"/>
      <c r="J291" s="808"/>
      <c r="K291" s="378"/>
      <c r="L291" s="440"/>
      <c r="M291" s="69"/>
      <c r="N291" s="38"/>
      <c r="O291" s="85"/>
      <c r="P291" s="378"/>
      <c r="Q291" s="378"/>
      <c r="R291" s="13"/>
      <c r="S291" s="13"/>
      <c r="T291" s="13"/>
      <c r="U291" s="378"/>
      <c r="V291" s="378"/>
      <c r="W291" s="378"/>
      <c r="X291" s="378"/>
      <c r="Y291" s="378"/>
      <c r="Z291" s="378"/>
      <c r="AA291" s="378"/>
      <c r="AB291" s="378"/>
      <c r="AC291" s="378"/>
      <c r="AD291" s="378"/>
      <c r="AE291" s="378"/>
      <c r="AF291" s="378"/>
      <c r="AG291" s="378"/>
      <c r="AH291" s="378"/>
      <c r="AI291" s="378"/>
      <c r="AJ291" s="378"/>
      <c r="AK291" s="378"/>
      <c r="AL291" s="378"/>
      <c r="AM291" s="378"/>
      <c r="AN291" s="378"/>
      <c r="AO291" s="378"/>
      <c r="AP291" s="378"/>
      <c r="AQ291" s="378"/>
      <c r="AR291" s="378"/>
      <c r="AS291" s="378"/>
      <c r="AT291" s="378"/>
      <c r="AU291" s="378"/>
      <c r="AV291" s="378"/>
      <c r="AW291" s="378"/>
      <c r="AX291" s="378"/>
      <c r="AY291" s="378"/>
      <c r="AZ291" s="378"/>
    </row>
    <row r="292" spans="1:52" s="450" customFormat="1" ht="15.75" customHeight="1" x14ac:dyDescent="0.25">
      <c r="A292" s="441"/>
      <c r="B292" s="1597" t="s">
        <v>207</v>
      </c>
      <c r="C292" s="1598"/>
      <c r="D292" s="505" t="s">
        <v>181</v>
      </c>
      <c r="E292" s="454"/>
      <c r="F292" s="454"/>
      <c r="G292" s="564"/>
      <c r="H292" s="810">
        <f>SUM((IF(E292="x",4,0))+(IF(F292="x",2,0)))</f>
        <v>0</v>
      </c>
      <c r="I292" s="1022">
        <v>4</v>
      </c>
      <c r="J292" s="809">
        <f>I292*H292</f>
        <v>0</v>
      </c>
      <c r="K292" s="378"/>
      <c r="L292" s="440"/>
      <c r="M292" s="69"/>
      <c r="N292" s="38"/>
      <c r="O292" s="85"/>
      <c r="P292" s="378"/>
      <c r="Q292" s="378"/>
      <c r="R292" s="13"/>
      <c r="S292" s="13"/>
      <c r="T292" s="13"/>
      <c r="U292" s="378"/>
      <c r="V292" s="378"/>
      <c r="W292" s="378"/>
      <c r="X292" s="378"/>
      <c r="Y292" s="378"/>
      <c r="Z292" s="378"/>
      <c r="AA292" s="378"/>
      <c r="AB292" s="378"/>
      <c r="AC292" s="378"/>
      <c r="AD292" s="378"/>
      <c r="AE292" s="378"/>
      <c r="AF292" s="378"/>
      <c r="AG292" s="378"/>
      <c r="AH292" s="378"/>
      <c r="AI292" s="378"/>
      <c r="AJ292" s="378"/>
      <c r="AK292" s="378"/>
      <c r="AL292" s="378"/>
      <c r="AM292" s="378"/>
      <c r="AN292" s="378"/>
      <c r="AO292" s="378"/>
      <c r="AP292" s="378"/>
      <c r="AQ292" s="378"/>
      <c r="AR292" s="378"/>
      <c r="AS292" s="378"/>
      <c r="AT292" s="378"/>
      <c r="AU292" s="378"/>
      <c r="AV292" s="378"/>
      <c r="AW292" s="378"/>
      <c r="AX292" s="378"/>
      <c r="AY292" s="378"/>
      <c r="AZ292" s="378"/>
    </row>
    <row r="293" spans="1:52" s="450" customFormat="1" ht="15" customHeight="1" x14ac:dyDescent="0.25">
      <c r="A293" s="441"/>
      <c r="B293" s="1599"/>
      <c r="C293" s="1600"/>
      <c r="D293" s="505" t="s">
        <v>182</v>
      </c>
      <c r="E293" s="454"/>
      <c r="F293" s="454"/>
      <c r="G293" s="564"/>
      <c r="H293" s="810">
        <f>SUM((IF(E293="x",4,0))+(IF(F293="x",2,0)))</f>
        <v>0</v>
      </c>
      <c r="I293" s="1022">
        <v>4</v>
      </c>
      <c r="J293" s="809">
        <f>I293*H293</f>
        <v>0</v>
      </c>
      <c r="K293" s="770"/>
      <c r="L293" s="440"/>
      <c r="M293" s="69"/>
      <c r="N293" s="38"/>
      <c r="O293" s="85"/>
      <c r="P293" s="378"/>
      <c r="Q293" s="378"/>
      <c r="R293" s="13"/>
      <c r="S293" s="13"/>
      <c r="T293" s="13"/>
      <c r="U293" s="378"/>
      <c r="V293" s="378"/>
      <c r="W293" s="378"/>
      <c r="X293" s="378"/>
      <c r="Y293" s="378"/>
      <c r="Z293" s="378"/>
      <c r="AA293" s="378"/>
      <c r="AB293" s="378"/>
      <c r="AC293" s="378"/>
      <c r="AD293" s="378"/>
      <c r="AE293" s="378"/>
      <c r="AF293" s="378"/>
      <c r="AG293" s="378"/>
      <c r="AH293" s="378"/>
      <c r="AI293" s="378"/>
      <c r="AJ293" s="378"/>
      <c r="AK293" s="378"/>
      <c r="AL293" s="378"/>
      <c r="AM293" s="378"/>
      <c r="AN293" s="378"/>
      <c r="AO293" s="378"/>
      <c r="AP293" s="378"/>
      <c r="AQ293" s="378"/>
      <c r="AR293" s="378"/>
      <c r="AS293" s="378"/>
      <c r="AT293" s="378"/>
      <c r="AU293" s="378"/>
      <c r="AV293" s="378"/>
      <c r="AW293" s="378"/>
      <c r="AX293" s="378"/>
      <c r="AY293" s="378"/>
      <c r="AZ293" s="378"/>
    </row>
    <row r="294" spans="1:52" s="532" customFormat="1" ht="15" customHeight="1" x14ac:dyDescent="0.25">
      <c r="A294" s="441"/>
      <c r="B294" s="765"/>
      <c r="C294" s="765"/>
      <c r="D294" s="766"/>
      <c r="E294" s="766"/>
      <c r="F294" s="766"/>
      <c r="G294" s="766"/>
      <c r="H294" s="767"/>
      <c r="I294" s="442" t="s">
        <v>208</v>
      </c>
      <c r="J294" s="439"/>
      <c r="K294" s="438"/>
      <c r="L294" s="440"/>
      <c r="M294" s="69"/>
      <c r="N294" s="38"/>
      <c r="O294" s="85"/>
      <c r="P294" s="378"/>
      <c r="Q294" s="378"/>
      <c r="R294" s="13"/>
      <c r="S294" s="13"/>
      <c r="T294" s="13"/>
      <c r="U294" s="378"/>
      <c r="V294" s="378"/>
      <c r="W294" s="378"/>
      <c r="X294" s="378"/>
      <c r="Y294" s="378"/>
      <c r="Z294" s="378"/>
      <c r="AA294" s="378"/>
      <c r="AB294" s="378"/>
      <c r="AC294" s="378"/>
      <c r="AD294" s="378"/>
      <c r="AE294" s="378"/>
      <c r="AF294" s="378"/>
      <c r="AG294" s="378"/>
      <c r="AH294" s="378"/>
      <c r="AI294" s="378"/>
      <c r="AJ294" s="378"/>
      <c r="AK294" s="378"/>
      <c r="AL294" s="378"/>
      <c r="AM294" s="378"/>
      <c r="AN294" s="378"/>
      <c r="AO294" s="378"/>
      <c r="AP294" s="378"/>
      <c r="AQ294" s="378"/>
      <c r="AR294" s="378"/>
      <c r="AS294" s="378"/>
      <c r="AT294" s="378"/>
      <c r="AU294" s="378"/>
      <c r="AV294" s="378"/>
      <c r="AW294" s="378"/>
      <c r="AX294" s="378"/>
      <c r="AY294" s="378"/>
      <c r="AZ294" s="378"/>
    </row>
    <row r="295" spans="1:52" s="532" customFormat="1" ht="15" customHeight="1" x14ac:dyDescent="0.25">
      <c r="A295" s="441"/>
      <c r="B295" s="765"/>
      <c r="C295" s="765"/>
      <c r="D295" s="766"/>
      <c r="E295" s="766"/>
      <c r="F295" s="766"/>
      <c r="G295" s="766"/>
      <c r="H295" s="767"/>
      <c r="I295" s="507" t="s">
        <v>209</v>
      </c>
      <c r="J295" s="605">
        <f>(J265+J274+J268+J271+J280+J283+J277+J286+J289+J292)</f>
        <v>0</v>
      </c>
      <c r="K295" s="438"/>
      <c r="L295" s="440"/>
      <c r="M295" s="69"/>
      <c r="N295" s="38"/>
      <c r="O295" s="85"/>
      <c r="P295" s="378"/>
      <c r="Q295" s="378"/>
      <c r="R295" s="13"/>
      <c r="S295" s="13"/>
      <c r="T295" s="13"/>
      <c r="U295" s="378"/>
      <c r="V295" s="378"/>
      <c r="W295" s="378"/>
      <c r="X295" s="378"/>
      <c r="Y295" s="378"/>
      <c r="Z295" s="378"/>
      <c r="AA295" s="378"/>
      <c r="AB295" s="378"/>
      <c r="AC295" s="378"/>
      <c r="AD295" s="378"/>
      <c r="AE295" s="378"/>
      <c r="AF295" s="378"/>
      <c r="AG295" s="378"/>
      <c r="AH295" s="378"/>
      <c r="AI295" s="378"/>
      <c r="AJ295" s="378"/>
      <c r="AK295" s="378"/>
      <c r="AL295" s="378"/>
      <c r="AM295" s="378"/>
      <c r="AN295" s="378"/>
      <c r="AO295" s="378"/>
      <c r="AP295" s="378"/>
      <c r="AQ295" s="378"/>
      <c r="AR295" s="378"/>
      <c r="AS295" s="378"/>
      <c r="AT295" s="378"/>
      <c r="AU295" s="378"/>
      <c r="AV295" s="378"/>
      <c r="AW295" s="378"/>
      <c r="AX295" s="378"/>
      <c r="AY295" s="378"/>
      <c r="AZ295" s="378"/>
    </row>
    <row r="296" spans="1:52" s="532" customFormat="1" ht="12.75" customHeight="1" x14ac:dyDescent="0.25">
      <c r="A296" s="441"/>
      <c r="B296" s="765"/>
      <c r="C296" s="765"/>
      <c r="D296" s="766"/>
      <c r="E296" s="766"/>
      <c r="F296" s="766"/>
      <c r="G296" s="766"/>
      <c r="H296" s="767"/>
      <c r="I296" s="507" t="s">
        <v>210</v>
      </c>
      <c r="J296" s="605">
        <f>(J266+J275+J269+J272+J281+J284+J278+J287+J290+J293)</f>
        <v>0</v>
      </c>
      <c r="K296" s="438"/>
      <c r="L296" s="440"/>
      <c r="M296" s="69"/>
      <c r="N296" s="38"/>
      <c r="O296" s="85"/>
      <c r="P296" s="378"/>
      <c r="Q296" s="378"/>
      <c r="R296" s="13"/>
      <c r="S296" s="13"/>
      <c r="T296" s="13"/>
      <c r="U296" s="378"/>
      <c r="V296" s="378"/>
      <c r="W296" s="378"/>
      <c r="X296" s="378"/>
      <c r="Y296" s="378"/>
      <c r="Z296" s="378"/>
      <c r="AA296" s="378"/>
      <c r="AB296" s="378"/>
      <c r="AC296" s="378"/>
      <c r="AD296" s="378"/>
      <c r="AE296" s="378"/>
      <c r="AF296" s="378"/>
      <c r="AG296" s="378"/>
      <c r="AH296" s="378"/>
      <c r="AI296" s="378"/>
      <c r="AJ296" s="378"/>
      <c r="AK296" s="378"/>
      <c r="AL296" s="378"/>
      <c r="AM296" s="378"/>
      <c r="AN296" s="378"/>
      <c r="AO296" s="378"/>
      <c r="AP296" s="378"/>
      <c r="AQ296" s="378"/>
      <c r="AR296" s="378"/>
      <c r="AS296" s="378"/>
      <c r="AT296" s="378"/>
      <c r="AU296" s="378"/>
      <c r="AV296" s="378"/>
      <c r="AW296" s="378"/>
      <c r="AX296" s="378"/>
      <c r="AY296" s="378"/>
      <c r="AZ296" s="378"/>
    </row>
    <row r="297" spans="1:52" s="532" customFormat="1" ht="12.75" customHeight="1" x14ac:dyDescent="0.25">
      <c r="A297" s="441"/>
      <c r="B297" s="765"/>
      <c r="C297" s="765"/>
      <c r="D297" s="766"/>
      <c r="E297" s="766"/>
      <c r="F297" s="766"/>
      <c r="G297" s="766"/>
      <c r="H297" s="767"/>
      <c r="I297" s="439"/>
      <c r="J297" s="899"/>
      <c r="K297" s="438"/>
      <c r="L297" s="440"/>
      <c r="M297" s="69"/>
      <c r="N297" s="38"/>
      <c r="O297" s="85"/>
      <c r="P297" s="378"/>
      <c r="Q297" s="378"/>
      <c r="R297" s="13"/>
      <c r="S297" s="13"/>
      <c r="T297" s="13"/>
      <c r="U297" s="378"/>
      <c r="V297" s="378"/>
      <c r="W297" s="378"/>
      <c r="X297" s="378"/>
      <c r="Y297" s="378"/>
      <c r="Z297" s="378"/>
      <c r="AA297" s="378"/>
      <c r="AB297" s="378"/>
      <c r="AC297" s="378"/>
      <c r="AD297" s="378"/>
      <c r="AE297" s="378"/>
      <c r="AF297" s="378"/>
      <c r="AG297" s="378"/>
      <c r="AH297" s="378"/>
      <c r="AI297" s="378"/>
      <c r="AJ297" s="378"/>
      <c r="AK297" s="378"/>
      <c r="AL297" s="378"/>
      <c r="AM297" s="378"/>
      <c r="AN297" s="378"/>
      <c r="AO297" s="378"/>
      <c r="AP297" s="378"/>
      <c r="AQ297" s="378"/>
      <c r="AR297" s="378"/>
      <c r="AS297" s="378"/>
      <c r="AT297" s="378"/>
      <c r="AU297" s="378"/>
      <c r="AV297" s="378"/>
      <c r="AW297" s="378"/>
      <c r="AX297" s="378"/>
      <c r="AY297" s="378"/>
      <c r="AZ297" s="378"/>
    </row>
    <row r="298" spans="1:52" s="532" customFormat="1" ht="12.75" hidden="1" customHeight="1" x14ac:dyDescent="0.25">
      <c r="A298" s="441"/>
      <c r="B298" s="765"/>
      <c r="C298" s="765"/>
      <c r="D298" s="766"/>
      <c r="E298" s="766"/>
      <c r="F298" s="766"/>
      <c r="G298" s="766"/>
      <c r="H298" s="767"/>
      <c r="I298" s="439"/>
      <c r="J298" s="899"/>
      <c r="K298" s="438"/>
      <c r="L298" s="440"/>
      <c r="M298" s="69"/>
      <c r="N298" s="38"/>
      <c r="O298" s="85"/>
      <c r="P298" s="378"/>
      <c r="Q298" s="378"/>
      <c r="R298" s="13"/>
      <c r="S298" s="13"/>
      <c r="T298" s="13"/>
      <c r="U298" s="378"/>
      <c r="V298" s="378"/>
      <c r="W298" s="378"/>
      <c r="X298" s="378"/>
      <c r="Y298" s="378"/>
      <c r="Z298" s="378"/>
      <c r="AA298" s="378"/>
      <c r="AB298" s="378"/>
      <c r="AC298" s="378"/>
      <c r="AD298" s="378"/>
      <c r="AE298" s="378"/>
      <c r="AF298" s="378"/>
      <c r="AG298" s="378"/>
      <c r="AH298" s="378"/>
      <c r="AI298" s="378"/>
      <c r="AJ298" s="378"/>
      <c r="AK298" s="378"/>
      <c r="AL298" s="378"/>
      <c r="AM298" s="378"/>
      <c r="AN298" s="378"/>
      <c r="AO298" s="378"/>
      <c r="AP298" s="378"/>
      <c r="AQ298" s="378"/>
      <c r="AR298" s="378"/>
      <c r="AS298" s="378"/>
      <c r="AT298" s="378"/>
      <c r="AU298" s="378"/>
      <c r="AV298" s="378"/>
      <c r="AW298" s="378"/>
      <c r="AX298" s="378"/>
      <c r="AY298" s="378"/>
      <c r="AZ298" s="378"/>
    </row>
    <row r="299" spans="1:52" s="532" customFormat="1" ht="15.75" hidden="1" customHeight="1" x14ac:dyDescent="0.25">
      <c r="A299" s="582">
        <v>19</v>
      </c>
      <c r="B299" s="1595" t="s">
        <v>211</v>
      </c>
      <c r="C299" s="1595"/>
      <c r="D299" s="1595"/>
      <c r="E299" s="1595"/>
      <c r="F299" s="1595"/>
      <c r="G299" s="1595"/>
      <c r="H299" s="767"/>
      <c r="I299" s="439"/>
      <c r="J299" s="899"/>
      <c r="K299" s="438"/>
      <c r="L299" s="440"/>
      <c r="M299" s="69"/>
      <c r="N299" s="38"/>
      <c r="O299" s="85"/>
      <c r="P299" s="378"/>
      <c r="Q299" s="378"/>
      <c r="R299" s="13"/>
      <c r="S299" s="13"/>
      <c r="T299" s="13"/>
      <c r="U299" s="378"/>
      <c r="V299" s="378"/>
      <c r="W299" s="378"/>
      <c r="X299" s="378"/>
      <c r="Y299" s="378"/>
      <c r="Z299" s="378"/>
      <c r="AA299" s="378"/>
      <c r="AB299" s="378"/>
      <c r="AC299" s="378"/>
      <c r="AD299" s="378"/>
      <c r="AE299" s="378"/>
      <c r="AF299" s="378"/>
      <c r="AG299" s="378"/>
      <c r="AH299" s="378"/>
      <c r="AI299" s="378"/>
      <c r="AJ299" s="378"/>
      <c r="AK299" s="378"/>
      <c r="AL299" s="378"/>
      <c r="AM299" s="378"/>
      <c r="AN299" s="378"/>
      <c r="AO299" s="378"/>
      <c r="AP299" s="378"/>
      <c r="AQ299" s="378"/>
      <c r="AR299" s="378"/>
      <c r="AS299" s="378"/>
      <c r="AT299" s="378"/>
      <c r="AU299" s="378"/>
      <c r="AV299" s="378"/>
      <c r="AW299" s="378"/>
      <c r="AX299" s="378"/>
      <c r="AY299" s="378"/>
      <c r="AZ299" s="378"/>
    </row>
    <row r="300" spans="1:52" s="532" customFormat="1" ht="12.75" hidden="1" customHeight="1" x14ac:dyDescent="0.25">
      <c r="A300" s="441"/>
      <c r="B300" s="765"/>
      <c r="C300" s="765"/>
      <c r="D300" s="766"/>
      <c r="E300" s="766"/>
      <c r="F300" s="766"/>
      <c r="G300" s="766"/>
      <c r="H300" s="767"/>
      <c r="I300" s="439"/>
      <c r="J300" s="899"/>
      <c r="K300" s="438"/>
      <c r="L300" s="440"/>
      <c r="M300" s="69"/>
      <c r="N300" s="38"/>
      <c r="O300" s="85"/>
      <c r="P300" s="378"/>
      <c r="Q300" s="378"/>
      <c r="R300" s="13"/>
      <c r="S300" s="13"/>
      <c r="T300" s="13"/>
      <c r="U300" s="378"/>
      <c r="V300" s="378"/>
      <c r="W300" s="378"/>
      <c r="X300" s="378"/>
      <c r="Y300" s="378"/>
      <c r="Z300" s="378"/>
      <c r="AA300" s="378"/>
      <c r="AB300" s="378"/>
      <c r="AC300" s="378"/>
      <c r="AD300" s="378"/>
      <c r="AE300" s="378"/>
      <c r="AF300" s="378"/>
      <c r="AG300" s="378"/>
      <c r="AH300" s="378"/>
      <c r="AI300" s="378"/>
      <c r="AJ300" s="378"/>
      <c r="AK300" s="378"/>
      <c r="AL300" s="378"/>
      <c r="AM300" s="378"/>
      <c r="AN300" s="378"/>
      <c r="AO300" s="378"/>
      <c r="AP300" s="378"/>
      <c r="AQ300" s="378"/>
      <c r="AR300" s="378"/>
      <c r="AS300" s="378"/>
      <c r="AT300" s="378"/>
      <c r="AU300" s="378"/>
      <c r="AV300" s="378"/>
      <c r="AW300" s="378"/>
      <c r="AX300" s="378"/>
      <c r="AY300" s="378"/>
      <c r="AZ300" s="378"/>
    </row>
    <row r="301" spans="1:52" s="532" customFormat="1" ht="15" hidden="1" customHeight="1" x14ac:dyDescent="0.25">
      <c r="A301" s="441"/>
      <c r="B301" s="20" t="s">
        <v>212</v>
      </c>
      <c r="C301" s="13"/>
      <c r="D301" s="13"/>
      <c r="E301" s="13"/>
      <c r="F301" s="13"/>
      <c r="G301" s="1314"/>
      <c r="H301" s="754" t="s">
        <v>147</v>
      </c>
      <c r="J301" s="378"/>
      <c r="K301" s="13"/>
      <c r="L301" s="440"/>
      <c r="M301" s="69"/>
      <c r="N301" s="38"/>
      <c r="O301" s="85"/>
      <c r="P301" s="378"/>
      <c r="Q301" s="378"/>
      <c r="R301" s="13"/>
      <c r="S301" s="13"/>
      <c r="T301" s="13"/>
      <c r="U301" s="378"/>
      <c r="V301" s="378"/>
      <c r="W301" s="378"/>
      <c r="X301" s="378"/>
      <c r="Y301" s="378"/>
      <c r="Z301" s="378"/>
      <c r="AA301" s="378"/>
      <c r="AB301" s="378"/>
      <c r="AC301" s="378"/>
      <c r="AD301" s="378"/>
      <c r="AE301" s="378"/>
      <c r="AF301" s="378"/>
      <c r="AG301" s="378"/>
      <c r="AH301" s="378"/>
      <c r="AI301" s="378"/>
      <c r="AJ301" s="378"/>
      <c r="AK301" s="378"/>
      <c r="AL301" s="378"/>
      <c r="AM301" s="378"/>
      <c r="AN301" s="378"/>
      <c r="AO301" s="378"/>
      <c r="AP301" s="378"/>
      <c r="AQ301" s="378"/>
      <c r="AR301" s="378"/>
      <c r="AS301" s="378"/>
      <c r="AT301" s="378"/>
      <c r="AU301" s="378"/>
      <c r="AV301" s="378"/>
      <c r="AW301" s="378"/>
      <c r="AX301" s="378"/>
      <c r="AY301" s="378"/>
      <c r="AZ301" s="378"/>
    </row>
    <row r="302" spans="1:52" s="532" customFormat="1" ht="15" hidden="1" customHeight="1" x14ac:dyDescent="0.25">
      <c r="A302" s="441"/>
      <c r="B302" s="124" t="s">
        <v>213</v>
      </c>
      <c r="C302" s="13"/>
      <c r="D302" s="3"/>
      <c r="E302" s="13"/>
      <c r="F302" s="13"/>
      <c r="G302" s="1314"/>
      <c r="H302" s="378"/>
      <c r="I302" s="900"/>
      <c r="J302" s="754"/>
      <c r="K302" s="13"/>
      <c r="L302" s="440"/>
      <c r="M302" s="69"/>
      <c r="N302" s="38"/>
      <c r="O302" s="85"/>
      <c r="P302" s="378"/>
      <c r="Q302" s="378"/>
      <c r="R302" s="13"/>
      <c r="S302" s="13"/>
      <c r="T302" s="13"/>
      <c r="U302" s="378"/>
      <c r="V302" s="378"/>
      <c r="W302" s="378"/>
      <c r="X302" s="378"/>
      <c r="Y302" s="378"/>
      <c r="Z302" s="378"/>
      <c r="AA302" s="378"/>
      <c r="AB302" s="378"/>
      <c r="AC302" s="378"/>
      <c r="AD302" s="378"/>
      <c r="AE302" s="378"/>
      <c r="AF302" s="378"/>
      <c r="AG302" s="378"/>
      <c r="AH302" s="378"/>
      <c r="AI302" s="378"/>
      <c r="AJ302" s="378"/>
      <c r="AK302" s="378"/>
      <c r="AL302" s="378"/>
      <c r="AM302" s="378"/>
      <c r="AN302" s="378"/>
      <c r="AO302" s="378"/>
      <c r="AP302" s="378"/>
      <c r="AQ302" s="378"/>
      <c r="AR302" s="378"/>
      <c r="AS302" s="378"/>
      <c r="AT302" s="378"/>
      <c r="AU302" s="378"/>
      <c r="AV302" s="378"/>
      <c r="AW302" s="378"/>
      <c r="AX302" s="378"/>
      <c r="AY302" s="378"/>
      <c r="AZ302" s="378"/>
    </row>
    <row r="303" spans="1:52" s="532" customFormat="1" ht="15" hidden="1" customHeight="1" x14ac:dyDescent="0.25">
      <c r="A303" s="441"/>
      <c r="B303" s="20"/>
      <c r="C303" s="13"/>
      <c r="D303" s="1038"/>
      <c r="E303" s="13"/>
      <c r="F303" s="13"/>
      <c r="G303" s="378"/>
      <c r="H303" s="378"/>
      <c r="I303" s="900"/>
      <c r="J303" s="754"/>
      <c r="K303" s="13"/>
      <c r="L303" s="440"/>
      <c r="M303" s="69"/>
      <c r="N303" s="38"/>
      <c r="O303" s="85"/>
      <c r="P303" s="378"/>
      <c r="Q303" s="378"/>
      <c r="R303" s="13"/>
      <c r="S303" s="13"/>
      <c r="T303" s="13"/>
      <c r="U303" s="378"/>
      <c r="V303" s="378"/>
      <c r="W303" s="378"/>
      <c r="X303" s="378"/>
      <c r="Y303" s="378"/>
      <c r="Z303" s="378"/>
      <c r="AA303" s="378"/>
      <c r="AB303" s="378"/>
      <c r="AC303" s="378"/>
      <c r="AD303" s="378"/>
      <c r="AE303" s="378"/>
      <c r="AF303" s="378"/>
      <c r="AG303" s="378"/>
      <c r="AH303" s="378"/>
      <c r="AI303" s="378"/>
      <c r="AJ303" s="378"/>
      <c r="AK303" s="378"/>
      <c r="AL303" s="378"/>
      <c r="AM303" s="378"/>
      <c r="AN303" s="378"/>
      <c r="AO303" s="378"/>
      <c r="AP303" s="378"/>
      <c r="AQ303" s="378"/>
      <c r="AR303" s="378"/>
      <c r="AS303" s="378"/>
      <c r="AT303" s="378"/>
      <c r="AU303" s="378"/>
      <c r="AV303" s="378"/>
      <c r="AW303" s="378"/>
      <c r="AX303" s="378"/>
      <c r="AY303" s="378"/>
      <c r="AZ303" s="378"/>
    </row>
    <row r="304" spans="1:52" s="532" customFormat="1" ht="15" hidden="1" customHeight="1" x14ac:dyDescent="0.25">
      <c r="A304" s="441"/>
      <c r="B304" s="1685" t="s">
        <v>214</v>
      </c>
      <c r="C304" s="1685"/>
      <c r="D304" s="1685"/>
      <c r="E304" s="1685"/>
      <c r="F304" s="1685"/>
      <c r="G304" s="823">
        <f>(E178*1.5)+E179+E180+(E181*0.75)+(E182*0.75)+(E183*0.5)+(E184*0.5)</f>
        <v>0</v>
      </c>
      <c r="H304" s="978"/>
      <c r="J304" s="978"/>
      <c r="K304" s="3"/>
      <c r="L304" s="440"/>
      <c r="M304" s="69"/>
      <c r="N304" s="38"/>
      <c r="O304" s="85"/>
      <c r="P304" s="378"/>
      <c r="Q304" s="378"/>
      <c r="R304" s="13"/>
      <c r="S304" s="13"/>
      <c r="T304" s="13"/>
      <c r="U304" s="378"/>
      <c r="V304" s="378"/>
      <c r="W304" s="378"/>
      <c r="X304" s="378"/>
      <c r="Y304" s="378"/>
      <c r="Z304" s="378"/>
      <c r="AA304" s="378"/>
      <c r="AB304" s="378"/>
      <c r="AC304" s="378"/>
      <c r="AD304" s="378"/>
      <c r="AE304" s="378"/>
      <c r="AF304" s="378"/>
      <c r="AG304" s="378"/>
      <c r="AH304" s="378"/>
      <c r="AI304" s="378"/>
      <c r="AJ304" s="378"/>
      <c r="AK304" s="378"/>
      <c r="AL304" s="378"/>
      <c r="AM304" s="378"/>
      <c r="AN304" s="378"/>
      <c r="AO304" s="378"/>
      <c r="AP304" s="378"/>
      <c r="AQ304" s="378"/>
      <c r="AR304" s="378"/>
      <c r="AS304" s="378"/>
      <c r="AT304" s="378"/>
      <c r="AU304" s="378"/>
      <c r="AV304" s="378"/>
      <c r="AW304" s="378"/>
      <c r="AX304" s="378"/>
      <c r="AY304" s="378"/>
      <c r="AZ304" s="378"/>
    </row>
    <row r="305" spans="1:52" s="532" customFormat="1" ht="16.5" hidden="1" customHeight="1" x14ac:dyDescent="0.25">
      <c r="A305" s="441"/>
      <c r="B305" s="1674" t="s">
        <v>215</v>
      </c>
      <c r="C305" s="1674"/>
      <c r="D305" s="1674"/>
      <c r="E305" s="1674"/>
      <c r="F305" s="1674"/>
      <c r="G305" s="964" t="str">
        <f>IF(G301="x",(G304/G302),"")</f>
        <v/>
      </c>
      <c r="H305" s="1014"/>
      <c r="I305" s="3"/>
      <c r="J305" s="899"/>
      <c r="K305" s="438"/>
      <c r="L305" s="440"/>
      <c r="M305" s="69"/>
      <c r="N305" s="38"/>
      <c r="O305" s="85"/>
      <c r="P305" s="378"/>
      <c r="Q305" s="378"/>
      <c r="R305" s="13"/>
      <c r="S305" s="13"/>
      <c r="T305" s="13"/>
      <c r="U305" s="378"/>
      <c r="V305" s="378"/>
      <c r="W305" s="378"/>
      <c r="X305" s="378"/>
      <c r="Y305" s="378"/>
      <c r="Z305" s="378"/>
      <c r="AA305" s="378"/>
      <c r="AB305" s="378"/>
      <c r="AC305" s="378"/>
      <c r="AD305" s="378"/>
      <c r="AE305" s="378"/>
      <c r="AF305" s="378"/>
      <c r="AG305" s="378"/>
      <c r="AH305" s="378"/>
      <c r="AI305" s="378"/>
      <c r="AJ305" s="378"/>
      <c r="AK305" s="378"/>
      <c r="AL305" s="378"/>
      <c r="AM305" s="378"/>
      <c r="AN305" s="378"/>
      <c r="AO305" s="378"/>
      <c r="AP305" s="378"/>
      <c r="AQ305" s="378"/>
      <c r="AR305" s="378"/>
      <c r="AS305" s="378"/>
      <c r="AT305" s="378"/>
      <c r="AU305" s="378"/>
      <c r="AV305" s="378"/>
      <c r="AW305" s="378"/>
      <c r="AX305" s="378"/>
      <c r="AY305" s="378"/>
      <c r="AZ305" s="378"/>
    </row>
    <row r="306" spans="1:52" s="532" customFormat="1" ht="15" hidden="1" customHeight="1" x14ac:dyDescent="0.25">
      <c r="A306" s="441"/>
      <c r="B306" s="765"/>
      <c r="C306" s="765"/>
      <c r="D306" s="766"/>
      <c r="E306" s="766"/>
      <c r="F306" s="766"/>
      <c r="G306" s="766"/>
      <c r="H306" s="767"/>
      <c r="I306" s="439"/>
      <c r="J306" s="899"/>
      <c r="K306" s="438"/>
      <c r="L306" s="440"/>
      <c r="M306" s="69"/>
      <c r="N306" s="38"/>
      <c r="O306" s="85"/>
      <c r="P306" s="378"/>
      <c r="Q306" s="378"/>
      <c r="R306" s="13"/>
      <c r="S306" s="13"/>
      <c r="T306" s="13"/>
      <c r="U306" s="378"/>
      <c r="V306" s="378"/>
      <c r="W306" s="378"/>
      <c r="X306" s="378"/>
      <c r="Y306" s="378"/>
      <c r="Z306" s="378"/>
      <c r="AA306" s="378"/>
      <c r="AB306" s="378"/>
      <c r="AC306" s="378"/>
      <c r="AD306" s="378"/>
      <c r="AE306" s="378"/>
      <c r="AF306" s="378"/>
      <c r="AG306" s="378"/>
      <c r="AH306" s="378"/>
      <c r="AI306" s="378"/>
      <c r="AJ306" s="378"/>
      <c r="AK306" s="378"/>
      <c r="AL306" s="378"/>
      <c r="AM306" s="378"/>
      <c r="AN306" s="378"/>
      <c r="AO306" s="378"/>
      <c r="AP306" s="378"/>
      <c r="AQ306" s="378"/>
      <c r="AR306" s="378"/>
      <c r="AS306" s="378"/>
      <c r="AT306" s="378"/>
      <c r="AU306" s="378"/>
      <c r="AV306" s="378"/>
      <c r="AW306" s="378"/>
      <c r="AX306" s="378"/>
      <c r="AY306" s="378"/>
      <c r="AZ306" s="378"/>
    </row>
    <row r="307" spans="1:52" s="532" customFormat="1" ht="15" hidden="1" customHeight="1" x14ac:dyDescent="0.25">
      <c r="A307" s="441"/>
      <c r="B307" s="1681" t="s">
        <v>216</v>
      </c>
      <c r="C307" s="1681"/>
      <c r="D307" s="1681"/>
      <c r="E307" s="1681"/>
      <c r="F307" s="1682"/>
      <c r="G307" s="1683"/>
      <c r="H307" s="767"/>
      <c r="I307" s="439"/>
      <c r="J307" s="899"/>
      <c r="K307" s="438"/>
      <c r="L307" s="440"/>
      <c r="M307" s="69"/>
      <c r="N307" s="38"/>
      <c r="O307" s="85"/>
      <c r="P307" s="378"/>
      <c r="Q307" s="378"/>
      <c r="R307" s="13"/>
      <c r="S307" s="13"/>
      <c r="T307" s="13"/>
      <c r="U307" s="378"/>
      <c r="V307" s="378"/>
      <c r="W307" s="378"/>
      <c r="X307" s="378"/>
      <c r="Y307" s="378"/>
      <c r="Z307" s="378"/>
      <c r="AA307" s="378"/>
      <c r="AB307" s="378"/>
      <c r="AC307" s="378"/>
      <c r="AD307" s="378"/>
      <c r="AE307" s="378"/>
      <c r="AF307" s="378"/>
      <c r="AG307" s="378"/>
      <c r="AH307" s="378"/>
      <c r="AI307" s="378"/>
      <c r="AJ307" s="378"/>
      <c r="AK307" s="378"/>
      <c r="AL307" s="378"/>
      <c r="AM307" s="378"/>
      <c r="AN307" s="378"/>
      <c r="AO307" s="378"/>
      <c r="AP307" s="378"/>
      <c r="AQ307" s="378"/>
      <c r="AR307" s="378"/>
      <c r="AS307" s="378"/>
      <c r="AT307" s="378"/>
      <c r="AU307" s="378"/>
      <c r="AV307" s="378"/>
      <c r="AW307" s="378"/>
      <c r="AX307" s="378"/>
      <c r="AY307" s="378"/>
      <c r="AZ307" s="378"/>
    </row>
    <row r="308" spans="1:52" s="532" customFormat="1" ht="24" hidden="1" customHeight="1" x14ac:dyDescent="0.25">
      <c r="A308" s="441"/>
      <c r="B308" s="1681"/>
      <c r="C308" s="1681"/>
      <c r="D308" s="1681"/>
      <c r="E308" s="1681"/>
      <c r="F308" s="1682"/>
      <c r="G308" s="1684"/>
      <c r="H308" s="767"/>
      <c r="I308" s="439"/>
      <c r="J308" s="899"/>
      <c r="K308" s="438"/>
      <c r="L308" s="440"/>
      <c r="M308" s="69"/>
      <c r="N308" s="38"/>
      <c r="O308" s="85"/>
      <c r="P308" s="378"/>
      <c r="Q308" s="378"/>
      <c r="R308" s="13"/>
      <c r="S308" s="13"/>
      <c r="T308" s="13"/>
      <c r="U308" s="378"/>
      <c r="V308" s="378"/>
      <c r="W308" s="378"/>
      <c r="X308" s="378"/>
      <c r="Y308" s="378"/>
      <c r="Z308" s="378"/>
      <c r="AA308" s="378"/>
      <c r="AB308" s="378"/>
      <c r="AC308" s="378"/>
      <c r="AD308" s="378"/>
      <c r="AE308" s="378"/>
      <c r="AF308" s="378"/>
      <c r="AG308" s="378"/>
      <c r="AH308" s="378"/>
      <c r="AI308" s="378"/>
      <c r="AJ308" s="378"/>
      <c r="AK308" s="378"/>
      <c r="AL308" s="378"/>
      <c r="AM308" s="378"/>
      <c r="AN308" s="378"/>
      <c r="AO308" s="378"/>
      <c r="AP308" s="378"/>
      <c r="AQ308" s="378"/>
      <c r="AR308" s="378"/>
      <c r="AS308" s="378"/>
      <c r="AT308" s="378"/>
      <c r="AU308" s="378"/>
      <c r="AV308" s="378"/>
      <c r="AW308" s="378"/>
      <c r="AX308" s="378"/>
      <c r="AY308" s="378"/>
      <c r="AZ308" s="378"/>
    </row>
    <row r="309" spans="1:52" s="532" customFormat="1" ht="15" hidden="1" customHeight="1" x14ac:dyDescent="0.25">
      <c r="A309" s="441"/>
      <c r="B309" s="765"/>
      <c r="C309" s="765"/>
      <c r="D309" s="766"/>
      <c r="E309" s="766"/>
      <c r="F309" s="766"/>
      <c r="G309" s="766"/>
      <c r="H309" s="767"/>
      <c r="I309" s="439"/>
      <c r="J309" s="899"/>
      <c r="K309" s="438"/>
      <c r="L309" s="440"/>
      <c r="M309" s="69"/>
      <c r="N309" s="38"/>
      <c r="O309" s="85"/>
      <c r="P309" s="378"/>
      <c r="Q309" s="378"/>
      <c r="R309" s="13"/>
      <c r="S309" s="13"/>
      <c r="T309" s="13"/>
      <c r="U309" s="378"/>
      <c r="V309" s="378"/>
      <c r="W309" s="378"/>
      <c r="X309" s="378"/>
      <c r="Y309" s="378"/>
      <c r="Z309" s="378"/>
      <c r="AA309" s="378"/>
      <c r="AB309" s="378"/>
      <c r="AC309" s="378"/>
      <c r="AD309" s="378"/>
      <c r="AE309" s="378"/>
      <c r="AF309" s="378"/>
      <c r="AG309" s="378"/>
      <c r="AH309" s="378"/>
      <c r="AI309" s="378"/>
      <c r="AJ309" s="378"/>
      <c r="AK309" s="378"/>
      <c r="AL309" s="378"/>
      <c r="AM309" s="378"/>
      <c r="AN309" s="378"/>
      <c r="AO309" s="378"/>
      <c r="AP309" s="378"/>
      <c r="AQ309" s="378"/>
      <c r="AR309" s="378"/>
      <c r="AS309" s="378"/>
      <c r="AT309" s="378"/>
      <c r="AU309" s="378"/>
      <c r="AV309" s="378"/>
      <c r="AW309" s="378"/>
      <c r="AX309" s="378"/>
      <c r="AY309" s="378"/>
      <c r="AZ309" s="378"/>
    </row>
    <row r="310" spans="1:52" s="532" customFormat="1" ht="17.25" hidden="1" customHeight="1" x14ac:dyDescent="0.25">
      <c r="A310" s="582">
        <v>20</v>
      </c>
      <c r="B310" s="1595" t="s">
        <v>217</v>
      </c>
      <c r="C310" s="1595"/>
      <c r="D310" s="1595"/>
      <c r="E310" s="1595"/>
      <c r="F310" s="1595"/>
      <c r="G310" s="1595"/>
      <c r="H310" s="767"/>
      <c r="I310" s="439"/>
      <c r="J310" s="899"/>
      <c r="K310" s="438"/>
      <c r="L310" s="440"/>
      <c r="M310" s="69"/>
      <c r="N310" s="38"/>
      <c r="O310" s="85"/>
      <c r="P310" s="378"/>
      <c r="Q310" s="378"/>
      <c r="R310" s="13"/>
      <c r="S310" s="13"/>
      <c r="T310" s="13"/>
      <c r="U310" s="378"/>
      <c r="V310" s="378"/>
      <c r="W310" s="378"/>
      <c r="X310" s="378"/>
      <c r="Y310" s="378"/>
      <c r="Z310" s="378"/>
      <c r="AA310" s="378"/>
      <c r="AB310" s="378"/>
      <c r="AC310" s="378"/>
      <c r="AD310" s="378"/>
      <c r="AE310" s="378"/>
      <c r="AF310" s="378"/>
      <c r="AG310" s="378"/>
      <c r="AH310" s="378"/>
      <c r="AI310" s="378"/>
      <c r="AJ310" s="378"/>
      <c r="AK310" s="378"/>
      <c r="AL310" s="378"/>
      <c r="AM310" s="378"/>
      <c r="AN310" s="378"/>
      <c r="AO310" s="378"/>
      <c r="AP310" s="378"/>
      <c r="AQ310" s="378"/>
      <c r="AR310" s="378"/>
      <c r="AS310" s="378"/>
      <c r="AT310" s="378"/>
      <c r="AU310" s="378"/>
      <c r="AV310" s="378"/>
      <c r="AW310" s="378"/>
      <c r="AX310" s="378"/>
      <c r="AY310" s="378"/>
      <c r="AZ310" s="378"/>
    </row>
    <row r="311" spans="1:52" s="532" customFormat="1" ht="12.75" hidden="1" customHeight="1" x14ac:dyDescent="0.25">
      <c r="A311" s="441"/>
      <c r="B311" s="765"/>
      <c r="C311" s="765"/>
      <c r="D311" s="766"/>
      <c r="E311" s="766"/>
      <c r="F311" s="766"/>
      <c r="G311" s="766"/>
      <c r="H311" s="767"/>
      <c r="I311" s="439"/>
      <c r="J311" s="899"/>
      <c r="K311" s="438"/>
      <c r="L311" s="440"/>
      <c r="M311" s="69"/>
      <c r="N311" s="38"/>
      <c r="O311" s="85"/>
      <c r="P311" s="378"/>
      <c r="Q311" s="378"/>
      <c r="R311" s="13"/>
      <c r="S311" s="13"/>
      <c r="T311" s="13"/>
      <c r="U311" s="378"/>
      <c r="V311" s="378"/>
      <c r="W311" s="378"/>
      <c r="X311" s="378"/>
      <c r="Y311" s="378"/>
      <c r="Z311" s="378"/>
      <c r="AA311" s="378"/>
      <c r="AB311" s="378"/>
      <c r="AC311" s="378"/>
      <c r="AD311" s="378"/>
      <c r="AE311" s="378"/>
      <c r="AF311" s="378"/>
      <c r="AG311" s="378"/>
      <c r="AH311" s="378"/>
      <c r="AI311" s="378"/>
      <c r="AJ311" s="378"/>
      <c r="AK311" s="378"/>
      <c r="AL311" s="378"/>
      <c r="AM311" s="378"/>
      <c r="AN311" s="378"/>
      <c r="AO311" s="378"/>
      <c r="AP311" s="378"/>
      <c r="AQ311" s="378"/>
      <c r="AR311" s="378"/>
      <c r="AS311" s="378"/>
      <c r="AT311" s="378"/>
      <c r="AU311" s="378"/>
      <c r="AV311" s="378"/>
      <c r="AW311" s="378"/>
      <c r="AX311" s="378"/>
      <c r="AY311" s="378"/>
      <c r="AZ311" s="378"/>
    </row>
    <row r="312" spans="1:52" s="532" customFormat="1" ht="14.25" hidden="1" customHeight="1" x14ac:dyDescent="0.25">
      <c r="A312" s="441"/>
      <c r="B312" s="20" t="s">
        <v>218</v>
      </c>
      <c r="C312" s="13"/>
      <c r="D312" s="13"/>
      <c r="E312" s="13"/>
      <c r="F312" s="13"/>
      <c r="G312" s="30"/>
      <c r="H312" s="378"/>
      <c r="I312" s="1314"/>
      <c r="J312" s="754" t="s">
        <v>147</v>
      </c>
      <c r="K312" s="13"/>
      <c r="L312" s="440"/>
      <c r="M312" s="69"/>
      <c r="N312" s="38"/>
      <c r="O312" s="85"/>
      <c r="P312" s="378"/>
      <c r="Q312" s="378"/>
      <c r="R312" s="13"/>
      <c r="S312" s="13"/>
      <c r="T312" s="13"/>
      <c r="U312" s="378"/>
      <c r="V312" s="378"/>
      <c r="W312" s="378"/>
      <c r="X312" s="378"/>
      <c r="Y312" s="378"/>
      <c r="Z312" s="378"/>
      <c r="AA312" s="378"/>
      <c r="AB312" s="378"/>
      <c r="AC312" s="378"/>
      <c r="AD312" s="378"/>
      <c r="AE312" s="378"/>
      <c r="AF312" s="378"/>
      <c r="AG312" s="378"/>
      <c r="AH312" s="378"/>
      <c r="AI312" s="378"/>
      <c r="AJ312" s="378"/>
      <c r="AK312" s="378"/>
      <c r="AL312" s="378"/>
      <c r="AM312" s="378"/>
      <c r="AN312" s="378"/>
      <c r="AO312" s="378"/>
      <c r="AP312" s="378"/>
      <c r="AQ312" s="378"/>
      <c r="AR312" s="378"/>
      <c r="AS312" s="378"/>
      <c r="AT312" s="378"/>
      <c r="AU312" s="378"/>
      <c r="AV312" s="378"/>
      <c r="AW312" s="378"/>
      <c r="AX312" s="378"/>
      <c r="AY312" s="378"/>
      <c r="AZ312" s="378"/>
    </row>
    <row r="313" spans="1:52" s="532" customFormat="1" ht="15" hidden="1" customHeight="1" x14ac:dyDescent="0.25">
      <c r="A313" s="441"/>
      <c r="B313" s="20" t="s">
        <v>219</v>
      </c>
      <c r="C313" s="13"/>
      <c r="D313" s="378"/>
      <c r="E313" s="13"/>
      <c r="F313" s="13"/>
      <c r="G313" s="30"/>
      <c r="H313" s="378"/>
      <c r="I313" s="1015"/>
      <c r="J313" s="754"/>
      <c r="K313" s="13"/>
      <c r="L313" s="440"/>
      <c r="M313" s="69"/>
      <c r="N313" s="38"/>
      <c r="O313" s="85"/>
      <c r="P313" s="378"/>
      <c r="Q313" s="378"/>
      <c r="R313" s="13"/>
      <c r="S313" s="13"/>
      <c r="T313" s="13"/>
      <c r="U313" s="378"/>
      <c r="V313" s="378"/>
      <c r="W313" s="378"/>
      <c r="X313" s="378"/>
      <c r="Y313" s="378"/>
      <c r="Z313" s="378"/>
      <c r="AA313" s="378"/>
      <c r="AB313" s="378"/>
      <c r="AC313" s="378"/>
      <c r="AD313" s="378"/>
      <c r="AE313" s="378"/>
      <c r="AF313" s="378"/>
      <c r="AG313" s="378"/>
      <c r="AH313" s="378"/>
      <c r="AI313" s="378"/>
      <c r="AJ313" s="378"/>
      <c r="AK313" s="378"/>
      <c r="AL313" s="378"/>
      <c r="AM313" s="378"/>
      <c r="AN313" s="378"/>
      <c r="AO313" s="378"/>
      <c r="AP313" s="378"/>
      <c r="AQ313" s="378"/>
      <c r="AR313" s="378"/>
      <c r="AS313" s="378"/>
      <c r="AT313" s="378"/>
      <c r="AU313" s="378"/>
      <c r="AV313" s="378"/>
      <c r="AW313" s="378"/>
      <c r="AX313" s="378"/>
      <c r="AY313" s="378"/>
      <c r="AZ313" s="378"/>
    </row>
    <row r="314" spans="1:52" s="532" customFormat="1" ht="15" hidden="1" customHeight="1" x14ac:dyDescent="0.25">
      <c r="A314" s="441"/>
      <c r="B314" s="20"/>
      <c r="C314" s="13"/>
      <c r="E314" s="13"/>
      <c r="F314" s="13"/>
      <c r="G314" s="30"/>
      <c r="H314" s="378"/>
      <c r="I314" s="754"/>
      <c r="J314" s="754"/>
      <c r="K314" s="13"/>
      <c r="L314" s="440"/>
      <c r="M314" s="69"/>
      <c r="N314" s="38"/>
      <c r="O314" s="85"/>
      <c r="P314" s="378"/>
      <c r="Q314" s="378"/>
      <c r="R314" s="13"/>
      <c r="S314" s="13"/>
      <c r="T314" s="13"/>
      <c r="U314" s="378"/>
      <c r="V314" s="378"/>
      <c r="W314" s="378"/>
      <c r="X314" s="378"/>
      <c r="Y314" s="378"/>
      <c r="Z314" s="378"/>
      <c r="AA314" s="378"/>
      <c r="AB314" s="378"/>
      <c r="AC314" s="378"/>
      <c r="AD314" s="378"/>
      <c r="AE314" s="378"/>
      <c r="AF314" s="378"/>
      <c r="AG314" s="378"/>
      <c r="AH314" s="378"/>
      <c r="AI314" s="378"/>
      <c r="AJ314" s="378"/>
      <c r="AK314" s="378"/>
      <c r="AL314" s="378"/>
      <c r="AM314" s="378"/>
      <c r="AN314" s="378"/>
      <c r="AO314" s="378"/>
      <c r="AP314" s="378"/>
      <c r="AQ314" s="378"/>
      <c r="AR314" s="378"/>
      <c r="AS314" s="378"/>
      <c r="AT314" s="378"/>
      <c r="AU314" s="378"/>
      <c r="AV314" s="378"/>
      <c r="AW314" s="378"/>
      <c r="AX314" s="378"/>
      <c r="AY314" s="378"/>
      <c r="AZ314" s="378"/>
    </row>
    <row r="315" spans="1:52" s="532" customFormat="1" ht="15" hidden="1" customHeight="1" x14ac:dyDescent="0.25">
      <c r="A315" s="441"/>
      <c r="B315" s="20" t="s">
        <v>220</v>
      </c>
      <c r="C315" s="13"/>
      <c r="D315" s="13"/>
      <c r="E315" s="13"/>
      <c r="F315" s="13"/>
      <c r="G315" s="30"/>
      <c r="H315" s="378"/>
      <c r="I315" s="878"/>
      <c r="J315" s="754" t="s">
        <v>147</v>
      </c>
      <c r="K315" s="13"/>
      <c r="L315" s="440"/>
      <c r="M315" s="69"/>
      <c r="N315" s="38"/>
      <c r="O315" s="85"/>
      <c r="P315" s="378"/>
      <c r="Q315" s="378"/>
      <c r="R315" s="13"/>
      <c r="S315" s="13"/>
      <c r="T315" s="13"/>
      <c r="U315" s="378"/>
      <c r="V315" s="378"/>
      <c r="W315" s="378"/>
      <c r="X315" s="378"/>
      <c r="Y315" s="378"/>
      <c r="Z315" s="378"/>
      <c r="AA315" s="378"/>
      <c r="AB315" s="378"/>
      <c r="AC315" s="378"/>
      <c r="AD315" s="378"/>
      <c r="AE315" s="378"/>
      <c r="AF315" s="378"/>
      <c r="AG315" s="378"/>
      <c r="AH315" s="378"/>
      <c r="AI315" s="378"/>
      <c r="AJ315" s="378"/>
      <c r="AK315" s="378"/>
      <c r="AL315" s="378"/>
      <c r="AM315" s="378"/>
      <c r="AN315" s="378"/>
      <c r="AO315" s="378"/>
      <c r="AP315" s="378"/>
      <c r="AQ315" s="378"/>
      <c r="AR315" s="378"/>
      <c r="AS315" s="378"/>
      <c r="AT315" s="378"/>
      <c r="AU315" s="378"/>
      <c r="AV315" s="378"/>
      <c r="AW315" s="378"/>
      <c r="AX315" s="378"/>
      <c r="AY315" s="378"/>
      <c r="AZ315" s="378"/>
    </row>
    <row r="316" spans="1:52" s="532" customFormat="1" ht="15" hidden="1" customHeight="1" x14ac:dyDescent="0.25">
      <c r="A316" s="441"/>
      <c r="B316" s="20" t="s">
        <v>221</v>
      </c>
      <c r="C316" s="13"/>
      <c r="D316" s="378"/>
      <c r="E316" s="13"/>
      <c r="F316" s="13"/>
      <c r="G316" s="30"/>
      <c r="H316" s="378"/>
      <c r="I316" s="1015"/>
      <c r="J316" s="754"/>
      <c r="K316" s="13"/>
      <c r="L316" s="440"/>
      <c r="M316" s="69"/>
      <c r="N316" s="38"/>
      <c r="O316" s="85"/>
      <c r="P316" s="378"/>
      <c r="Q316" s="378"/>
      <c r="R316" s="13"/>
      <c r="S316" s="13"/>
      <c r="T316" s="13"/>
      <c r="U316" s="378"/>
      <c r="V316" s="378"/>
      <c r="W316" s="378"/>
      <c r="X316" s="378"/>
      <c r="Y316" s="378"/>
      <c r="Z316" s="378"/>
      <c r="AA316" s="378"/>
      <c r="AB316" s="378"/>
      <c r="AC316" s="378"/>
      <c r="AD316" s="378"/>
      <c r="AE316" s="378"/>
      <c r="AF316" s="378"/>
      <c r="AG316" s="378"/>
      <c r="AH316" s="378"/>
      <c r="AI316" s="378"/>
      <c r="AJ316" s="378"/>
      <c r="AK316" s="378"/>
      <c r="AL316" s="378"/>
      <c r="AM316" s="378"/>
      <c r="AN316" s="378"/>
      <c r="AO316" s="378"/>
      <c r="AP316" s="378"/>
      <c r="AQ316" s="378"/>
      <c r="AR316" s="378"/>
      <c r="AS316" s="378"/>
      <c r="AT316" s="378"/>
      <c r="AU316" s="378"/>
      <c r="AV316" s="378"/>
      <c r="AW316" s="378"/>
      <c r="AX316" s="378"/>
      <c r="AY316" s="378"/>
      <c r="AZ316" s="378"/>
    </row>
    <row r="317" spans="1:52" s="532" customFormat="1" ht="15" hidden="1" customHeight="1" x14ac:dyDescent="0.25">
      <c r="A317" s="441"/>
      <c r="B317" s="20"/>
      <c r="C317" s="13"/>
      <c r="E317" s="13"/>
      <c r="F317" s="13"/>
      <c r="G317" s="30"/>
      <c r="H317" s="378"/>
      <c r="I317" s="754"/>
      <c r="J317" s="754"/>
      <c r="K317" s="13"/>
      <c r="L317" s="440"/>
      <c r="M317" s="69"/>
      <c r="N317" s="38"/>
      <c r="O317" s="85"/>
      <c r="P317" s="378"/>
      <c r="Q317" s="378"/>
      <c r="R317" s="13"/>
      <c r="S317" s="13"/>
      <c r="T317" s="13"/>
      <c r="U317" s="378"/>
      <c r="V317" s="378"/>
      <c r="W317" s="378"/>
      <c r="X317" s="378"/>
      <c r="Y317" s="378"/>
      <c r="Z317" s="378"/>
      <c r="AA317" s="378"/>
      <c r="AB317" s="378"/>
      <c r="AC317" s="378"/>
      <c r="AD317" s="378"/>
      <c r="AE317" s="378"/>
      <c r="AF317" s="378"/>
      <c r="AG317" s="378"/>
      <c r="AH317" s="378"/>
      <c r="AI317" s="378"/>
      <c r="AJ317" s="378"/>
      <c r="AK317" s="378"/>
      <c r="AL317" s="378"/>
      <c r="AM317" s="378"/>
      <c r="AN317" s="378"/>
      <c r="AO317" s="378"/>
      <c r="AP317" s="378"/>
      <c r="AQ317" s="378"/>
      <c r="AR317" s="378"/>
      <c r="AS317" s="378"/>
      <c r="AT317" s="378"/>
      <c r="AU317" s="378"/>
      <c r="AV317" s="378"/>
      <c r="AW317" s="378"/>
      <c r="AX317" s="378"/>
      <c r="AY317" s="378"/>
      <c r="AZ317" s="378"/>
    </row>
    <row r="318" spans="1:52" s="532" customFormat="1" ht="15" hidden="1" customHeight="1" x14ac:dyDescent="0.25">
      <c r="A318" s="441"/>
      <c r="B318" s="20" t="s">
        <v>222</v>
      </c>
      <c r="C318" s="13"/>
      <c r="D318" s="766"/>
      <c r="E318" s="13"/>
      <c r="F318" s="13"/>
      <c r="G318" s="30"/>
      <c r="H318" s="378"/>
      <c r="I318" s="963"/>
      <c r="J318" s="754"/>
      <c r="K318" s="13"/>
      <c r="L318" s="440"/>
      <c r="M318" s="69"/>
      <c r="N318" s="38"/>
      <c r="O318" s="85"/>
      <c r="P318" s="378"/>
      <c r="Q318" s="378"/>
      <c r="R318" s="13"/>
      <c r="S318" s="13"/>
      <c r="T318" s="13"/>
      <c r="U318" s="378"/>
      <c r="V318" s="378"/>
      <c r="W318" s="378"/>
      <c r="X318" s="378"/>
      <c r="Y318" s="378"/>
      <c r="Z318" s="378"/>
      <c r="AA318" s="378"/>
      <c r="AB318" s="378"/>
      <c r="AC318" s="378"/>
      <c r="AD318" s="378"/>
      <c r="AE318" s="378"/>
      <c r="AF318" s="378"/>
      <c r="AG318" s="378"/>
      <c r="AH318" s="378"/>
      <c r="AI318" s="378"/>
      <c r="AJ318" s="378"/>
      <c r="AK318" s="378"/>
      <c r="AL318" s="378"/>
      <c r="AM318" s="378"/>
      <c r="AN318" s="378"/>
      <c r="AO318" s="378"/>
      <c r="AP318" s="378"/>
      <c r="AQ318" s="378"/>
      <c r="AR318" s="378"/>
      <c r="AS318" s="378"/>
      <c r="AT318" s="378"/>
      <c r="AU318" s="378"/>
      <c r="AV318" s="378"/>
      <c r="AW318" s="378"/>
      <c r="AX318" s="378"/>
      <c r="AY318" s="378"/>
      <c r="AZ318" s="378"/>
    </row>
    <row r="319" spans="1:52" s="532" customFormat="1" ht="15" hidden="1" customHeight="1" x14ac:dyDescent="0.25">
      <c r="A319" s="441"/>
      <c r="B319" s="63" t="s">
        <v>223</v>
      </c>
      <c r="C319" s="13"/>
      <c r="D319" s="766"/>
      <c r="E319" s="13"/>
      <c r="F319" s="13"/>
      <c r="G319" s="30"/>
      <c r="H319" s="378"/>
      <c r="I319" s="900"/>
      <c r="J319" s="754"/>
      <c r="K319" s="13"/>
      <c r="L319" s="440"/>
      <c r="M319" s="69"/>
      <c r="N319" s="38"/>
      <c r="O319" s="85"/>
      <c r="P319" s="378"/>
      <c r="Q319" s="378"/>
      <c r="R319" s="13"/>
      <c r="S319" s="13"/>
      <c r="T319" s="13"/>
      <c r="U319" s="378"/>
      <c r="V319" s="378"/>
      <c r="W319" s="378"/>
      <c r="X319" s="378"/>
      <c r="Y319" s="378"/>
      <c r="Z319" s="378"/>
      <c r="AA319" s="378"/>
      <c r="AB319" s="378"/>
      <c r="AC319" s="378"/>
      <c r="AD319" s="378"/>
      <c r="AE319" s="378"/>
      <c r="AF319" s="378"/>
      <c r="AG319" s="378"/>
      <c r="AH319" s="378"/>
      <c r="AI319" s="378"/>
      <c r="AJ319" s="378"/>
      <c r="AK319" s="378"/>
      <c r="AL319" s="378"/>
      <c r="AM319" s="378"/>
      <c r="AN319" s="378"/>
      <c r="AO319" s="378"/>
      <c r="AP319" s="378"/>
      <c r="AQ319" s="378"/>
      <c r="AR319" s="378"/>
      <c r="AS319" s="378"/>
      <c r="AT319" s="378"/>
      <c r="AU319" s="378"/>
      <c r="AV319" s="378"/>
      <c r="AW319" s="378"/>
      <c r="AX319" s="378"/>
      <c r="AY319" s="378"/>
      <c r="AZ319" s="378"/>
    </row>
    <row r="320" spans="1:52" s="532" customFormat="1" ht="15" hidden="1" customHeight="1" x14ac:dyDescent="0.25">
      <c r="A320" s="441"/>
      <c r="B320" s="63"/>
      <c r="C320" s="13"/>
      <c r="D320" s="766"/>
      <c r="E320" s="13"/>
      <c r="F320" s="13"/>
      <c r="G320" s="30"/>
      <c r="H320" s="378"/>
      <c r="I320" s="900"/>
      <c r="J320" s="754"/>
      <c r="K320" s="13"/>
      <c r="L320" s="440"/>
      <c r="M320" s="69"/>
      <c r="N320" s="38"/>
      <c r="O320" s="85"/>
      <c r="P320" s="378"/>
      <c r="Q320" s="378"/>
      <c r="R320" s="13"/>
      <c r="S320" s="13"/>
      <c r="T320" s="13"/>
      <c r="U320" s="378"/>
      <c r="V320" s="378"/>
      <c r="W320" s="378"/>
      <c r="X320" s="378"/>
      <c r="Y320" s="378"/>
      <c r="Z320" s="378"/>
      <c r="AA320" s="378"/>
      <c r="AB320" s="378"/>
      <c r="AC320" s="378"/>
      <c r="AD320" s="378"/>
      <c r="AE320" s="378"/>
      <c r="AF320" s="378"/>
      <c r="AG320" s="378"/>
      <c r="AH320" s="378"/>
      <c r="AI320" s="378"/>
      <c r="AJ320" s="378"/>
      <c r="AK320" s="378"/>
      <c r="AL320" s="378"/>
      <c r="AM320" s="378"/>
      <c r="AN320" s="378"/>
      <c r="AO320" s="378"/>
      <c r="AP320" s="378"/>
      <c r="AQ320" s="378"/>
      <c r="AR320" s="378"/>
      <c r="AS320" s="378"/>
      <c r="AT320" s="378"/>
      <c r="AU320" s="378"/>
      <c r="AV320" s="378"/>
      <c r="AW320" s="378"/>
      <c r="AX320" s="378"/>
      <c r="AY320" s="378"/>
      <c r="AZ320" s="378"/>
    </row>
    <row r="321" spans="1:52" s="532" customFormat="1" ht="15" hidden="1" customHeight="1" x14ac:dyDescent="0.25">
      <c r="A321" s="441"/>
      <c r="B321" s="20" t="s">
        <v>224</v>
      </c>
      <c r="C321" s="13"/>
      <c r="D321" s="766"/>
      <c r="E321" s="13"/>
      <c r="F321" s="13"/>
      <c r="G321" s="30"/>
      <c r="H321" s="378"/>
      <c r="I321" s="1016"/>
      <c r="J321" s="899"/>
      <c r="K321" s="438"/>
      <c r="L321" s="440"/>
      <c r="M321" s="69"/>
      <c r="N321" s="38"/>
      <c r="O321" s="85"/>
      <c r="P321" s="378"/>
      <c r="Q321" s="378"/>
      <c r="R321" s="13"/>
      <c r="S321" s="13"/>
      <c r="T321" s="13"/>
      <c r="U321" s="378"/>
      <c r="V321" s="378"/>
      <c r="W321" s="378"/>
      <c r="X321" s="378"/>
      <c r="Y321" s="378"/>
      <c r="Z321" s="378"/>
      <c r="AA321" s="378"/>
      <c r="AB321" s="378"/>
      <c r="AC321" s="378"/>
      <c r="AD321" s="378"/>
      <c r="AE321" s="378"/>
      <c r="AF321" s="378"/>
      <c r="AG321" s="378"/>
      <c r="AH321" s="378"/>
      <c r="AI321" s="378"/>
      <c r="AJ321" s="378"/>
      <c r="AK321" s="378"/>
      <c r="AL321" s="378"/>
      <c r="AM321" s="378"/>
      <c r="AN321" s="378"/>
      <c r="AO321" s="378"/>
      <c r="AP321" s="378"/>
      <c r="AQ321" s="378"/>
      <c r="AR321" s="378"/>
      <c r="AS321" s="378"/>
      <c r="AT321" s="378"/>
      <c r="AU321" s="378"/>
      <c r="AV321" s="378"/>
      <c r="AW321" s="378"/>
      <c r="AX321" s="378"/>
      <c r="AY321" s="378"/>
      <c r="AZ321" s="378"/>
    </row>
    <row r="322" spans="1:52" s="532" customFormat="1" ht="15" hidden="1" customHeight="1" x14ac:dyDescent="0.25">
      <c r="A322" s="441"/>
      <c r="B322" s="1674" t="s">
        <v>225</v>
      </c>
      <c r="C322" s="1674"/>
      <c r="D322" s="1674"/>
      <c r="E322" s="1674"/>
      <c r="F322" s="1674"/>
      <c r="G322" s="1674"/>
      <c r="H322" s="1674"/>
      <c r="I322" s="964" t="str">
        <f>IF(I312="x",(I321/I318),"")</f>
        <v/>
      </c>
      <c r="J322" s="899"/>
      <c r="K322" s="438"/>
      <c r="L322" s="440"/>
      <c r="M322" s="69"/>
      <c r="N322" s="38"/>
      <c r="O322" s="85"/>
      <c r="P322" s="378"/>
      <c r="Q322" s="378"/>
      <c r="R322" s="13"/>
      <c r="S322" s="13"/>
      <c r="T322" s="13"/>
      <c r="U322" s="378"/>
      <c r="V322" s="378"/>
      <c r="W322" s="378"/>
      <c r="X322" s="378"/>
      <c r="Y322" s="378"/>
      <c r="Z322" s="378"/>
      <c r="AA322" s="378"/>
      <c r="AB322" s="378"/>
      <c r="AC322" s="378"/>
      <c r="AD322" s="378"/>
      <c r="AE322" s="378"/>
      <c r="AF322" s="378"/>
      <c r="AG322" s="378"/>
      <c r="AH322" s="378"/>
      <c r="AI322" s="378"/>
      <c r="AJ322" s="378"/>
      <c r="AK322" s="378"/>
      <c r="AL322" s="378"/>
      <c r="AM322" s="378"/>
      <c r="AN322" s="378"/>
      <c r="AO322" s="378"/>
      <c r="AP322" s="378"/>
      <c r="AQ322" s="378"/>
      <c r="AR322" s="378"/>
      <c r="AS322" s="378"/>
      <c r="AT322" s="378"/>
      <c r="AU322" s="378"/>
      <c r="AV322" s="378"/>
      <c r="AW322" s="378"/>
      <c r="AX322" s="378"/>
      <c r="AY322" s="378"/>
      <c r="AZ322" s="378"/>
    </row>
    <row r="323" spans="1:52" s="532" customFormat="1" ht="15" hidden="1" customHeight="1" x14ac:dyDescent="0.25">
      <c r="A323" s="441"/>
      <c r="B323" s="968"/>
      <c r="C323" s="765"/>
      <c r="D323" s="766"/>
      <c r="E323" s="766"/>
      <c r="F323" s="766"/>
      <c r="G323" s="766"/>
      <c r="H323" s="767"/>
      <c r="I323" s="439"/>
      <c r="J323" s="899"/>
      <c r="K323" s="438"/>
      <c r="L323" s="440"/>
      <c r="M323" s="69"/>
      <c r="N323" s="38"/>
      <c r="O323" s="85"/>
      <c r="P323" s="378"/>
      <c r="Q323" s="378"/>
      <c r="R323" s="13"/>
      <c r="S323" s="13"/>
      <c r="T323" s="13"/>
      <c r="U323" s="378"/>
      <c r="V323" s="378"/>
      <c r="W323" s="378"/>
      <c r="X323" s="378"/>
      <c r="Y323" s="378"/>
      <c r="Z323" s="378"/>
      <c r="AA323" s="378"/>
      <c r="AB323" s="378"/>
      <c r="AC323" s="378"/>
      <c r="AD323" s="378"/>
      <c r="AE323" s="378"/>
      <c r="AF323" s="378"/>
      <c r="AG323" s="378"/>
      <c r="AH323" s="378"/>
      <c r="AI323" s="378"/>
      <c r="AJ323" s="378"/>
      <c r="AK323" s="378"/>
      <c r="AL323" s="378"/>
      <c r="AM323" s="378"/>
      <c r="AN323" s="378"/>
      <c r="AO323" s="378"/>
      <c r="AP323" s="378"/>
      <c r="AQ323" s="378"/>
      <c r="AR323" s="378"/>
      <c r="AS323" s="378"/>
      <c r="AT323" s="378"/>
      <c r="AU323" s="378"/>
      <c r="AV323" s="378"/>
      <c r="AW323" s="378"/>
      <c r="AX323" s="378"/>
      <c r="AY323" s="378"/>
      <c r="AZ323" s="378"/>
    </row>
    <row r="324" spans="1:52" s="532" customFormat="1" ht="15" hidden="1" customHeight="1" x14ac:dyDescent="0.25">
      <c r="A324" s="441"/>
      <c r="B324" s="20" t="s">
        <v>226</v>
      </c>
      <c r="C324" s="13"/>
      <c r="D324" s="766"/>
      <c r="E324" s="13"/>
      <c r="F324" s="13"/>
      <c r="G324" s="30"/>
      <c r="H324" s="378"/>
      <c r="I324" s="1015"/>
      <c r="J324" s="899"/>
      <c r="K324" s="438"/>
      <c r="L324" s="440"/>
      <c r="M324" s="69"/>
      <c r="N324" s="38"/>
      <c r="O324" s="85"/>
      <c r="P324" s="378"/>
      <c r="Q324" s="378"/>
      <c r="R324" s="13"/>
      <c r="S324" s="13"/>
      <c r="T324" s="13"/>
      <c r="U324" s="378"/>
      <c r="V324" s="378"/>
      <c r="W324" s="378"/>
      <c r="X324" s="378"/>
      <c r="Y324" s="378"/>
      <c r="Z324" s="378"/>
      <c r="AA324" s="378"/>
      <c r="AB324" s="378"/>
      <c r="AC324" s="378"/>
      <c r="AD324" s="378"/>
      <c r="AE324" s="378"/>
      <c r="AF324" s="378"/>
      <c r="AG324" s="378"/>
      <c r="AH324" s="378"/>
      <c r="AI324" s="378"/>
      <c r="AJ324" s="378"/>
      <c r="AK324" s="378"/>
      <c r="AL324" s="378"/>
      <c r="AM324" s="378"/>
      <c r="AN324" s="378"/>
      <c r="AO324" s="378"/>
      <c r="AP324" s="378"/>
      <c r="AQ324" s="378"/>
      <c r="AR324" s="378"/>
      <c r="AS324" s="378"/>
      <c r="AT324" s="378"/>
      <c r="AU324" s="378"/>
      <c r="AV324" s="378"/>
      <c r="AW324" s="378"/>
      <c r="AX324" s="378"/>
      <c r="AY324" s="378"/>
      <c r="AZ324" s="378"/>
    </row>
    <row r="325" spans="1:52" s="532" customFormat="1" ht="15" hidden="1" customHeight="1" x14ac:dyDescent="0.25">
      <c r="A325" s="441"/>
      <c r="B325" s="1674" t="s">
        <v>227</v>
      </c>
      <c r="C325" s="1674"/>
      <c r="D325" s="1674"/>
      <c r="E325" s="1674"/>
      <c r="F325" s="1674"/>
      <c r="G325" s="1674"/>
      <c r="H325" s="1674"/>
      <c r="I325" s="964" t="str">
        <f>IF(I315="x",(I324/I318),"")</f>
        <v/>
      </c>
      <c r="J325" s="899"/>
      <c r="K325" s="438"/>
      <c r="L325" s="440"/>
      <c r="M325" s="69"/>
      <c r="N325" s="38"/>
      <c r="O325" s="85"/>
      <c r="P325" s="378"/>
      <c r="Q325" s="378"/>
      <c r="R325" s="13"/>
      <c r="S325" s="13"/>
      <c r="T325" s="13"/>
      <c r="U325" s="378"/>
      <c r="V325" s="378"/>
      <c r="W325" s="378"/>
      <c r="X325" s="378"/>
      <c r="Y325" s="378"/>
      <c r="Z325" s="378"/>
      <c r="AA325" s="378"/>
      <c r="AB325" s="378"/>
      <c r="AC325" s="378"/>
      <c r="AD325" s="378"/>
      <c r="AE325" s="378"/>
      <c r="AF325" s="378"/>
      <c r="AG325" s="378"/>
      <c r="AH325" s="378"/>
      <c r="AI325" s="378"/>
      <c r="AJ325" s="378"/>
      <c r="AK325" s="378"/>
      <c r="AL325" s="378"/>
      <c r="AM325" s="378"/>
      <c r="AN325" s="378"/>
      <c r="AO325" s="378"/>
      <c r="AP325" s="378"/>
      <c r="AQ325" s="378"/>
      <c r="AR325" s="378"/>
      <c r="AS325" s="378"/>
      <c r="AT325" s="378"/>
      <c r="AU325" s="378"/>
      <c r="AV325" s="378"/>
      <c r="AW325" s="378"/>
      <c r="AX325" s="378"/>
      <c r="AY325" s="378"/>
      <c r="AZ325" s="378"/>
    </row>
    <row r="326" spans="1:52" s="532" customFormat="1" ht="15" hidden="1" customHeight="1" x14ac:dyDescent="0.25">
      <c r="A326" s="441"/>
      <c r="J326" s="899"/>
      <c r="K326" s="438"/>
      <c r="L326" s="440"/>
      <c r="M326" s="69"/>
      <c r="N326" s="38"/>
      <c r="O326" s="85"/>
      <c r="P326" s="378"/>
      <c r="Q326" s="378"/>
      <c r="R326" s="13"/>
      <c r="S326" s="13"/>
      <c r="T326" s="13"/>
      <c r="U326" s="378"/>
      <c r="V326" s="378"/>
      <c r="W326" s="378"/>
      <c r="X326" s="378"/>
      <c r="Y326" s="378"/>
      <c r="Z326" s="378"/>
      <c r="AA326" s="378"/>
      <c r="AB326" s="378"/>
      <c r="AC326" s="378"/>
      <c r="AD326" s="378"/>
      <c r="AE326" s="378"/>
      <c r="AF326" s="378"/>
      <c r="AG326" s="378"/>
      <c r="AH326" s="378"/>
      <c r="AI326" s="378"/>
      <c r="AJ326" s="378"/>
      <c r="AK326" s="378"/>
      <c r="AL326" s="378"/>
      <c r="AM326" s="378"/>
      <c r="AN326" s="378"/>
      <c r="AO326" s="378"/>
      <c r="AP326" s="378"/>
      <c r="AQ326" s="378"/>
      <c r="AR326" s="378"/>
      <c r="AS326" s="378"/>
      <c r="AT326" s="378"/>
      <c r="AU326" s="378"/>
      <c r="AV326" s="378"/>
      <c r="AW326" s="378"/>
      <c r="AX326" s="378"/>
      <c r="AY326" s="378"/>
      <c r="AZ326" s="378"/>
    </row>
    <row r="327" spans="1:52" s="532" customFormat="1" ht="15" hidden="1" customHeight="1" x14ac:dyDescent="0.25">
      <c r="A327" s="441"/>
      <c r="B327" s="1514"/>
      <c r="C327" s="1514"/>
      <c r="D327" s="1514"/>
      <c r="E327" s="1514"/>
      <c r="F327" s="1514"/>
      <c r="G327" s="1514"/>
      <c r="H327" s="1514"/>
      <c r="I327" s="969"/>
      <c r="J327" s="899"/>
      <c r="K327" s="438"/>
      <c r="L327" s="440"/>
      <c r="M327" s="69"/>
      <c r="N327" s="38"/>
      <c r="O327" s="85"/>
      <c r="P327" s="378"/>
      <c r="Q327" s="378"/>
      <c r="R327" s="13"/>
      <c r="S327" s="13"/>
      <c r="T327" s="13"/>
      <c r="U327" s="378"/>
      <c r="V327" s="378"/>
      <c r="W327" s="378"/>
      <c r="X327" s="378"/>
      <c r="Y327" s="378"/>
      <c r="Z327" s="378"/>
      <c r="AA327" s="378"/>
      <c r="AB327" s="378"/>
      <c r="AC327" s="378"/>
      <c r="AD327" s="378"/>
      <c r="AE327" s="378"/>
      <c r="AF327" s="378"/>
      <c r="AG327" s="378"/>
      <c r="AH327" s="378"/>
      <c r="AI327" s="378"/>
      <c r="AJ327" s="378"/>
      <c r="AK327" s="378"/>
      <c r="AL327" s="378"/>
      <c r="AM327" s="378"/>
      <c r="AN327" s="378"/>
      <c r="AO327" s="378"/>
      <c r="AP327" s="378"/>
      <c r="AQ327" s="378"/>
      <c r="AR327" s="378"/>
      <c r="AS327" s="378"/>
      <c r="AT327" s="378"/>
      <c r="AU327" s="378"/>
      <c r="AV327" s="378"/>
      <c r="AW327" s="378"/>
      <c r="AX327" s="378"/>
      <c r="AY327" s="378"/>
      <c r="AZ327" s="378"/>
    </row>
    <row r="328" spans="1:52" s="532" customFormat="1" ht="15" hidden="1" customHeight="1" x14ac:dyDescent="0.25">
      <c r="A328" s="441"/>
      <c r="J328" s="899"/>
      <c r="K328" s="438"/>
      <c r="L328" s="440"/>
      <c r="M328" s="69"/>
      <c r="N328" s="38"/>
      <c r="O328" s="85"/>
      <c r="P328" s="378"/>
      <c r="Q328" s="378"/>
      <c r="R328" s="13"/>
      <c r="S328" s="13"/>
      <c r="T328" s="13"/>
      <c r="U328" s="378"/>
      <c r="V328" s="378"/>
      <c r="W328" s="378"/>
      <c r="X328" s="378"/>
      <c r="Y328" s="378"/>
      <c r="Z328" s="378"/>
      <c r="AA328" s="378"/>
      <c r="AB328" s="378"/>
      <c r="AC328" s="378"/>
      <c r="AD328" s="378"/>
      <c r="AE328" s="378"/>
      <c r="AF328" s="378"/>
      <c r="AG328" s="378"/>
      <c r="AH328" s="378"/>
      <c r="AI328" s="378"/>
      <c r="AJ328" s="378"/>
      <c r="AK328" s="378"/>
      <c r="AL328" s="378"/>
      <c r="AM328" s="378"/>
      <c r="AN328" s="378"/>
      <c r="AO328" s="378"/>
      <c r="AP328" s="378"/>
      <c r="AQ328" s="378"/>
      <c r="AR328" s="378"/>
      <c r="AS328" s="378"/>
      <c r="AT328" s="378"/>
      <c r="AU328" s="378"/>
      <c r="AV328" s="378"/>
      <c r="AW328" s="378"/>
      <c r="AX328" s="378"/>
      <c r="AY328" s="378"/>
      <c r="AZ328" s="378"/>
    </row>
    <row r="329" spans="1:52" s="449" customFormat="1" ht="15.75" hidden="1" customHeight="1" x14ac:dyDescent="0.25">
      <c r="A329" s="441"/>
      <c r="B329" s="442"/>
      <c r="C329" s="439"/>
      <c r="D329" s="439"/>
      <c r="E329" s="439"/>
      <c r="F329" s="443"/>
      <c r="G329" s="439"/>
      <c r="H329" s="439"/>
      <c r="I329" s="439"/>
      <c r="J329" s="439"/>
      <c r="K329" s="438"/>
      <c r="L329" s="440"/>
      <c r="M329" s="69"/>
      <c r="N329" s="38"/>
      <c r="O329" s="85"/>
      <c r="P329" s="378"/>
      <c r="Q329" s="378"/>
      <c r="R329" s="13"/>
      <c r="S329" s="13"/>
      <c r="T329" s="13"/>
      <c r="U329" s="378"/>
      <c r="V329" s="378"/>
      <c r="W329" s="378"/>
      <c r="X329" s="378"/>
      <c r="Y329" s="378"/>
      <c r="Z329" s="378"/>
      <c r="AA329" s="378"/>
      <c r="AB329" s="378"/>
      <c r="AC329" s="378"/>
      <c r="AD329" s="378"/>
      <c r="AE329" s="378"/>
      <c r="AF329" s="378"/>
      <c r="AG329" s="378"/>
      <c r="AH329" s="378"/>
      <c r="AI329" s="378"/>
      <c r="AJ329" s="378"/>
      <c r="AK329" s="378"/>
      <c r="AL329" s="378"/>
      <c r="AM329" s="378"/>
      <c r="AN329" s="378"/>
      <c r="AO329" s="378"/>
      <c r="AP329" s="378"/>
      <c r="AQ329" s="378"/>
      <c r="AR329" s="378"/>
      <c r="AS329" s="378"/>
      <c r="AT329" s="378"/>
      <c r="AU329" s="378"/>
      <c r="AV329" s="378"/>
      <c r="AW329" s="378"/>
      <c r="AX329" s="378"/>
      <c r="AY329" s="378"/>
      <c r="AZ329" s="378"/>
    </row>
    <row r="330" spans="1:52" s="437" customFormat="1" ht="15" hidden="1" customHeight="1" x14ac:dyDescent="0.25">
      <c r="A330" s="441"/>
      <c r="B330" s="442"/>
      <c r="C330" s="439"/>
      <c r="D330" s="439"/>
      <c r="E330" s="443"/>
      <c r="F330" s="443"/>
      <c r="G330" s="439"/>
      <c r="H330" s="439"/>
      <c r="I330" s="439"/>
      <c r="J330" s="445"/>
      <c r="K330" s="438"/>
      <c r="L330" s="440"/>
      <c r="M330" s="69"/>
      <c r="N330" s="38"/>
      <c r="O330" s="85"/>
      <c r="P330" s="378"/>
      <c r="Q330" s="378"/>
      <c r="R330" s="13"/>
      <c r="S330" s="13"/>
      <c r="T330" s="13"/>
      <c r="U330" s="378"/>
      <c r="V330" s="378"/>
      <c r="W330" s="378"/>
      <c r="X330" s="378"/>
      <c r="Y330" s="378"/>
      <c r="Z330" s="378"/>
      <c r="AA330" s="378"/>
      <c r="AB330" s="378"/>
      <c r="AC330" s="378"/>
      <c r="AD330" s="378"/>
      <c r="AE330" s="378"/>
      <c r="AF330" s="378"/>
      <c r="AG330" s="378"/>
      <c r="AH330" s="378"/>
      <c r="AI330" s="378"/>
      <c r="AJ330" s="378"/>
      <c r="AK330" s="378"/>
      <c r="AL330" s="378"/>
      <c r="AM330" s="378"/>
      <c r="AN330" s="378"/>
      <c r="AO330" s="378"/>
      <c r="AP330" s="378"/>
      <c r="AQ330" s="378"/>
      <c r="AR330" s="378"/>
      <c r="AS330" s="378"/>
      <c r="AT330" s="378"/>
      <c r="AU330" s="378"/>
      <c r="AV330" s="378"/>
      <c r="AW330" s="378"/>
      <c r="AX330" s="378"/>
      <c r="AY330" s="378"/>
      <c r="AZ330" s="378"/>
    </row>
    <row r="331" spans="1:52" s="437" customFormat="1" ht="15" hidden="1" customHeight="1" x14ac:dyDescent="0.25">
      <c r="A331" s="45"/>
      <c r="B331" s="54"/>
      <c r="C331" s="84"/>
      <c r="D331" s="84"/>
      <c r="E331" s="381"/>
      <c r="F331" s="381"/>
      <c r="G331" s="84"/>
      <c r="H331" s="84"/>
      <c r="I331" s="84"/>
      <c r="J331" s="84"/>
      <c r="K331" s="13"/>
      <c r="L331" s="69"/>
      <c r="M331" s="69"/>
      <c r="N331" s="38"/>
      <c r="O331" s="85"/>
      <c r="P331" s="378"/>
      <c r="Q331" s="378"/>
      <c r="R331" s="13"/>
      <c r="S331" s="13"/>
      <c r="T331" s="13"/>
      <c r="U331" s="378"/>
      <c r="V331" s="378"/>
      <c r="W331" s="378"/>
      <c r="X331" s="378"/>
      <c r="Y331" s="378"/>
      <c r="Z331" s="378"/>
      <c r="AA331" s="378"/>
      <c r="AB331" s="378"/>
      <c r="AC331" s="378"/>
      <c r="AD331" s="378"/>
      <c r="AE331" s="378"/>
      <c r="AF331" s="378"/>
      <c r="AG331" s="378"/>
      <c r="AH331" s="378"/>
      <c r="AI331" s="378"/>
      <c r="AJ331" s="378"/>
      <c r="AK331" s="378"/>
      <c r="AL331" s="378"/>
      <c r="AM331" s="378"/>
      <c r="AN331" s="378"/>
      <c r="AO331" s="378"/>
      <c r="AP331" s="378"/>
      <c r="AQ331" s="378"/>
      <c r="AR331" s="378"/>
      <c r="AS331" s="378"/>
      <c r="AT331" s="378"/>
      <c r="AU331" s="378"/>
      <c r="AV331" s="378"/>
      <c r="AW331" s="378"/>
      <c r="AX331" s="378"/>
      <c r="AY331" s="378"/>
      <c r="AZ331" s="378"/>
    </row>
    <row r="332" spans="1:52" s="437" customFormat="1" ht="15" hidden="1" customHeight="1" x14ac:dyDescent="0.25">
      <c r="A332" s="45"/>
      <c r="B332" s="54"/>
      <c r="C332" s="84"/>
      <c r="D332" s="84"/>
      <c r="E332" s="381"/>
      <c r="F332" s="381"/>
      <c r="G332" s="84"/>
      <c r="H332" s="84"/>
      <c r="I332" s="84"/>
      <c r="J332" s="84"/>
      <c r="K332" s="13"/>
      <c r="L332" s="69"/>
      <c r="M332" s="69"/>
      <c r="N332" s="38"/>
      <c r="O332" s="85"/>
      <c r="P332" s="378"/>
      <c r="Q332" s="378"/>
      <c r="R332" s="13"/>
      <c r="S332" s="13"/>
      <c r="T332" s="13"/>
      <c r="U332" s="378"/>
      <c r="V332" s="378"/>
      <c r="W332" s="378"/>
      <c r="X332" s="378"/>
      <c r="Y332" s="378"/>
      <c r="Z332" s="378"/>
      <c r="AA332" s="378"/>
      <c r="AB332" s="378"/>
      <c r="AC332" s="378"/>
      <c r="AD332" s="378"/>
      <c r="AE332" s="378"/>
      <c r="AF332" s="378"/>
      <c r="AG332" s="378"/>
      <c r="AH332" s="378"/>
      <c r="AI332" s="378"/>
      <c r="AJ332" s="378"/>
      <c r="AK332" s="378"/>
      <c r="AL332" s="378"/>
      <c r="AM332" s="378"/>
      <c r="AN332" s="378"/>
      <c r="AO332" s="378"/>
      <c r="AP332" s="378"/>
      <c r="AQ332" s="378"/>
      <c r="AR332" s="378"/>
      <c r="AS332" s="378"/>
      <c r="AT332" s="378"/>
      <c r="AU332" s="378"/>
      <c r="AV332" s="378"/>
      <c r="AW332" s="378"/>
      <c r="AX332" s="378"/>
      <c r="AY332" s="378"/>
      <c r="AZ332" s="378"/>
    </row>
    <row r="333" spans="1:52" s="437" customFormat="1" ht="15" hidden="1" customHeight="1" x14ac:dyDescent="0.25">
      <c r="A333" s="45"/>
      <c r="B333" s="54"/>
      <c r="C333" s="84"/>
      <c r="D333" s="84"/>
      <c r="E333" s="381"/>
      <c r="F333" s="381"/>
      <c r="G333" s="84"/>
      <c r="H333" s="84"/>
      <c r="I333" s="84"/>
      <c r="J333" s="84"/>
      <c r="K333" s="13"/>
      <c r="L333" s="69"/>
      <c r="M333" s="69"/>
      <c r="N333" s="38"/>
      <c r="O333" s="85"/>
      <c r="P333" s="378"/>
      <c r="Q333" s="378"/>
      <c r="R333" s="13"/>
      <c r="S333" s="13"/>
      <c r="T333" s="13"/>
      <c r="U333" s="378"/>
      <c r="V333" s="378"/>
      <c r="W333" s="378"/>
      <c r="X333" s="378"/>
      <c r="Y333" s="378"/>
      <c r="Z333" s="378"/>
      <c r="AA333" s="378"/>
      <c r="AB333" s="378"/>
      <c r="AC333" s="378"/>
      <c r="AD333" s="378"/>
      <c r="AE333" s="378"/>
      <c r="AF333" s="378"/>
      <c r="AG333" s="378"/>
      <c r="AH333" s="378"/>
      <c r="AI333" s="378"/>
      <c r="AJ333" s="378"/>
      <c r="AK333" s="378"/>
      <c r="AL333" s="378"/>
      <c r="AM333" s="378"/>
      <c r="AN333" s="378"/>
      <c r="AO333" s="378"/>
      <c r="AP333" s="378"/>
      <c r="AQ333" s="378"/>
      <c r="AR333" s="378"/>
      <c r="AS333" s="378"/>
      <c r="AT333" s="378"/>
      <c r="AU333" s="378"/>
      <c r="AV333" s="378"/>
      <c r="AW333" s="378"/>
      <c r="AX333" s="378"/>
      <c r="AY333" s="378"/>
      <c r="AZ333" s="378"/>
    </row>
    <row r="334" spans="1:52" s="437" customFormat="1" ht="15" hidden="1" customHeight="1" x14ac:dyDescent="0.25">
      <c r="A334" s="45"/>
      <c r="B334" s="54"/>
      <c r="C334" s="84"/>
      <c r="D334" s="84"/>
      <c r="E334" s="381"/>
      <c r="F334" s="381"/>
      <c r="G334" s="84"/>
      <c r="H334" s="84"/>
      <c r="I334" s="84"/>
      <c r="J334" s="84"/>
      <c r="K334" s="13"/>
      <c r="L334" s="69"/>
      <c r="M334" s="69"/>
      <c r="N334" s="38"/>
      <c r="O334" s="85"/>
      <c r="P334" s="378"/>
      <c r="Q334" s="378"/>
      <c r="R334" s="13"/>
      <c r="S334" s="13"/>
      <c r="T334" s="13"/>
      <c r="U334" s="378"/>
      <c r="V334" s="378"/>
      <c r="W334" s="378"/>
      <c r="X334" s="378"/>
      <c r="Y334" s="378"/>
      <c r="Z334" s="378"/>
      <c r="AA334" s="378"/>
      <c r="AB334" s="378"/>
      <c r="AC334" s="378"/>
      <c r="AD334" s="378"/>
      <c r="AE334" s="378"/>
      <c r="AF334" s="378"/>
      <c r="AG334" s="378"/>
      <c r="AH334" s="378"/>
      <c r="AI334" s="378"/>
      <c r="AJ334" s="378"/>
      <c r="AK334" s="378"/>
      <c r="AL334" s="378"/>
      <c r="AM334" s="378"/>
      <c r="AN334" s="378"/>
      <c r="AO334" s="378"/>
      <c r="AP334" s="378"/>
      <c r="AQ334" s="378"/>
      <c r="AR334" s="378"/>
      <c r="AS334" s="378"/>
      <c r="AT334" s="378"/>
      <c r="AU334" s="378"/>
      <c r="AV334" s="378"/>
      <c r="AW334" s="378"/>
      <c r="AX334" s="378"/>
      <c r="AY334" s="378"/>
      <c r="AZ334" s="378"/>
    </row>
    <row r="335" spans="1:52" s="437" customFormat="1" ht="15" hidden="1" customHeight="1" x14ac:dyDescent="0.25">
      <c r="A335" s="45"/>
      <c r="B335" s="54"/>
      <c r="C335" s="84"/>
      <c r="D335" s="84"/>
      <c r="E335" s="381"/>
      <c r="F335" s="381"/>
      <c r="G335" s="84"/>
      <c r="H335" s="84"/>
      <c r="I335" s="84"/>
      <c r="J335" s="84"/>
      <c r="K335" s="13"/>
      <c r="L335" s="69"/>
      <c r="M335" s="69"/>
      <c r="N335" s="38"/>
      <c r="O335" s="85"/>
      <c r="P335" s="378"/>
      <c r="Q335" s="378"/>
      <c r="R335" s="13"/>
      <c r="S335" s="13"/>
      <c r="T335" s="13"/>
      <c r="U335" s="378"/>
      <c r="V335" s="378"/>
      <c r="W335" s="378"/>
      <c r="X335" s="378"/>
      <c r="Y335" s="378"/>
      <c r="Z335" s="378"/>
      <c r="AA335" s="378"/>
      <c r="AB335" s="378"/>
      <c r="AC335" s="378"/>
      <c r="AD335" s="378"/>
      <c r="AE335" s="378"/>
      <c r="AF335" s="378"/>
      <c r="AG335" s="378"/>
      <c r="AH335" s="378"/>
      <c r="AI335" s="378"/>
      <c r="AJ335" s="378"/>
      <c r="AK335" s="378"/>
      <c r="AL335" s="378"/>
      <c r="AM335" s="378"/>
      <c r="AN335" s="378"/>
      <c r="AO335" s="378"/>
      <c r="AP335" s="378"/>
      <c r="AQ335" s="378"/>
      <c r="AR335" s="378"/>
      <c r="AS335" s="378"/>
      <c r="AT335" s="378"/>
      <c r="AU335" s="378"/>
      <c r="AV335" s="378"/>
      <c r="AW335" s="378"/>
      <c r="AX335" s="378"/>
      <c r="AY335" s="378"/>
      <c r="AZ335" s="378"/>
    </row>
    <row r="336" spans="1:52" s="437" customFormat="1" ht="15" hidden="1" customHeight="1" x14ac:dyDescent="0.25">
      <c r="A336" s="45"/>
      <c r="B336" s="54"/>
      <c r="C336" s="84"/>
      <c r="D336" s="84"/>
      <c r="E336" s="381"/>
      <c r="F336" s="381"/>
      <c r="G336" s="84"/>
      <c r="H336" s="84"/>
      <c r="I336" s="84"/>
      <c r="J336" s="84"/>
      <c r="K336" s="13"/>
      <c r="L336" s="69"/>
      <c r="M336" s="69"/>
      <c r="N336" s="38"/>
      <c r="O336" s="85"/>
      <c r="P336" s="378"/>
      <c r="Q336" s="378"/>
      <c r="R336" s="13"/>
      <c r="S336" s="13"/>
      <c r="T336" s="13"/>
      <c r="U336" s="378"/>
      <c r="V336" s="378"/>
      <c r="W336" s="378"/>
      <c r="X336" s="378"/>
      <c r="Y336" s="378"/>
      <c r="Z336" s="378"/>
      <c r="AA336" s="378"/>
      <c r="AB336" s="378"/>
      <c r="AC336" s="378"/>
      <c r="AD336" s="378"/>
      <c r="AE336" s="378"/>
      <c r="AF336" s="378"/>
      <c r="AG336" s="378"/>
      <c r="AH336" s="378"/>
      <c r="AI336" s="378"/>
      <c r="AJ336" s="378"/>
      <c r="AK336" s="378"/>
      <c r="AL336" s="378"/>
      <c r="AM336" s="378"/>
      <c r="AN336" s="378"/>
      <c r="AO336" s="378"/>
      <c r="AP336" s="378"/>
      <c r="AQ336" s="378"/>
      <c r="AR336" s="378"/>
      <c r="AS336" s="378"/>
      <c r="AT336" s="378"/>
      <c r="AU336" s="378"/>
      <c r="AV336" s="378"/>
      <c r="AW336" s="378"/>
      <c r="AX336" s="378"/>
      <c r="AY336" s="378"/>
      <c r="AZ336" s="378"/>
    </row>
    <row r="337" spans="1:52" s="437" customFormat="1" ht="15" hidden="1" customHeight="1" x14ac:dyDescent="0.25">
      <c r="A337" s="45"/>
      <c r="B337" s="54"/>
      <c r="C337" s="84"/>
      <c r="D337" s="84"/>
      <c r="E337" s="381"/>
      <c r="F337" s="381"/>
      <c r="G337" s="84"/>
      <c r="H337" s="84"/>
      <c r="I337" s="84"/>
      <c r="J337" s="84"/>
      <c r="K337" s="13"/>
      <c r="L337" s="69"/>
      <c r="M337" s="69"/>
      <c r="N337" s="38"/>
      <c r="O337" s="85"/>
      <c r="P337" s="378"/>
      <c r="Q337" s="378"/>
      <c r="R337" s="13"/>
      <c r="S337" s="13"/>
      <c r="T337" s="13"/>
      <c r="U337" s="378"/>
      <c r="V337" s="378"/>
      <c r="W337" s="378"/>
      <c r="X337" s="378"/>
      <c r="Y337" s="378"/>
      <c r="Z337" s="378"/>
      <c r="AA337" s="378"/>
      <c r="AB337" s="378"/>
      <c r="AC337" s="378"/>
      <c r="AD337" s="378"/>
      <c r="AE337" s="378"/>
      <c r="AF337" s="378"/>
      <c r="AG337" s="378"/>
      <c r="AH337" s="378"/>
      <c r="AI337" s="378"/>
      <c r="AJ337" s="378"/>
      <c r="AK337" s="378"/>
      <c r="AL337" s="378"/>
      <c r="AM337" s="378"/>
      <c r="AN337" s="378"/>
      <c r="AO337" s="378"/>
      <c r="AP337" s="378"/>
      <c r="AQ337" s="378"/>
      <c r="AR337" s="378"/>
      <c r="AS337" s="378"/>
      <c r="AT337" s="378"/>
      <c r="AU337" s="378"/>
      <c r="AV337" s="378"/>
      <c r="AW337" s="378"/>
      <c r="AX337" s="378"/>
      <c r="AY337" s="378"/>
      <c r="AZ337" s="378"/>
    </row>
    <row r="338" spans="1:52" s="437" customFormat="1" ht="15" hidden="1" customHeight="1" x14ac:dyDescent="0.25">
      <c r="A338" s="45"/>
      <c r="B338" s="54"/>
      <c r="C338" s="84"/>
      <c r="D338" s="84"/>
      <c r="E338" s="381"/>
      <c r="F338" s="381"/>
      <c r="G338" s="84"/>
      <c r="H338" s="84"/>
      <c r="I338" s="84"/>
      <c r="J338" s="84"/>
      <c r="K338" s="13"/>
      <c r="L338" s="69"/>
      <c r="M338" s="69"/>
      <c r="N338" s="38"/>
      <c r="O338" s="85"/>
      <c r="P338" s="378"/>
      <c r="Q338" s="378"/>
      <c r="R338" s="13"/>
      <c r="S338" s="13"/>
      <c r="T338" s="13"/>
      <c r="U338" s="378"/>
      <c r="V338" s="378"/>
      <c r="W338" s="378"/>
      <c r="X338" s="378"/>
      <c r="Y338" s="378"/>
      <c r="Z338" s="378"/>
      <c r="AA338" s="378"/>
      <c r="AB338" s="378"/>
      <c r="AC338" s="378"/>
      <c r="AD338" s="378"/>
      <c r="AE338" s="378"/>
      <c r="AF338" s="378"/>
      <c r="AG338" s="378"/>
      <c r="AH338" s="378"/>
      <c r="AI338" s="378"/>
      <c r="AJ338" s="378"/>
      <c r="AK338" s="378"/>
      <c r="AL338" s="378"/>
      <c r="AM338" s="378"/>
      <c r="AN338" s="378"/>
      <c r="AO338" s="378"/>
      <c r="AP338" s="378"/>
      <c r="AQ338" s="378"/>
      <c r="AR338" s="378"/>
      <c r="AS338" s="378"/>
      <c r="AT338" s="378"/>
      <c r="AU338" s="378"/>
      <c r="AV338" s="378"/>
      <c r="AW338" s="378"/>
      <c r="AX338" s="378"/>
      <c r="AY338" s="378"/>
      <c r="AZ338" s="378"/>
    </row>
    <row r="339" spans="1:52" s="437" customFormat="1" ht="15" hidden="1" customHeight="1" x14ac:dyDescent="0.25">
      <c r="A339" s="45"/>
      <c r="B339" s="54"/>
      <c r="C339" s="84"/>
      <c r="D339" s="84"/>
      <c r="E339" s="381"/>
      <c r="F339" s="381"/>
      <c r="G339" s="84"/>
      <c r="H339" s="84"/>
      <c r="I339" s="84"/>
      <c r="J339" s="84"/>
      <c r="K339" s="13"/>
      <c r="L339" s="69"/>
      <c r="M339" s="69"/>
      <c r="N339" s="38"/>
      <c r="O339" s="85"/>
      <c r="P339" s="378"/>
      <c r="Q339" s="378"/>
      <c r="R339" s="13"/>
      <c r="S339" s="13"/>
      <c r="T339" s="13"/>
      <c r="U339" s="378"/>
      <c r="V339" s="378"/>
      <c r="W339" s="378"/>
      <c r="X339" s="378"/>
      <c r="Y339" s="378"/>
      <c r="Z339" s="378"/>
      <c r="AA339" s="378"/>
      <c r="AB339" s="378"/>
      <c r="AC339" s="378"/>
      <c r="AD339" s="378"/>
      <c r="AE339" s="378"/>
      <c r="AF339" s="378"/>
      <c r="AG339" s="378"/>
      <c r="AH339" s="378"/>
      <c r="AI339" s="378"/>
      <c r="AJ339" s="378"/>
      <c r="AK339" s="378"/>
      <c r="AL339" s="378"/>
      <c r="AM339" s="378"/>
      <c r="AN339" s="378"/>
      <c r="AO339" s="378"/>
      <c r="AP339" s="378"/>
      <c r="AQ339" s="378"/>
      <c r="AR339" s="378"/>
      <c r="AS339" s="378"/>
      <c r="AT339" s="378"/>
      <c r="AU339" s="378"/>
      <c r="AV339" s="378"/>
      <c r="AW339" s="378"/>
      <c r="AX339" s="378"/>
      <c r="AY339" s="378"/>
      <c r="AZ339" s="378"/>
    </row>
    <row r="340" spans="1:52" ht="15.75" hidden="1" x14ac:dyDescent="0.25">
      <c r="A340" s="45"/>
      <c r="B340" s="84"/>
      <c r="C340" s="84"/>
      <c r="D340" s="84"/>
      <c r="E340" s="84"/>
      <c r="F340" s="84"/>
      <c r="G340" s="84"/>
      <c r="H340" s="84"/>
      <c r="I340" s="84"/>
      <c r="J340" s="84"/>
      <c r="K340" s="13"/>
      <c r="L340" s="72"/>
      <c r="M340" s="72"/>
      <c r="N340" s="53"/>
      <c r="O340" s="83"/>
      <c r="P340" s="378"/>
      <c r="Q340" s="378"/>
      <c r="R340" s="13"/>
      <c r="S340" s="13"/>
      <c r="T340" s="13"/>
      <c r="U340" s="378"/>
      <c r="V340" s="378"/>
      <c r="W340" s="378"/>
      <c r="X340" s="378"/>
      <c r="Y340" s="378"/>
      <c r="Z340" s="378"/>
      <c r="AA340" s="378"/>
      <c r="AB340" s="378"/>
      <c r="AC340" s="378"/>
      <c r="AD340" s="378"/>
      <c r="AE340" s="378"/>
      <c r="AF340" s="378"/>
      <c r="AG340" s="378"/>
      <c r="AH340" s="378"/>
      <c r="AI340" s="378"/>
      <c r="AJ340" s="378"/>
      <c r="AK340" s="378"/>
      <c r="AL340" s="378"/>
      <c r="AM340" s="378"/>
      <c r="AN340" s="378"/>
      <c r="AO340" s="378"/>
      <c r="AP340" s="378"/>
      <c r="AQ340" s="378"/>
      <c r="AR340" s="378"/>
      <c r="AS340" s="378"/>
      <c r="AT340" s="378"/>
      <c r="AU340" s="378"/>
      <c r="AV340" s="378"/>
      <c r="AW340" s="378"/>
      <c r="AX340" s="378"/>
      <c r="AY340" s="378"/>
      <c r="AZ340" s="378"/>
    </row>
    <row r="341" spans="1:52" hidden="1" x14ac:dyDescent="0.25">
      <c r="A341" s="13"/>
      <c r="B341" s="13"/>
      <c r="C341" s="13"/>
      <c r="D341" s="13"/>
      <c r="E341" s="13"/>
      <c r="F341" s="13"/>
      <c r="G341" s="13"/>
      <c r="H341" s="13"/>
      <c r="I341" s="13"/>
      <c r="J341" s="13"/>
      <c r="K341" s="13"/>
      <c r="L341" s="13"/>
      <c r="M341" s="13"/>
      <c r="N341" s="13"/>
      <c r="O341" s="13"/>
      <c r="P341" s="13"/>
      <c r="Q341" s="13"/>
      <c r="R341" s="13"/>
      <c r="S341" s="13"/>
      <c r="T341" s="13"/>
      <c r="U341" s="378"/>
      <c r="V341" s="378"/>
      <c r="W341" s="378"/>
      <c r="X341" s="378"/>
      <c r="Y341" s="378"/>
      <c r="Z341" s="378"/>
      <c r="AA341" s="378"/>
      <c r="AB341" s="378"/>
      <c r="AC341" s="378"/>
      <c r="AD341" s="378"/>
      <c r="AE341" s="378"/>
      <c r="AF341" s="378"/>
      <c r="AG341" s="378"/>
      <c r="AH341" s="378"/>
      <c r="AI341" s="378"/>
      <c r="AJ341" s="378"/>
      <c r="AK341" s="378"/>
      <c r="AL341" s="378"/>
      <c r="AM341" s="378"/>
      <c r="AN341" s="378"/>
      <c r="AO341" s="378"/>
      <c r="AP341" s="378"/>
      <c r="AQ341" s="378"/>
      <c r="AR341" s="378"/>
      <c r="AS341" s="378"/>
      <c r="AT341" s="378"/>
      <c r="AU341" s="378"/>
      <c r="AV341" s="378"/>
      <c r="AW341" s="378"/>
      <c r="AX341" s="378"/>
      <c r="AY341" s="378"/>
      <c r="AZ341" s="378"/>
    </row>
    <row r="342" spans="1:52" hidden="1" x14ac:dyDescent="0.25">
      <c r="A342" s="13"/>
      <c r="B342" s="13"/>
      <c r="C342" s="13"/>
      <c r="D342" s="13"/>
      <c r="E342" s="13"/>
      <c r="F342" s="13"/>
      <c r="G342" s="13"/>
      <c r="H342" s="13"/>
      <c r="I342" s="13"/>
      <c r="J342" s="13"/>
      <c r="K342" s="13"/>
      <c r="L342" s="13"/>
      <c r="M342" s="13"/>
      <c r="N342" s="13"/>
      <c r="O342" s="13"/>
      <c r="P342" s="13"/>
      <c r="Q342" s="13"/>
      <c r="R342" s="13"/>
      <c r="S342" s="13"/>
      <c r="T342" s="13"/>
      <c r="U342" s="378"/>
      <c r="V342" s="378"/>
      <c r="W342" s="378"/>
      <c r="X342" s="378"/>
      <c r="Y342" s="378"/>
      <c r="Z342" s="378"/>
      <c r="AA342" s="378"/>
      <c r="AB342" s="378"/>
      <c r="AC342" s="378"/>
      <c r="AD342" s="378"/>
      <c r="AE342" s="378"/>
      <c r="AF342" s="378"/>
      <c r="AG342" s="378"/>
      <c r="AH342" s="378"/>
      <c r="AI342" s="378"/>
      <c r="AJ342" s="378"/>
      <c r="AK342" s="378"/>
      <c r="AL342" s="378"/>
      <c r="AM342" s="378"/>
      <c r="AN342" s="378"/>
      <c r="AO342" s="378"/>
      <c r="AP342" s="378"/>
      <c r="AQ342" s="378"/>
      <c r="AR342" s="378"/>
      <c r="AS342" s="378"/>
      <c r="AT342" s="378"/>
      <c r="AU342" s="378"/>
      <c r="AV342" s="378"/>
      <c r="AW342" s="378"/>
      <c r="AX342" s="378"/>
      <c r="AY342" s="378"/>
      <c r="AZ342" s="378"/>
    </row>
    <row r="343" spans="1:52" hidden="1" x14ac:dyDescent="0.25">
      <c r="A343" s="13"/>
      <c r="B343" s="13"/>
      <c r="C343" s="13"/>
      <c r="D343" s="13"/>
      <c r="E343" s="13"/>
      <c r="F343" s="13"/>
      <c r="G343" s="13"/>
      <c r="H343" s="13"/>
      <c r="I343" s="13"/>
      <c r="J343" s="13"/>
      <c r="K343" s="13"/>
      <c r="L343" s="13"/>
      <c r="M343" s="13"/>
      <c r="N343" s="13"/>
      <c r="O343" s="13"/>
      <c r="P343" s="13"/>
      <c r="Q343" s="13"/>
      <c r="R343" s="13"/>
      <c r="S343" s="13"/>
      <c r="T343" s="13"/>
      <c r="U343" s="378"/>
      <c r="V343" s="378"/>
      <c r="W343" s="378"/>
      <c r="X343" s="378"/>
      <c r="Y343" s="378"/>
      <c r="Z343" s="378"/>
      <c r="AA343" s="378"/>
      <c r="AB343" s="378"/>
      <c r="AC343" s="378"/>
      <c r="AD343" s="378"/>
      <c r="AE343" s="378"/>
      <c r="AF343" s="378"/>
      <c r="AG343" s="378"/>
      <c r="AH343" s="378"/>
      <c r="AI343" s="378"/>
      <c r="AJ343" s="378"/>
      <c r="AK343" s="378"/>
      <c r="AL343" s="378"/>
      <c r="AM343" s="378"/>
      <c r="AN343" s="378"/>
      <c r="AO343" s="378"/>
      <c r="AP343" s="378"/>
      <c r="AQ343" s="378"/>
      <c r="AR343" s="378"/>
      <c r="AS343" s="378"/>
      <c r="AT343" s="378"/>
      <c r="AU343" s="378"/>
      <c r="AV343" s="378"/>
      <c r="AW343" s="378"/>
      <c r="AX343" s="378"/>
      <c r="AY343" s="378"/>
      <c r="AZ343" s="378"/>
    </row>
    <row r="344" spans="1:52" ht="15.75" hidden="1" x14ac:dyDescent="0.25">
      <c r="A344" s="34"/>
      <c r="B344" s="13"/>
      <c r="C344" s="13"/>
      <c r="D344" s="13"/>
      <c r="E344" s="13"/>
      <c r="F344" s="13"/>
      <c r="G344" s="13"/>
      <c r="H344" s="13"/>
      <c r="I344" s="13"/>
      <c r="J344" s="13"/>
      <c r="K344" s="13"/>
      <c r="L344" s="13"/>
      <c r="M344" s="13"/>
      <c r="N344" s="13"/>
      <c r="O344" s="13"/>
      <c r="P344" s="13"/>
      <c r="Q344" s="13"/>
      <c r="R344" s="13"/>
      <c r="S344" s="13"/>
      <c r="T344" s="13"/>
      <c r="U344" s="378"/>
      <c r="V344" s="378"/>
      <c r="W344" s="378"/>
      <c r="X344" s="378"/>
      <c r="Y344" s="378"/>
      <c r="Z344" s="378"/>
      <c r="AA344" s="378"/>
      <c r="AB344" s="378"/>
      <c r="AC344" s="378"/>
      <c r="AD344" s="378"/>
      <c r="AE344" s="378"/>
      <c r="AF344" s="378"/>
      <c r="AG344" s="378"/>
      <c r="AH344" s="378"/>
      <c r="AI344" s="378"/>
      <c r="AJ344" s="378"/>
      <c r="AK344" s="378"/>
      <c r="AL344" s="378"/>
      <c r="AM344" s="378"/>
      <c r="AN344" s="378"/>
      <c r="AO344" s="378"/>
      <c r="AP344" s="378"/>
      <c r="AQ344" s="378"/>
      <c r="AR344" s="378"/>
      <c r="AS344" s="378"/>
      <c r="AT344" s="378"/>
      <c r="AU344" s="378"/>
      <c r="AV344" s="378"/>
      <c r="AW344" s="378"/>
      <c r="AX344" s="378"/>
      <c r="AY344" s="378"/>
      <c r="AZ344" s="378"/>
    </row>
    <row r="345" spans="1:52" hidden="1" x14ac:dyDescent="0.25">
      <c r="A345" s="13"/>
      <c r="B345" s="13"/>
      <c r="C345" s="13"/>
      <c r="D345" s="13"/>
      <c r="E345" s="13"/>
      <c r="F345" s="13"/>
      <c r="G345" s="13"/>
      <c r="H345" s="13"/>
      <c r="I345" s="13"/>
      <c r="J345" s="13"/>
      <c r="K345" s="13"/>
      <c r="L345" s="13"/>
      <c r="M345" s="13"/>
      <c r="N345" s="13"/>
      <c r="O345" s="13"/>
      <c r="P345" s="13"/>
      <c r="Q345" s="13"/>
      <c r="R345" s="13"/>
      <c r="S345" s="13"/>
      <c r="T345" s="13"/>
      <c r="U345" s="378"/>
      <c r="V345" s="378"/>
      <c r="W345" s="378"/>
      <c r="X345" s="378"/>
      <c r="Y345" s="378"/>
      <c r="Z345" s="378"/>
      <c r="AA345" s="378"/>
      <c r="AB345" s="378"/>
      <c r="AC345" s="378"/>
      <c r="AD345" s="378"/>
      <c r="AE345" s="378"/>
      <c r="AF345" s="378"/>
      <c r="AG345" s="378"/>
      <c r="AH345" s="378"/>
      <c r="AI345" s="378"/>
      <c r="AJ345" s="378"/>
      <c r="AK345" s="378"/>
      <c r="AL345" s="378"/>
      <c r="AM345" s="378"/>
      <c r="AN345" s="378"/>
      <c r="AO345" s="378"/>
      <c r="AP345" s="378"/>
      <c r="AQ345" s="378"/>
      <c r="AR345" s="378"/>
      <c r="AS345" s="378"/>
      <c r="AT345" s="378"/>
      <c r="AU345" s="378"/>
      <c r="AV345" s="378"/>
      <c r="AW345" s="378"/>
      <c r="AX345" s="378"/>
      <c r="AY345" s="378"/>
      <c r="AZ345" s="378"/>
    </row>
    <row r="346" spans="1:52" hidden="1" x14ac:dyDescent="0.25">
      <c r="A346" s="13"/>
      <c r="B346" s="13"/>
      <c r="C346" s="13"/>
      <c r="D346" s="13"/>
      <c r="E346" s="13"/>
      <c r="F346" s="13"/>
      <c r="G346" s="13"/>
      <c r="H346" s="13"/>
      <c r="I346" s="13"/>
      <c r="J346" s="13"/>
      <c r="K346" s="13"/>
      <c r="L346" s="13"/>
      <c r="M346" s="13"/>
      <c r="N346" s="13"/>
      <c r="O346" s="13"/>
      <c r="P346" s="13"/>
      <c r="Q346" s="13"/>
      <c r="R346" s="13"/>
      <c r="S346" s="13"/>
      <c r="T346" s="13"/>
      <c r="U346" s="378"/>
      <c r="V346" s="378"/>
      <c r="W346" s="378"/>
      <c r="X346" s="378"/>
      <c r="Y346" s="378"/>
      <c r="Z346" s="378"/>
      <c r="AA346" s="378"/>
      <c r="AB346" s="378"/>
      <c r="AC346" s="378"/>
      <c r="AD346" s="378"/>
      <c r="AE346" s="378"/>
      <c r="AF346" s="378"/>
      <c r="AG346" s="378"/>
      <c r="AH346" s="378"/>
      <c r="AI346" s="378"/>
      <c r="AJ346" s="378"/>
      <c r="AK346" s="378"/>
      <c r="AL346" s="378"/>
      <c r="AM346" s="378"/>
      <c r="AN346" s="378"/>
      <c r="AO346" s="378"/>
      <c r="AP346" s="378"/>
      <c r="AQ346" s="378"/>
      <c r="AR346" s="378"/>
      <c r="AS346" s="378"/>
      <c r="AT346" s="378"/>
      <c r="AU346" s="378"/>
      <c r="AV346" s="378"/>
      <c r="AW346" s="378"/>
      <c r="AX346" s="378"/>
      <c r="AY346" s="378"/>
      <c r="AZ346" s="378"/>
    </row>
    <row r="347" spans="1:52" hidden="1" x14ac:dyDescent="0.25">
      <c r="A347" s="13"/>
      <c r="B347" s="13"/>
      <c r="C347" s="13"/>
      <c r="D347" s="13"/>
      <c r="E347" s="13"/>
      <c r="F347" s="13"/>
      <c r="G347" s="13"/>
      <c r="H347" s="13"/>
      <c r="I347" s="13"/>
      <c r="J347" s="13"/>
      <c r="K347" s="13"/>
      <c r="L347" s="13"/>
      <c r="M347" s="13"/>
      <c r="N347" s="13"/>
      <c r="O347" s="13"/>
      <c r="P347" s="13"/>
      <c r="Q347" s="13"/>
      <c r="R347" s="13"/>
      <c r="S347" s="13"/>
      <c r="T347" s="13"/>
      <c r="U347" s="378"/>
      <c r="V347" s="378"/>
      <c r="W347" s="378"/>
      <c r="X347" s="378"/>
      <c r="Y347" s="378"/>
      <c r="Z347" s="378"/>
      <c r="AA347" s="378"/>
      <c r="AB347" s="378"/>
      <c r="AC347" s="378"/>
      <c r="AD347" s="378"/>
      <c r="AE347" s="378"/>
      <c r="AF347" s="378"/>
      <c r="AG347" s="378"/>
      <c r="AH347" s="378"/>
      <c r="AI347" s="378"/>
      <c r="AJ347" s="378"/>
      <c r="AK347" s="378"/>
      <c r="AL347" s="378"/>
      <c r="AM347" s="378"/>
      <c r="AN347" s="378"/>
      <c r="AO347" s="378"/>
      <c r="AP347" s="378"/>
      <c r="AQ347" s="378"/>
      <c r="AR347" s="378"/>
      <c r="AS347" s="378"/>
      <c r="AT347" s="378"/>
      <c r="AU347" s="378"/>
      <c r="AV347" s="378"/>
      <c r="AW347" s="378"/>
      <c r="AX347" s="378"/>
      <c r="AY347" s="378"/>
      <c r="AZ347" s="378"/>
    </row>
    <row r="348" spans="1:52" hidden="1" x14ac:dyDescent="0.25">
      <c r="A348" s="378"/>
      <c r="B348" s="378"/>
      <c r="C348" s="378"/>
      <c r="D348" s="378"/>
      <c r="E348" s="378"/>
      <c r="F348" s="378"/>
      <c r="G348" s="378"/>
      <c r="H348" s="378"/>
      <c r="I348" s="378"/>
      <c r="J348" s="378"/>
      <c r="K348" s="378"/>
      <c r="L348" s="378"/>
      <c r="M348" s="378"/>
      <c r="N348" s="378"/>
      <c r="O348" s="378"/>
      <c r="P348" s="378"/>
      <c r="Q348" s="378"/>
      <c r="R348" s="378"/>
      <c r="S348" s="378"/>
      <c r="T348" s="378"/>
      <c r="U348" s="378"/>
      <c r="V348" s="378"/>
      <c r="W348" s="378"/>
      <c r="X348" s="378"/>
      <c r="Y348" s="378"/>
      <c r="Z348" s="378"/>
      <c r="AA348" s="378"/>
      <c r="AB348" s="378"/>
      <c r="AC348" s="378"/>
      <c r="AD348" s="378"/>
      <c r="AE348" s="378"/>
      <c r="AF348" s="378"/>
      <c r="AG348" s="378"/>
      <c r="AH348" s="378"/>
      <c r="AI348" s="378"/>
      <c r="AJ348" s="378"/>
      <c r="AK348" s="378"/>
      <c r="AL348" s="378"/>
      <c r="AM348" s="378"/>
      <c r="AN348" s="378"/>
      <c r="AO348" s="378"/>
      <c r="AP348" s="378"/>
      <c r="AQ348" s="378"/>
      <c r="AR348" s="378"/>
      <c r="AS348" s="378"/>
      <c r="AT348" s="378"/>
      <c r="AU348" s="378"/>
      <c r="AV348" s="378"/>
      <c r="AW348" s="378"/>
      <c r="AX348" s="378"/>
      <c r="AY348" s="378"/>
      <c r="AZ348" s="378"/>
    </row>
    <row r="349" spans="1:52" hidden="1" x14ac:dyDescent="0.25">
      <c r="A349" s="378"/>
      <c r="B349" s="378"/>
      <c r="C349" s="378"/>
      <c r="D349" s="378"/>
      <c r="E349" s="378"/>
      <c r="F349" s="378"/>
      <c r="G349" s="378"/>
      <c r="H349" s="378"/>
      <c r="I349" s="378"/>
      <c r="J349" s="378"/>
      <c r="K349" s="378"/>
      <c r="L349" s="378"/>
      <c r="M349" s="378"/>
      <c r="N349" s="378"/>
      <c r="O349" s="378"/>
      <c r="P349" s="378"/>
      <c r="Q349" s="378"/>
      <c r="R349" s="378"/>
      <c r="S349" s="378"/>
      <c r="T349" s="378"/>
      <c r="U349" s="378"/>
      <c r="V349" s="378"/>
      <c r="W349" s="378"/>
      <c r="X349" s="378"/>
      <c r="Y349" s="378"/>
      <c r="Z349" s="378"/>
      <c r="AA349" s="378"/>
      <c r="AB349" s="378"/>
      <c r="AC349" s="378"/>
      <c r="AD349" s="378"/>
      <c r="AE349" s="378"/>
      <c r="AF349" s="378"/>
      <c r="AG349" s="378"/>
      <c r="AH349" s="378"/>
      <c r="AI349" s="378"/>
      <c r="AJ349" s="378"/>
      <c r="AK349" s="378"/>
      <c r="AL349" s="378"/>
      <c r="AM349" s="378"/>
      <c r="AN349" s="378"/>
      <c r="AO349" s="378"/>
      <c r="AP349" s="378"/>
      <c r="AQ349" s="378"/>
      <c r="AR349" s="378"/>
      <c r="AS349" s="378"/>
      <c r="AT349" s="378"/>
      <c r="AU349" s="378"/>
      <c r="AV349" s="378"/>
      <c r="AW349" s="378"/>
      <c r="AX349" s="378"/>
      <c r="AY349" s="378"/>
      <c r="AZ349" s="378"/>
    </row>
    <row r="350" spans="1:52" hidden="1" x14ac:dyDescent="0.25">
      <c r="A350" s="378"/>
      <c r="B350" s="378"/>
      <c r="C350" s="378"/>
      <c r="D350" s="378"/>
      <c r="E350" s="378"/>
      <c r="F350" s="378"/>
      <c r="G350" s="378"/>
      <c r="H350" s="378"/>
      <c r="I350" s="378"/>
      <c r="J350" s="378"/>
      <c r="K350" s="378"/>
      <c r="L350" s="378"/>
      <c r="M350" s="378"/>
      <c r="N350" s="378"/>
      <c r="O350" s="378"/>
      <c r="P350" s="378"/>
      <c r="Q350" s="378"/>
      <c r="R350" s="378"/>
      <c r="S350" s="378"/>
      <c r="T350" s="378"/>
      <c r="U350" s="378"/>
      <c r="V350" s="378"/>
      <c r="W350" s="378"/>
      <c r="X350" s="378"/>
      <c r="Y350" s="378"/>
      <c r="Z350" s="378"/>
      <c r="AA350" s="378"/>
      <c r="AB350" s="378"/>
      <c r="AC350" s="378"/>
      <c r="AD350" s="378"/>
      <c r="AE350" s="378"/>
      <c r="AF350" s="378"/>
      <c r="AG350" s="378"/>
      <c r="AH350" s="378"/>
      <c r="AI350" s="378"/>
      <c r="AJ350" s="378"/>
      <c r="AK350" s="378"/>
      <c r="AL350" s="378"/>
      <c r="AM350" s="378"/>
      <c r="AN350" s="378"/>
      <c r="AO350" s="378"/>
      <c r="AP350" s="378"/>
      <c r="AQ350" s="378"/>
      <c r="AR350" s="378"/>
      <c r="AS350" s="378"/>
      <c r="AT350" s="378"/>
      <c r="AU350" s="378"/>
      <c r="AV350" s="378"/>
      <c r="AW350" s="378"/>
      <c r="AX350" s="378"/>
      <c r="AY350" s="378"/>
      <c r="AZ350" s="378"/>
    </row>
    <row r="351" spans="1:52" hidden="1" x14ac:dyDescent="0.25">
      <c r="A351" s="378"/>
      <c r="B351" s="378"/>
      <c r="C351" s="378"/>
      <c r="D351" s="378"/>
      <c r="E351" s="378"/>
      <c r="F351" s="378"/>
      <c r="G351" s="378"/>
      <c r="H351" s="378"/>
      <c r="I351" s="378"/>
      <c r="J351" s="378"/>
      <c r="K351" s="378"/>
      <c r="L351" s="378"/>
      <c r="M351" s="378"/>
      <c r="N351" s="378"/>
      <c r="O351" s="378"/>
      <c r="P351" s="378"/>
      <c r="Q351" s="378"/>
      <c r="R351" s="378"/>
      <c r="S351" s="378"/>
      <c r="T351" s="378"/>
      <c r="U351" s="378"/>
      <c r="V351" s="378"/>
      <c r="W351" s="378"/>
      <c r="X351" s="378"/>
      <c r="Y351" s="378"/>
      <c r="Z351" s="378"/>
      <c r="AA351" s="378"/>
      <c r="AB351" s="378"/>
      <c r="AC351" s="378"/>
      <c r="AD351" s="378"/>
      <c r="AE351" s="378"/>
      <c r="AF351" s="378"/>
      <c r="AG351" s="378"/>
      <c r="AH351" s="378"/>
      <c r="AI351" s="378"/>
      <c r="AJ351" s="378"/>
      <c r="AK351" s="378"/>
      <c r="AL351" s="378"/>
      <c r="AM351" s="378"/>
      <c r="AN351" s="378"/>
      <c r="AO351" s="378"/>
      <c r="AP351" s="378"/>
      <c r="AQ351" s="378"/>
      <c r="AR351" s="378"/>
      <c r="AS351" s="378"/>
      <c r="AT351" s="378"/>
      <c r="AU351" s="378"/>
      <c r="AV351" s="378"/>
      <c r="AW351" s="378"/>
      <c r="AX351" s="378"/>
      <c r="AY351" s="378"/>
      <c r="AZ351" s="378"/>
    </row>
    <row r="352" spans="1:52" hidden="1" x14ac:dyDescent="0.25">
      <c r="A352" s="378"/>
      <c r="B352" s="378"/>
      <c r="C352" s="378"/>
      <c r="D352" s="378"/>
      <c r="E352" s="378"/>
      <c r="F352" s="378"/>
      <c r="G352" s="378"/>
      <c r="H352" s="378"/>
      <c r="I352" s="378"/>
      <c r="J352" s="378"/>
      <c r="K352" s="378"/>
      <c r="L352" s="378"/>
      <c r="M352" s="378"/>
      <c r="N352" s="378"/>
      <c r="O352" s="378"/>
      <c r="P352" s="378"/>
      <c r="Q352" s="378"/>
      <c r="R352" s="378"/>
      <c r="S352" s="378"/>
      <c r="T352" s="378"/>
      <c r="U352" s="378"/>
      <c r="V352" s="378"/>
      <c r="W352" s="378"/>
      <c r="X352" s="378"/>
      <c r="Y352" s="378"/>
      <c r="Z352" s="378"/>
      <c r="AA352" s="378"/>
      <c r="AB352" s="378"/>
      <c r="AC352" s="378"/>
      <c r="AD352" s="378"/>
      <c r="AE352" s="378"/>
      <c r="AF352" s="378"/>
      <c r="AG352" s="378"/>
      <c r="AH352" s="378"/>
      <c r="AI352" s="378"/>
      <c r="AJ352" s="378"/>
      <c r="AK352" s="378"/>
      <c r="AL352" s="378"/>
      <c r="AM352" s="378"/>
      <c r="AN352" s="378"/>
      <c r="AO352" s="378"/>
      <c r="AP352" s="378"/>
      <c r="AQ352" s="378"/>
      <c r="AR352" s="378"/>
      <c r="AS352" s="378"/>
      <c r="AT352" s="378"/>
      <c r="AU352" s="378"/>
      <c r="AV352" s="378"/>
      <c r="AW352" s="378"/>
      <c r="AX352" s="378"/>
      <c r="AY352" s="378"/>
      <c r="AZ352" s="378"/>
    </row>
    <row r="353" spans="1:52" hidden="1" x14ac:dyDescent="0.25">
      <c r="A353" s="378"/>
      <c r="B353" s="378"/>
      <c r="C353" s="378"/>
      <c r="D353" s="378"/>
      <c r="E353" s="378"/>
      <c r="F353" s="378"/>
      <c r="G353" s="378"/>
      <c r="H353" s="378"/>
      <c r="I353" s="378"/>
      <c r="J353" s="378"/>
      <c r="K353" s="378"/>
      <c r="L353" s="378"/>
      <c r="M353" s="378"/>
      <c r="N353" s="378"/>
      <c r="O353" s="378"/>
      <c r="P353" s="378"/>
      <c r="Q353" s="378"/>
      <c r="R353" s="378"/>
      <c r="S353" s="378"/>
      <c r="T353" s="378"/>
      <c r="U353" s="378"/>
      <c r="V353" s="378"/>
      <c r="W353" s="378"/>
      <c r="X353" s="378"/>
      <c r="Y353" s="378"/>
      <c r="Z353" s="378"/>
      <c r="AA353" s="378"/>
      <c r="AB353" s="378"/>
      <c r="AC353" s="378"/>
      <c r="AD353" s="378"/>
      <c r="AE353" s="378"/>
      <c r="AF353" s="378"/>
      <c r="AG353" s="378"/>
      <c r="AH353" s="378"/>
      <c r="AI353" s="378"/>
      <c r="AJ353" s="378"/>
      <c r="AK353" s="378"/>
      <c r="AL353" s="378"/>
      <c r="AM353" s="378"/>
      <c r="AN353" s="378"/>
      <c r="AO353" s="378"/>
      <c r="AP353" s="378"/>
      <c r="AQ353" s="378"/>
      <c r="AR353" s="378"/>
      <c r="AS353" s="378"/>
      <c r="AT353" s="378"/>
      <c r="AU353" s="378"/>
      <c r="AV353" s="378"/>
      <c r="AW353" s="378"/>
      <c r="AX353" s="378"/>
      <c r="AY353" s="378"/>
      <c r="AZ353" s="378"/>
    </row>
    <row r="354" spans="1:52" hidden="1" x14ac:dyDescent="0.25">
      <c r="A354" s="378"/>
      <c r="B354" s="378"/>
      <c r="C354" s="378"/>
      <c r="D354" s="378"/>
      <c r="E354" s="378"/>
      <c r="F354" s="378"/>
      <c r="G354" s="378"/>
      <c r="H354" s="378"/>
      <c r="I354" s="378"/>
      <c r="J354" s="378"/>
      <c r="K354" s="378"/>
      <c r="L354" s="378"/>
      <c r="M354" s="378"/>
      <c r="N354" s="378"/>
      <c r="O354" s="378"/>
      <c r="P354" s="378"/>
      <c r="Q354" s="378"/>
      <c r="R354" s="378"/>
      <c r="S354" s="378"/>
      <c r="T354" s="378"/>
      <c r="U354" s="378"/>
      <c r="V354" s="378"/>
      <c r="W354" s="378"/>
      <c r="X354" s="378"/>
      <c r="Y354" s="378"/>
      <c r="Z354" s="378"/>
      <c r="AA354" s="378"/>
      <c r="AB354" s="378"/>
      <c r="AC354" s="378"/>
      <c r="AD354" s="378"/>
      <c r="AE354" s="378"/>
      <c r="AF354" s="378"/>
      <c r="AG354" s="378"/>
      <c r="AH354" s="378"/>
      <c r="AI354" s="378"/>
      <c r="AJ354" s="378"/>
      <c r="AK354" s="378"/>
      <c r="AL354" s="378"/>
      <c r="AM354" s="378"/>
      <c r="AN354" s="378"/>
      <c r="AO354" s="378"/>
      <c r="AP354" s="378"/>
      <c r="AQ354" s="378"/>
      <c r="AR354" s="378"/>
      <c r="AS354" s="378"/>
      <c r="AT354" s="378"/>
      <c r="AU354" s="378"/>
      <c r="AV354" s="378"/>
      <c r="AW354" s="378"/>
      <c r="AX354" s="378"/>
      <c r="AY354" s="378"/>
      <c r="AZ354" s="378"/>
    </row>
    <row r="355" spans="1:52" hidden="1" x14ac:dyDescent="0.25">
      <c r="A355" s="378"/>
      <c r="B355" s="378"/>
      <c r="C355" s="378"/>
      <c r="D355" s="378"/>
      <c r="E355" s="378"/>
      <c r="F355" s="378"/>
      <c r="G355" s="378"/>
      <c r="H355" s="378"/>
      <c r="I355" s="378"/>
      <c r="J355" s="378"/>
      <c r="K355" s="378"/>
      <c r="L355" s="378"/>
      <c r="M355" s="378"/>
      <c r="N355" s="378"/>
      <c r="O355" s="378"/>
      <c r="P355" s="378"/>
      <c r="Q355" s="378"/>
      <c r="R355" s="378"/>
      <c r="S355" s="378"/>
      <c r="T355" s="378"/>
      <c r="U355" s="378"/>
      <c r="V355" s="378"/>
      <c r="W355" s="378"/>
      <c r="X355" s="378"/>
      <c r="Y355" s="378"/>
      <c r="Z355" s="378"/>
      <c r="AA355" s="378"/>
      <c r="AB355" s="378"/>
      <c r="AC355" s="378"/>
      <c r="AD355" s="378"/>
      <c r="AE355" s="378"/>
      <c r="AF355" s="378"/>
      <c r="AG355" s="378"/>
      <c r="AH355" s="378"/>
      <c r="AI355" s="378"/>
      <c r="AJ355" s="378"/>
      <c r="AK355" s="378"/>
      <c r="AL355" s="378"/>
      <c r="AM355" s="378"/>
      <c r="AN355" s="378"/>
      <c r="AO355" s="378"/>
      <c r="AP355" s="378"/>
      <c r="AQ355" s="378"/>
      <c r="AR355" s="378"/>
      <c r="AS355" s="378"/>
      <c r="AT355" s="378"/>
      <c r="AU355" s="378"/>
      <c r="AV355" s="378"/>
      <c r="AW355" s="378"/>
      <c r="AX355" s="378"/>
      <c r="AY355" s="378"/>
      <c r="AZ355" s="378"/>
    </row>
    <row r="356" spans="1:52" hidden="1" x14ac:dyDescent="0.25">
      <c r="A356" s="378"/>
      <c r="B356" s="378"/>
      <c r="C356" s="378"/>
      <c r="D356" s="378"/>
      <c r="E356" s="378"/>
      <c r="F356" s="378"/>
      <c r="G356" s="378"/>
      <c r="H356" s="378"/>
      <c r="I356" s="378"/>
      <c r="J356" s="378"/>
      <c r="K356" s="378"/>
      <c r="L356" s="378"/>
      <c r="M356" s="378"/>
      <c r="N356" s="378"/>
      <c r="O356" s="378"/>
      <c r="P356" s="378"/>
      <c r="Q356" s="378"/>
      <c r="R356" s="378"/>
      <c r="S356" s="378"/>
      <c r="T356" s="378"/>
      <c r="U356" s="378"/>
      <c r="V356" s="378"/>
      <c r="W356" s="378"/>
      <c r="X356" s="378"/>
      <c r="Y356" s="378"/>
      <c r="Z356" s="378"/>
      <c r="AA356" s="378"/>
      <c r="AB356" s="378"/>
      <c r="AC356" s="378"/>
      <c r="AD356" s="378"/>
      <c r="AE356" s="378"/>
      <c r="AF356" s="378"/>
      <c r="AG356" s="378"/>
      <c r="AH356" s="378"/>
      <c r="AI356" s="378"/>
      <c r="AJ356" s="378"/>
      <c r="AK356" s="378"/>
      <c r="AL356" s="378"/>
      <c r="AM356" s="378"/>
      <c r="AN356" s="378"/>
      <c r="AO356" s="378"/>
      <c r="AP356" s="378"/>
      <c r="AQ356" s="378"/>
      <c r="AR356" s="378"/>
      <c r="AS356" s="378"/>
      <c r="AT356" s="378"/>
      <c r="AU356" s="378"/>
      <c r="AV356" s="378"/>
      <c r="AW356" s="378"/>
      <c r="AX356" s="378"/>
      <c r="AY356" s="378"/>
      <c r="AZ356" s="378"/>
    </row>
    <row r="357" spans="1:52" hidden="1" x14ac:dyDescent="0.25">
      <c r="A357" s="378"/>
      <c r="B357" s="378"/>
      <c r="C357" s="378"/>
      <c r="D357" s="378"/>
      <c r="E357" s="378"/>
      <c r="F357" s="378"/>
      <c r="G357" s="378"/>
      <c r="H357" s="378"/>
      <c r="I357" s="378"/>
      <c r="J357" s="378"/>
      <c r="K357" s="378"/>
      <c r="L357" s="378"/>
      <c r="M357" s="378"/>
      <c r="N357" s="378"/>
      <c r="O357" s="378"/>
      <c r="P357" s="378"/>
      <c r="Q357" s="378"/>
      <c r="R357" s="378"/>
      <c r="S357" s="378"/>
      <c r="T357" s="378"/>
      <c r="U357" s="378"/>
      <c r="V357" s="378"/>
      <c r="W357" s="378"/>
      <c r="X357" s="378"/>
      <c r="Y357" s="378"/>
      <c r="Z357" s="378"/>
      <c r="AA357" s="378"/>
      <c r="AB357" s="378"/>
      <c r="AC357" s="378"/>
      <c r="AD357" s="378"/>
      <c r="AE357" s="378"/>
      <c r="AF357" s="378"/>
      <c r="AG357" s="378"/>
      <c r="AH357" s="378"/>
      <c r="AI357" s="378"/>
      <c r="AJ357" s="378"/>
      <c r="AK357" s="378"/>
      <c r="AL357" s="378"/>
      <c r="AM357" s="378"/>
      <c r="AN357" s="378"/>
      <c r="AO357" s="378"/>
      <c r="AP357" s="378"/>
      <c r="AQ357" s="378"/>
      <c r="AR357" s="378"/>
      <c r="AS357" s="378"/>
      <c r="AT357" s="378"/>
      <c r="AU357" s="378"/>
      <c r="AV357" s="378"/>
      <c r="AW357" s="378"/>
      <c r="AX357" s="378"/>
      <c r="AY357" s="378"/>
      <c r="AZ357" s="378"/>
    </row>
    <row r="358" spans="1:52" hidden="1" x14ac:dyDescent="0.25">
      <c r="A358" s="378"/>
      <c r="B358" s="378"/>
      <c r="C358" s="378"/>
      <c r="D358" s="378"/>
      <c r="E358" s="378"/>
      <c r="F358" s="378"/>
      <c r="G358" s="378"/>
      <c r="H358" s="378"/>
      <c r="I358" s="378"/>
      <c r="J358" s="378"/>
      <c r="K358" s="378"/>
      <c r="L358" s="378"/>
      <c r="M358" s="378"/>
      <c r="N358" s="378"/>
      <c r="O358" s="378"/>
      <c r="P358" s="378"/>
      <c r="Q358" s="378"/>
      <c r="R358" s="378"/>
      <c r="S358" s="378"/>
      <c r="T358" s="378"/>
      <c r="U358" s="378"/>
      <c r="V358" s="378"/>
      <c r="W358" s="378"/>
      <c r="X358" s="378"/>
      <c r="Y358" s="378"/>
      <c r="Z358" s="378"/>
      <c r="AA358" s="378"/>
      <c r="AB358" s="378"/>
      <c r="AC358" s="378"/>
      <c r="AD358" s="378"/>
      <c r="AE358" s="378"/>
      <c r="AF358" s="378"/>
      <c r="AG358" s="378"/>
      <c r="AH358" s="378"/>
      <c r="AI358" s="378"/>
      <c r="AJ358" s="378"/>
      <c r="AK358" s="378"/>
      <c r="AL358" s="378"/>
      <c r="AM358" s="378"/>
      <c r="AN358" s="378"/>
      <c r="AO358" s="378"/>
      <c r="AP358" s="378"/>
      <c r="AQ358" s="378"/>
      <c r="AR358" s="378"/>
      <c r="AS358" s="378"/>
      <c r="AT358" s="378"/>
      <c r="AU358" s="378"/>
      <c r="AV358" s="378"/>
      <c r="AW358" s="378"/>
      <c r="AX358" s="378"/>
      <c r="AY358" s="378"/>
      <c r="AZ358" s="378"/>
    </row>
    <row r="359" spans="1:52" hidden="1" x14ac:dyDescent="0.25">
      <c r="A359" s="378"/>
      <c r="B359" s="378"/>
      <c r="C359" s="378"/>
      <c r="D359" s="378"/>
      <c r="E359" s="378"/>
      <c r="F359" s="378"/>
      <c r="G359" s="378"/>
      <c r="H359" s="378"/>
      <c r="I359" s="378"/>
      <c r="J359" s="378"/>
      <c r="K359" s="378"/>
      <c r="L359" s="378"/>
      <c r="M359" s="378"/>
      <c r="N359" s="378"/>
      <c r="O359" s="378"/>
      <c r="P359" s="378"/>
      <c r="Q359" s="378"/>
      <c r="R359" s="378"/>
      <c r="S359" s="378"/>
      <c r="T359" s="378"/>
      <c r="U359" s="378"/>
      <c r="V359" s="378"/>
      <c r="W359" s="378"/>
      <c r="X359" s="378"/>
      <c r="Y359" s="378"/>
      <c r="Z359" s="378"/>
      <c r="AA359" s="378"/>
      <c r="AB359" s="378"/>
      <c r="AC359" s="378"/>
      <c r="AD359" s="378"/>
      <c r="AE359" s="378"/>
      <c r="AF359" s="378"/>
      <c r="AG359" s="378"/>
      <c r="AH359" s="378"/>
      <c r="AI359" s="378"/>
      <c r="AJ359" s="378"/>
      <c r="AK359" s="378"/>
      <c r="AL359" s="378"/>
      <c r="AM359" s="378"/>
      <c r="AN359" s="378"/>
      <c r="AO359" s="378"/>
      <c r="AP359" s="378"/>
      <c r="AQ359" s="378"/>
      <c r="AR359" s="378"/>
      <c r="AS359" s="378"/>
      <c r="AT359" s="378"/>
      <c r="AU359" s="378"/>
      <c r="AV359" s="378"/>
      <c r="AW359" s="378"/>
      <c r="AX359" s="378"/>
      <c r="AY359" s="378"/>
      <c r="AZ359" s="378"/>
    </row>
    <row r="360" spans="1:52" hidden="1" x14ac:dyDescent="0.25">
      <c r="A360" s="378"/>
      <c r="B360" s="378"/>
      <c r="C360" s="378"/>
      <c r="D360" s="378"/>
      <c r="E360" s="378"/>
      <c r="F360" s="378"/>
      <c r="G360" s="378"/>
      <c r="H360" s="378"/>
      <c r="I360" s="378"/>
      <c r="J360" s="378"/>
      <c r="K360" s="378"/>
      <c r="L360" s="378"/>
      <c r="M360" s="378"/>
      <c r="N360" s="378"/>
      <c r="O360" s="378"/>
      <c r="P360" s="378"/>
      <c r="Q360" s="378"/>
      <c r="R360" s="378"/>
      <c r="S360" s="378"/>
      <c r="T360" s="378"/>
      <c r="U360" s="378"/>
      <c r="V360" s="378"/>
      <c r="W360" s="378"/>
      <c r="X360" s="378"/>
      <c r="Y360" s="378"/>
      <c r="Z360" s="378"/>
      <c r="AA360" s="378"/>
      <c r="AB360" s="378"/>
      <c r="AC360" s="378"/>
      <c r="AD360" s="378"/>
      <c r="AE360" s="378"/>
      <c r="AF360" s="378"/>
      <c r="AG360" s="378"/>
      <c r="AH360" s="378"/>
      <c r="AI360" s="378"/>
      <c r="AJ360" s="378"/>
      <c r="AK360" s="378"/>
      <c r="AL360" s="378"/>
      <c r="AM360" s="378"/>
      <c r="AN360" s="378"/>
      <c r="AO360" s="378"/>
      <c r="AP360" s="378"/>
      <c r="AQ360" s="378"/>
      <c r="AR360" s="378"/>
      <c r="AS360" s="378"/>
      <c r="AT360" s="378"/>
      <c r="AU360" s="378"/>
      <c r="AV360" s="378"/>
      <c r="AW360" s="378"/>
      <c r="AX360" s="378"/>
      <c r="AY360" s="378"/>
      <c r="AZ360" s="378"/>
    </row>
    <row r="361" spans="1:52" hidden="1" x14ac:dyDescent="0.25">
      <c r="A361" s="378"/>
      <c r="B361" s="378"/>
      <c r="C361" s="378"/>
      <c r="D361" s="378"/>
      <c r="E361" s="378"/>
      <c r="F361" s="378"/>
      <c r="G361" s="378"/>
      <c r="H361" s="378"/>
      <c r="I361" s="378"/>
      <c r="J361" s="378"/>
      <c r="K361" s="378"/>
      <c r="L361" s="378"/>
      <c r="M361" s="378"/>
      <c r="N361" s="378"/>
      <c r="O361" s="378"/>
      <c r="P361" s="378"/>
      <c r="Q361" s="378"/>
      <c r="R361" s="378"/>
      <c r="S361" s="378"/>
      <c r="T361" s="378"/>
      <c r="U361" s="378"/>
      <c r="V361" s="378"/>
      <c r="W361" s="378"/>
      <c r="X361" s="378"/>
      <c r="Y361" s="378"/>
      <c r="Z361" s="378"/>
      <c r="AA361" s="378"/>
      <c r="AB361" s="378"/>
      <c r="AC361" s="378"/>
      <c r="AD361" s="378"/>
      <c r="AE361" s="378"/>
      <c r="AF361" s="378"/>
      <c r="AG361" s="378"/>
      <c r="AH361" s="378"/>
      <c r="AI361" s="378"/>
      <c r="AJ361" s="378"/>
      <c r="AK361" s="378"/>
      <c r="AL361" s="378"/>
      <c r="AM361" s="378"/>
      <c r="AN361" s="378"/>
      <c r="AO361" s="378"/>
      <c r="AP361" s="378"/>
      <c r="AQ361" s="378"/>
      <c r="AR361" s="378"/>
      <c r="AS361" s="378"/>
      <c r="AT361" s="378"/>
      <c r="AU361" s="378"/>
      <c r="AV361" s="378"/>
      <c r="AW361" s="378"/>
      <c r="AX361" s="378"/>
      <c r="AY361" s="378"/>
      <c r="AZ361" s="378"/>
    </row>
    <row r="362" spans="1:52" hidden="1" x14ac:dyDescent="0.25">
      <c r="A362" s="378"/>
      <c r="B362" s="378"/>
      <c r="C362" s="378"/>
      <c r="D362" s="378"/>
      <c r="E362" s="378"/>
      <c r="F362" s="378"/>
      <c r="G362" s="378"/>
      <c r="H362" s="378"/>
      <c r="I362" s="378"/>
      <c r="J362" s="378"/>
      <c r="K362" s="378"/>
      <c r="L362" s="378"/>
      <c r="M362" s="378"/>
      <c r="N362" s="378"/>
      <c r="O362" s="378"/>
      <c r="P362" s="378"/>
      <c r="Q362" s="378"/>
      <c r="R362" s="378"/>
      <c r="S362" s="378"/>
      <c r="T362" s="378"/>
      <c r="U362" s="378"/>
      <c r="V362" s="378"/>
      <c r="W362" s="378"/>
      <c r="X362" s="378"/>
      <c r="Y362" s="378"/>
      <c r="Z362" s="378"/>
      <c r="AA362" s="378"/>
      <c r="AB362" s="378"/>
      <c r="AC362" s="378"/>
      <c r="AD362" s="378"/>
      <c r="AE362" s="378"/>
      <c r="AF362" s="378"/>
      <c r="AG362" s="378"/>
      <c r="AH362" s="378"/>
      <c r="AI362" s="378"/>
      <c r="AJ362" s="378"/>
      <c r="AK362" s="378"/>
      <c r="AL362" s="378"/>
      <c r="AM362" s="378"/>
      <c r="AN362" s="378"/>
      <c r="AO362" s="378"/>
      <c r="AP362" s="378"/>
      <c r="AQ362" s="378"/>
      <c r="AR362" s="378"/>
      <c r="AS362" s="378"/>
      <c r="AT362" s="378"/>
      <c r="AU362" s="378"/>
      <c r="AV362" s="378"/>
      <c r="AW362" s="378"/>
      <c r="AX362" s="378"/>
      <c r="AY362" s="378"/>
      <c r="AZ362" s="378"/>
    </row>
    <row r="363" spans="1:52" hidden="1" x14ac:dyDescent="0.25">
      <c r="A363" s="378"/>
      <c r="B363" s="378"/>
      <c r="C363" s="378"/>
      <c r="D363" s="378"/>
      <c r="E363" s="378"/>
      <c r="F363" s="378"/>
      <c r="G363" s="378"/>
      <c r="H363" s="378"/>
      <c r="I363" s="378"/>
      <c r="J363" s="378"/>
      <c r="K363" s="378"/>
      <c r="L363" s="378"/>
      <c r="M363" s="378"/>
      <c r="N363" s="378"/>
      <c r="O363" s="378"/>
      <c r="P363" s="378"/>
      <c r="Q363" s="378"/>
      <c r="R363" s="378"/>
      <c r="S363" s="378"/>
      <c r="T363" s="378"/>
      <c r="U363" s="378"/>
      <c r="V363" s="378"/>
      <c r="W363" s="378"/>
      <c r="X363" s="378"/>
      <c r="Y363" s="378"/>
      <c r="Z363" s="378"/>
      <c r="AA363" s="378"/>
      <c r="AB363" s="378"/>
      <c r="AC363" s="378"/>
      <c r="AD363" s="378"/>
      <c r="AE363" s="378"/>
      <c r="AF363" s="378"/>
      <c r="AG363" s="378"/>
      <c r="AH363" s="378"/>
      <c r="AI363" s="378"/>
      <c r="AJ363" s="378"/>
      <c r="AK363" s="378"/>
      <c r="AL363" s="378"/>
      <c r="AM363" s="378"/>
      <c r="AN363" s="378"/>
      <c r="AO363" s="378"/>
      <c r="AP363" s="378"/>
      <c r="AQ363" s="378"/>
      <c r="AR363" s="378"/>
      <c r="AS363" s="378"/>
      <c r="AT363" s="378"/>
      <c r="AU363" s="378"/>
      <c r="AV363" s="378"/>
      <c r="AW363" s="378"/>
      <c r="AX363" s="378"/>
      <c r="AY363" s="378"/>
      <c r="AZ363" s="378"/>
    </row>
    <row r="364" spans="1:52" hidden="1" x14ac:dyDescent="0.25">
      <c r="A364" s="378"/>
      <c r="B364" s="378"/>
      <c r="C364" s="378"/>
      <c r="D364" s="378"/>
      <c r="E364" s="378"/>
      <c r="F364" s="378"/>
      <c r="G364" s="378"/>
      <c r="H364" s="378"/>
      <c r="I364" s="378"/>
      <c r="J364" s="378"/>
      <c r="K364" s="378"/>
      <c r="L364" s="378"/>
      <c r="M364" s="378"/>
      <c r="N364" s="378"/>
      <c r="O364" s="378"/>
      <c r="P364" s="378"/>
      <c r="Q364" s="378"/>
      <c r="R364" s="378"/>
      <c r="S364" s="378"/>
      <c r="T364" s="378"/>
      <c r="U364" s="378"/>
      <c r="V364" s="378"/>
      <c r="W364" s="378"/>
      <c r="X364" s="378"/>
      <c r="Y364" s="378"/>
      <c r="Z364" s="378"/>
      <c r="AA364" s="378"/>
      <c r="AB364" s="378"/>
      <c r="AC364" s="378"/>
      <c r="AD364" s="378"/>
      <c r="AE364" s="378"/>
      <c r="AF364" s="378"/>
      <c r="AG364" s="378"/>
      <c r="AH364" s="378"/>
      <c r="AI364" s="378"/>
      <c r="AJ364" s="378"/>
      <c r="AK364" s="378"/>
      <c r="AL364" s="378"/>
      <c r="AM364" s="378"/>
      <c r="AN364" s="378"/>
      <c r="AO364" s="378"/>
      <c r="AP364" s="378"/>
      <c r="AQ364" s="378"/>
      <c r="AR364" s="378"/>
      <c r="AS364" s="378"/>
      <c r="AT364" s="378"/>
      <c r="AU364" s="378"/>
      <c r="AV364" s="378"/>
      <c r="AW364" s="378"/>
      <c r="AX364" s="378"/>
      <c r="AY364" s="378"/>
      <c r="AZ364" s="378"/>
    </row>
    <row r="365" spans="1:52" hidden="1" x14ac:dyDescent="0.25">
      <c r="A365" s="378"/>
      <c r="B365" s="378"/>
      <c r="C365" s="378"/>
      <c r="D365" s="378"/>
      <c r="E365" s="378"/>
      <c r="F365" s="378"/>
      <c r="G365" s="378"/>
      <c r="H365" s="378"/>
      <c r="I365" s="378"/>
      <c r="J365" s="378"/>
      <c r="K365" s="378"/>
      <c r="L365" s="378"/>
      <c r="M365" s="378"/>
      <c r="N365" s="378"/>
      <c r="O365" s="378"/>
      <c r="P365" s="378"/>
      <c r="Q365" s="378"/>
      <c r="R365" s="378"/>
      <c r="S365" s="378"/>
      <c r="T365" s="378"/>
      <c r="U365" s="378"/>
      <c r="V365" s="378"/>
      <c r="W365" s="378"/>
      <c r="X365" s="378"/>
      <c r="Y365" s="378"/>
      <c r="Z365" s="378"/>
      <c r="AA365" s="378"/>
      <c r="AB365" s="378"/>
      <c r="AC365" s="378"/>
      <c r="AD365" s="378"/>
      <c r="AE365" s="378"/>
      <c r="AF365" s="378"/>
      <c r="AG365" s="378"/>
      <c r="AH365" s="378"/>
      <c r="AI365" s="378"/>
      <c r="AJ365" s="378"/>
      <c r="AK365" s="378"/>
      <c r="AL365" s="378"/>
      <c r="AM365" s="378"/>
      <c r="AN365" s="378"/>
      <c r="AO365" s="378"/>
      <c r="AP365" s="378"/>
      <c r="AQ365" s="378"/>
      <c r="AR365" s="378"/>
      <c r="AS365" s="378"/>
      <c r="AT365" s="378"/>
      <c r="AU365" s="378"/>
      <c r="AV365" s="378"/>
      <c r="AW365" s="378"/>
      <c r="AX365" s="378"/>
      <c r="AY365" s="378"/>
      <c r="AZ365" s="378"/>
    </row>
    <row r="366" spans="1:52" hidden="1" x14ac:dyDescent="0.25">
      <c r="A366" s="378"/>
      <c r="B366" s="378"/>
      <c r="C366" s="378"/>
      <c r="D366" s="378"/>
      <c r="E366" s="378"/>
      <c r="F366" s="378"/>
      <c r="G366" s="378"/>
      <c r="H366" s="378"/>
      <c r="I366" s="378"/>
      <c r="J366" s="378"/>
      <c r="K366" s="378"/>
      <c r="L366" s="378"/>
      <c r="M366" s="378"/>
      <c r="N366" s="378"/>
      <c r="O366" s="378"/>
      <c r="P366" s="378"/>
      <c r="Q366" s="378"/>
      <c r="R366" s="378"/>
      <c r="S366" s="378"/>
      <c r="T366" s="378"/>
      <c r="U366" s="378"/>
      <c r="V366" s="378"/>
      <c r="W366" s="378"/>
      <c r="X366" s="378"/>
      <c r="Y366" s="378"/>
      <c r="Z366" s="378"/>
      <c r="AA366" s="378"/>
      <c r="AB366" s="378"/>
      <c r="AC366" s="378"/>
      <c r="AD366" s="378"/>
      <c r="AE366" s="378"/>
      <c r="AF366" s="378"/>
      <c r="AG366" s="378"/>
      <c r="AH366" s="378"/>
      <c r="AI366" s="378"/>
      <c r="AJ366" s="378"/>
      <c r="AK366" s="378"/>
      <c r="AL366" s="378"/>
      <c r="AM366" s="378"/>
      <c r="AN366" s="378"/>
      <c r="AO366" s="378"/>
      <c r="AP366" s="378"/>
      <c r="AQ366" s="378"/>
      <c r="AR366" s="378"/>
      <c r="AS366" s="378"/>
      <c r="AT366" s="378"/>
      <c r="AU366" s="378"/>
      <c r="AV366" s="378"/>
      <c r="AW366" s="378"/>
      <c r="AX366" s="378"/>
      <c r="AY366" s="378"/>
      <c r="AZ366" s="378"/>
    </row>
    <row r="367" spans="1:52" hidden="1" x14ac:dyDescent="0.25">
      <c r="A367" s="378"/>
      <c r="B367" s="378"/>
      <c r="C367" s="378"/>
      <c r="D367" s="378"/>
      <c r="E367" s="378"/>
      <c r="F367" s="378"/>
      <c r="G367" s="378"/>
      <c r="H367" s="378"/>
      <c r="I367" s="378"/>
      <c r="J367" s="378"/>
      <c r="K367" s="378"/>
      <c r="L367" s="378"/>
      <c r="M367" s="378"/>
      <c r="N367" s="378"/>
      <c r="O367" s="378"/>
      <c r="P367" s="378"/>
      <c r="Q367" s="378"/>
      <c r="R367" s="378"/>
      <c r="S367" s="378"/>
      <c r="T367" s="378"/>
      <c r="U367" s="378"/>
      <c r="V367" s="378"/>
      <c r="W367" s="378"/>
      <c r="X367" s="378"/>
      <c r="Y367" s="378"/>
      <c r="Z367" s="378"/>
      <c r="AA367" s="378"/>
      <c r="AB367" s="378"/>
      <c r="AC367" s="378"/>
      <c r="AD367" s="378"/>
      <c r="AE367" s="378"/>
      <c r="AF367" s="378"/>
      <c r="AG367" s="378"/>
      <c r="AH367" s="378"/>
      <c r="AI367" s="378"/>
      <c r="AJ367" s="378"/>
      <c r="AK367" s="378"/>
      <c r="AL367" s="378"/>
      <c r="AM367" s="378"/>
      <c r="AN367" s="378"/>
      <c r="AO367" s="378"/>
      <c r="AP367" s="378"/>
      <c r="AQ367" s="378"/>
      <c r="AR367" s="378"/>
      <c r="AS367" s="378"/>
      <c r="AT367" s="378"/>
      <c r="AU367" s="378"/>
      <c r="AV367" s="378"/>
      <c r="AW367" s="378"/>
      <c r="AX367" s="378"/>
      <c r="AY367" s="378"/>
      <c r="AZ367" s="378"/>
    </row>
    <row r="368" spans="1:52" hidden="1" x14ac:dyDescent="0.25">
      <c r="A368" s="378"/>
      <c r="B368" s="378"/>
      <c r="C368" s="378"/>
      <c r="D368" s="378"/>
      <c r="E368" s="378"/>
      <c r="F368" s="378"/>
      <c r="G368" s="378"/>
      <c r="H368" s="378"/>
      <c r="I368" s="378"/>
      <c r="J368" s="378"/>
      <c r="K368" s="378"/>
      <c r="L368" s="378"/>
      <c r="M368" s="378"/>
      <c r="N368" s="378"/>
      <c r="O368" s="378"/>
      <c r="P368" s="378"/>
      <c r="Q368" s="378"/>
      <c r="R368" s="378"/>
      <c r="S368" s="378"/>
      <c r="T368" s="378"/>
      <c r="U368" s="378"/>
      <c r="V368" s="378"/>
      <c r="W368" s="378"/>
      <c r="X368" s="378"/>
      <c r="Y368" s="378"/>
      <c r="Z368" s="378"/>
      <c r="AA368" s="378"/>
      <c r="AB368" s="378"/>
      <c r="AC368" s="378"/>
      <c r="AD368" s="378"/>
      <c r="AE368" s="378"/>
      <c r="AF368" s="378"/>
      <c r="AG368" s="378"/>
      <c r="AH368" s="378"/>
      <c r="AI368" s="378"/>
      <c r="AJ368" s="378"/>
      <c r="AK368" s="378"/>
      <c r="AL368" s="378"/>
      <c r="AM368" s="378"/>
      <c r="AN368" s="378"/>
      <c r="AO368" s="378"/>
      <c r="AP368" s="378"/>
      <c r="AQ368" s="378"/>
      <c r="AR368" s="378"/>
      <c r="AS368" s="378"/>
      <c r="AT368" s="378"/>
      <c r="AU368" s="378"/>
      <c r="AV368" s="378"/>
      <c r="AW368" s="378"/>
      <c r="AX368" s="378"/>
      <c r="AY368" s="378"/>
      <c r="AZ368" s="378"/>
    </row>
    <row r="369" spans="1:52" hidden="1" x14ac:dyDescent="0.25">
      <c r="A369" s="378"/>
      <c r="B369" s="378"/>
      <c r="C369" s="378"/>
      <c r="D369" s="378"/>
      <c r="E369" s="378"/>
      <c r="F369" s="378"/>
      <c r="G369" s="378"/>
      <c r="H369" s="378"/>
      <c r="I369" s="378"/>
      <c r="J369" s="378"/>
      <c r="K369" s="378"/>
      <c r="L369" s="378"/>
      <c r="M369" s="378"/>
      <c r="N369" s="378"/>
      <c r="O369" s="378"/>
      <c r="P369" s="378"/>
      <c r="Q369" s="378"/>
      <c r="R369" s="378"/>
      <c r="S369" s="378"/>
      <c r="T369" s="378"/>
      <c r="U369" s="378"/>
      <c r="V369" s="378"/>
      <c r="W369" s="378"/>
      <c r="X369" s="378"/>
      <c r="Y369" s="378"/>
      <c r="Z369" s="378"/>
      <c r="AA369" s="378"/>
      <c r="AB369" s="378"/>
      <c r="AC369" s="378"/>
      <c r="AD369" s="378"/>
      <c r="AE369" s="378"/>
      <c r="AF369" s="378"/>
      <c r="AG369" s="378"/>
      <c r="AH369" s="378"/>
      <c r="AI369" s="378"/>
      <c r="AJ369" s="378"/>
      <c r="AK369" s="378"/>
      <c r="AL369" s="378"/>
      <c r="AM369" s="378"/>
      <c r="AN369" s="378"/>
      <c r="AO369" s="378"/>
      <c r="AP369" s="378"/>
      <c r="AQ369" s="378"/>
      <c r="AR369" s="378"/>
      <c r="AS369" s="378"/>
      <c r="AT369" s="378"/>
      <c r="AU369" s="378"/>
      <c r="AV369" s="378"/>
      <c r="AW369" s="378"/>
      <c r="AX369" s="378"/>
      <c r="AY369" s="378"/>
      <c r="AZ369" s="378"/>
    </row>
    <row r="370" spans="1:52" hidden="1" x14ac:dyDescent="0.25">
      <c r="A370" s="378"/>
      <c r="B370" s="378"/>
      <c r="C370" s="378"/>
      <c r="D370" s="378"/>
      <c r="E370" s="378"/>
      <c r="F370" s="378"/>
      <c r="G370" s="378"/>
      <c r="H370" s="378"/>
      <c r="I370" s="378"/>
      <c r="J370" s="378"/>
      <c r="K370" s="378"/>
      <c r="L370" s="378"/>
      <c r="M370" s="378"/>
      <c r="N370" s="378"/>
      <c r="O370" s="378"/>
      <c r="P370" s="378"/>
      <c r="Q370" s="378"/>
      <c r="R370" s="378"/>
      <c r="S370" s="378"/>
      <c r="T370" s="378"/>
      <c r="U370" s="378"/>
      <c r="V370" s="378"/>
      <c r="W370" s="378"/>
      <c r="X370" s="378"/>
      <c r="Y370" s="378"/>
      <c r="Z370" s="378"/>
      <c r="AA370" s="378"/>
      <c r="AB370" s="378"/>
      <c r="AC370" s="378"/>
      <c r="AD370" s="378"/>
      <c r="AE370" s="378"/>
      <c r="AF370" s="378"/>
      <c r="AG370" s="378"/>
      <c r="AH370" s="378"/>
      <c r="AI370" s="378"/>
      <c r="AJ370" s="378"/>
      <c r="AK370" s="378"/>
      <c r="AL370" s="378"/>
      <c r="AM370" s="378"/>
      <c r="AN370" s="378"/>
      <c r="AO370" s="378"/>
      <c r="AP370" s="378"/>
      <c r="AQ370" s="378"/>
      <c r="AR370" s="378"/>
      <c r="AS370" s="378"/>
      <c r="AT370" s="378"/>
      <c r="AU370" s="378"/>
      <c r="AV370" s="378"/>
      <c r="AW370" s="378"/>
      <c r="AX370" s="378"/>
      <c r="AY370" s="378"/>
      <c r="AZ370" s="378"/>
    </row>
    <row r="371" spans="1:52" hidden="1" x14ac:dyDescent="0.25">
      <c r="A371" s="378"/>
      <c r="B371" s="378"/>
      <c r="C371" s="378"/>
      <c r="D371" s="378"/>
      <c r="E371" s="378"/>
      <c r="F371" s="378"/>
      <c r="G371" s="378"/>
      <c r="H371" s="378"/>
      <c r="I371" s="378"/>
      <c r="J371" s="378"/>
      <c r="K371" s="378"/>
      <c r="L371" s="378"/>
      <c r="M371" s="378"/>
      <c r="N371" s="378"/>
      <c r="O371" s="378"/>
      <c r="P371" s="378"/>
      <c r="Q371" s="378"/>
      <c r="R371" s="378"/>
      <c r="S371" s="378"/>
      <c r="T371" s="378"/>
      <c r="U371" s="378"/>
      <c r="V371" s="378"/>
      <c r="W371" s="378"/>
      <c r="X371" s="378"/>
      <c r="Y371" s="378"/>
      <c r="Z371" s="378"/>
      <c r="AA371" s="378"/>
      <c r="AB371" s="378"/>
      <c r="AC371" s="378"/>
      <c r="AD371" s="378"/>
      <c r="AE371" s="378"/>
      <c r="AF371" s="378"/>
      <c r="AG371" s="378"/>
      <c r="AH371" s="378"/>
      <c r="AI371" s="378"/>
      <c r="AJ371" s="378"/>
      <c r="AK371" s="378"/>
      <c r="AL371" s="378"/>
      <c r="AM371" s="378"/>
      <c r="AN371" s="378"/>
      <c r="AO371" s="378"/>
      <c r="AP371" s="378"/>
      <c r="AQ371" s="378"/>
      <c r="AR371" s="378"/>
      <c r="AS371" s="378"/>
      <c r="AT371" s="378"/>
      <c r="AU371" s="378"/>
      <c r="AV371" s="378"/>
      <c r="AW371" s="378"/>
      <c r="AX371" s="378"/>
      <c r="AY371" s="378"/>
      <c r="AZ371" s="378"/>
    </row>
    <row r="372" spans="1:52" hidden="1" x14ac:dyDescent="0.25">
      <c r="A372" s="378"/>
      <c r="B372" s="378"/>
      <c r="C372" s="378"/>
      <c r="D372" s="378"/>
      <c r="E372" s="378"/>
      <c r="F372" s="378"/>
      <c r="G372" s="378"/>
      <c r="H372" s="378"/>
      <c r="I372" s="378"/>
      <c r="J372" s="378"/>
      <c r="K372" s="378"/>
      <c r="L372" s="378"/>
      <c r="M372" s="378"/>
      <c r="N372" s="378"/>
      <c r="O372" s="378"/>
      <c r="P372" s="378"/>
      <c r="Q372" s="378"/>
      <c r="R372" s="378"/>
      <c r="S372" s="378"/>
      <c r="T372" s="378"/>
      <c r="U372" s="378"/>
      <c r="V372" s="378"/>
      <c r="W372" s="378"/>
      <c r="X372" s="378"/>
      <c r="Y372" s="378"/>
      <c r="Z372" s="378"/>
      <c r="AA372" s="378"/>
      <c r="AB372" s="378"/>
      <c r="AC372" s="378"/>
      <c r="AD372" s="378"/>
      <c r="AE372" s="378"/>
      <c r="AF372" s="378"/>
      <c r="AG372" s="378"/>
      <c r="AH372" s="378"/>
      <c r="AI372" s="378"/>
      <c r="AJ372" s="378"/>
      <c r="AK372" s="378"/>
      <c r="AL372" s="378"/>
      <c r="AM372" s="378"/>
      <c r="AN372" s="378"/>
      <c r="AO372" s="378"/>
      <c r="AP372" s="378"/>
      <c r="AQ372" s="378"/>
      <c r="AR372" s="378"/>
      <c r="AS372" s="378"/>
      <c r="AT372" s="378"/>
      <c r="AU372" s="378"/>
      <c r="AV372" s="378"/>
      <c r="AW372" s="378"/>
      <c r="AX372" s="378"/>
      <c r="AY372" s="378"/>
      <c r="AZ372" s="378"/>
    </row>
    <row r="373" spans="1:52" hidden="1" x14ac:dyDescent="0.25">
      <c r="A373" s="378"/>
      <c r="B373" s="378"/>
      <c r="C373" s="378"/>
      <c r="D373" s="378"/>
      <c r="E373" s="378"/>
      <c r="F373" s="378"/>
      <c r="G373" s="378"/>
      <c r="H373" s="378"/>
      <c r="I373" s="378"/>
      <c r="J373" s="378"/>
      <c r="K373" s="378"/>
      <c r="L373" s="378"/>
      <c r="M373" s="378"/>
      <c r="N373" s="378"/>
      <c r="O373" s="378"/>
      <c r="P373" s="378"/>
      <c r="Q373" s="378"/>
      <c r="R373" s="378"/>
      <c r="S373" s="378"/>
      <c r="T373" s="378"/>
      <c r="U373" s="378"/>
      <c r="V373" s="378"/>
      <c r="W373" s="378"/>
      <c r="X373" s="378"/>
      <c r="Y373" s="378"/>
      <c r="Z373" s="378"/>
      <c r="AA373" s="378"/>
      <c r="AB373" s="378"/>
      <c r="AC373" s="378"/>
      <c r="AD373" s="378"/>
      <c r="AE373" s="378"/>
      <c r="AF373" s="378"/>
      <c r="AG373" s="378"/>
      <c r="AH373" s="378"/>
      <c r="AI373" s="378"/>
      <c r="AJ373" s="378"/>
      <c r="AK373" s="378"/>
      <c r="AL373" s="378"/>
      <c r="AM373" s="378"/>
      <c r="AN373" s="378"/>
      <c r="AO373" s="378"/>
      <c r="AP373" s="378"/>
      <c r="AQ373" s="378"/>
      <c r="AR373" s="378"/>
      <c r="AS373" s="378"/>
      <c r="AT373" s="378"/>
      <c r="AU373" s="378"/>
      <c r="AV373" s="378"/>
      <c r="AW373" s="378"/>
      <c r="AX373" s="378"/>
      <c r="AY373" s="378"/>
      <c r="AZ373" s="378"/>
    </row>
    <row r="374" spans="1:52" hidden="1" x14ac:dyDescent="0.25">
      <c r="A374" s="378"/>
      <c r="B374" s="378"/>
      <c r="C374" s="378"/>
      <c r="D374" s="378"/>
      <c r="E374" s="378"/>
      <c r="F374" s="378"/>
      <c r="G374" s="378"/>
      <c r="H374" s="378"/>
      <c r="I374" s="378"/>
      <c r="J374" s="378"/>
      <c r="K374" s="378"/>
      <c r="L374" s="378"/>
      <c r="M374" s="378"/>
      <c r="N374" s="378"/>
      <c r="O374" s="378"/>
      <c r="P374" s="378"/>
      <c r="Q374" s="378"/>
      <c r="R374" s="378"/>
      <c r="S374" s="378"/>
      <c r="T374" s="378"/>
      <c r="U374" s="378"/>
      <c r="V374" s="378"/>
      <c r="W374" s="378"/>
      <c r="X374" s="378"/>
      <c r="Y374" s="378"/>
      <c r="Z374" s="378"/>
      <c r="AA374" s="378"/>
      <c r="AB374" s="378"/>
      <c r="AC374" s="378"/>
      <c r="AD374" s="378"/>
      <c r="AE374" s="378"/>
      <c r="AF374" s="378"/>
      <c r="AG374" s="378"/>
      <c r="AH374" s="378"/>
      <c r="AI374" s="378"/>
      <c r="AJ374" s="378"/>
      <c r="AK374" s="378"/>
      <c r="AL374" s="378"/>
      <c r="AM374" s="378"/>
      <c r="AN374" s="378"/>
      <c r="AO374" s="378"/>
      <c r="AP374" s="378"/>
      <c r="AQ374" s="378"/>
      <c r="AR374" s="378"/>
      <c r="AS374" s="378"/>
      <c r="AT374" s="378"/>
      <c r="AU374" s="378"/>
      <c r="AV374" s="378"/>
      <c r="AW374" s="378"/>
      <c r="AX374" s="378"/>
      <c r="AY374" s="378"/>
      <c r="AZ374" s="378"/>
    </row>
    <row r="375" spans="1:52" hidden="1" x14ac:dyDescent="0.25">
      <c r="A375" s="378"/>
      <c r="B375" s="378"/>
      <c r="C375" s="378"/>
      <c r="D375" s="378"/>
      <c r="E375" s="378"/>
      <c r="F375" s="378"/>
      <c r="G375" s="378"/>
      <c r="H375" s="378"/>
      <c r="I375" s="378"/>
      <c r="J375" s="378"/>
      <c r="K375" s="378"/>
      <c r="L375" s="378"/>
      <c r="M375" s="378"/>
      <c r="N375" s="378"/>
      <c r="O375" s="378"/>
      <c r="P375" s="378"/>
      <c r="Q375" s="378"/>
      <c r="R375" s="378"/>
      <c r="S375" s="378"/>
      <c r="T375" s="378"/>
      <c r="U375" s="378"/>
      <c r="V375" s="378"/>
      <c r="W375" s="378"/>
      <c r="X375" s="378"/>
      <c r="Y375" s="378"/>
      <c r="Z375" s="378"/>
      <c r="AA375" s="378"/>
      <c r="AB375" s="378"/>
      <c r="AC375" s="378"/>
      <c r="AD375" s="378"/>
      <c r="AE375" s="378"/>
      <c r="AF375" s="378"/>
      <c r="AG375" s="378"/>
      <c r="AH375" s="378"/>
      <c r="AI375" s="378"/>
      <c r="AJ375" s="378"/>
      <c r="AK375" s="378"/>
      <c r="AL375" s="378"/>
      <c r="AM375" s="378"/>
      <c r="AN375" s="378"/>
      <c r="AO375" s="378"/>
      <c r="AP375" s="378"/>
      <c r="AQ375" s="378"/>
      <c r="AR375" s="378"/>
      <c r="AS375" s="378"/>
      <c r="AT375" s="378"/>
      <c r="AU375" s="378"/>
      <c r="AV375" s="378"/>
      <c r="AW375" s="378"/>
      <c r="AX375" s="378"/>
      <c r="AY375" s="378"/>
      <c r="AZ375" s="378"/>
    </row>
    <row r="376" spans="1:52" hidden="1" x14ac:dyDescent="0.25">
      <c r="A376" s="378"/>
      <c r="B376" s="378"/>
      <c r="C376" s="378"/>
      <c r="D376" s="378"/>
      <c r="E376" s="378"/>
      <c r="F376" s="378"/>
      <c r="G376" s="378"/>
      <c r="H376" s="378"/>
      <c r="I376" s="378"/>
      <c r="J376" s="378"/>
      <c r="K376" s="378"/>
      <c r="L376" s="378"/>
      <c r="M376" s="378"/>
      <c r="N376" s="378"/>
      <c r="O376" s="378"/>
      <c r="P376" s="378"/>
      <c r="Q376" s="378"/>
      <c r="R376" s="378"/>
      <c r="S376" s="378"/>
      <c r="T376" s="378"/>
      <c r="U376" s="378"/>
      <c r="V376" s="378"/>
      <c r="W376" s="378"/>
      <c r="X376" s="378"/>
      <c r="Y376" s="378"/>
      <c r="Z376" s="378"/>
      <c r="AA376" s="378"/>
      <c r="AB376" s="378"/>
      <c r="AC376" s="378"/>
      <c r="AD376" s="378"/>
      <c r="AE376" s="378"/>
      <c r="AF376" s="378"/>
      <c r="AG376" s="378"/>
      <c r="AH376" s="378"/>
      <c r="AI376" s="378"/>
      <c r="AJ376" s="378"/>
      <c r="AK376" s="378"/>
      <c r="AL376" s="378"/>
      <c r="AM376" s="378"/>
      <c r="AN376" s="378"/>
      <c r="AO376" s="378"/>
      <c r="AP376" s="378"/>
      <c r="AQ376" s="378"/>
      <c r="AR376" s="378"/>
      <c r="AS376" s="378"/>
      <c r="AT376" s="378"/>
      <c r="AU376" s="378"/>
      <c r="AV376" s="378"/>
      <c r="AW376" s="378"/>
      <c r="AX376" s="378"/>
      <c r="AY376" s="378"/>
      <c r="AZ376" s="378"/>
    </row>
    <row r="377" spans="1:52" hidden="1" x14ac:dyDescent="0.25">
      <c r="A377" s="378"/>
      <c r="B377" s="378"/>
      <c r="C377" s="378"/>
      <c r="D377" s="378"/>
      <c r="E377" s="378"/>
      <c r="F377" s="378"/>
      <c r="G377" s="378"/>
      <c r="H377" s="378"/>
      <c r="I377" s="378"/>
      <c r="J377" s="378"/>
      <c r="K377" s="378"/>
      <c r="L377" s="378"/>
      <c r="M377" s="378"/>
      <c r="N377" s="378"/>
      <c r="O377" s="378"/>
      <c r="P377" s="378"/>
      <c r="Q377" s="378"/>
      <c r="R377" s="378"/>
      <c r="S377" s="378"/>
      <c r="T377" s="378"/>
      <c r="U377" s="378"/>
      <c r="V377" s="378"/>
      <c r="W377" s="378"/>
      <c r="X377" s="378"/>
      <c r="Y377" s="378"/>
      <c r="Z377" s="378"/>
      <c r="AA377" s="378"/>
      <c r="AB377" s="378"/>
      <c r="AC377" s="378"/>
      <c r="AD377" s="378"/>
      <c r="AE377" s="378"/>
      <c r="AF377" s="378"/>
      <c r="AG377" s="378"/>
      <c r="AH377" s="378"/>
      <c r="AI377" s="378"/>
      <c r="AJ377" s="378"/>
      <c r="AK377" s="378"/>
      <c r="AL377" s="378"/>
      <c r="AM377" s="378"/>
      <c r="AN377" s="378"/>
      <c r="AO377" s="378"/>
      <c r="AP377" s="378"/>
      <c r="AQ377" s="378"/>
      <c r="AR377" s="378"/>
      <c r="AS377" s="378"/>
      <c r="AT377" s="378"/>
      <c r="AU377" s="378"/>
      <c r="AV377" s="378"/>
      <c r="AW377" s="378"/>
      <c r="AX377" s="378"/>
      <c r="AY377" s="378"/>
      <c r="AZ377" s="378"/>
    </row>
    <row r="378" spans="1:52" hidden="1" x14ac:dyDescent="0.25">
      <c r="A378" s="378"/>
      <c r="B378" s="378"/>
      <c r="C378" s="378"/>
      <c r="D378" s="378"/>
      <c r="E378" s="378"/>
      <c r="F378" s="378"/>
      <c r="G378" s="378"/>
      <c r="H378" s="378"/>
      <c r="I378" s="378"/>
      <c r="J378" s="378"/>
      <c r="K378" s="378"/>
      <c r="L378" s="378"/>
      <c r="M378" s="378"/>
      <c r="N378" s="378"/>
      <c r="O378" s="378"/>
      <c r="P378" s="378"/>
      <c r="Q378" s="378"/>
      <c r="R378" s="378"/>
      <c r="S378" s="378"/>
      <c r="T378" s="378"/>
      <c r="U378" s="378"/>
      <c r="V378" s="378"/>
      <c r="W378" s="378"/>
      <c r="X378" s="378"/>
      <c r="Y378" s="378"/>
      <c r="Z378" s="378"/>
      <c r="AA378" s="378"/>
      <c r="AB378" s="378"/>
      <c r="AC378" s="378"/>
      <c r="AD378" s="378"/>
      <c r="AE378" s="378"/>
      <c r="AF378" s="378"/>
      <c r="AG378" s="378"/>
      <c r="AH378" s="378"/>
      <c r="AI378" s="378"/>
      <c r="AJ378" s="378"/>
      <c r="AK378" s="378"/>
      <c r="AL378" s="378"/>
      <c r="AM378" s="378"/>
      <c r="AN378" s="378"/>
      <c r="AO378" s="378"/>
      <c r="AP378" s="378"/>
      <c r="AQ378" s="378"/>
      <c r="AR378" s="378"/>
      <c r="AS378" s="378"/>
      <c r="AT378" s="378"/>
      <c r="AU378" s="378"/>
      <c r="AV378" s="378"/>
      <c r="AW378" s="378"/>
      <c r="AX378" s="378"/>
      <c r="AY378" s="378"/>
      <c r="AZ378" s="378"/>
    </row>
    <row r="379" spans="1:52" hidden="1" x14ac:dyDescent="0.25">
      <c r="A379" s="378"/>
      <c r="B379" s="378"/>
      <c r="C379" s="378"/>
      <c r="D379" s="378"/>
      <c r="E379" s="378"/>
      <c r="F379" s="378"/>
      <c r="G379" s="378"/>
      <c r="H379" s="378"/>
      <c r="I379" s="378"/>
      <c r="J379" s="378"/>
      <c r="K379" s="378"/>
      <c r="L379" s="378"/>
      <c r="M379" s="378"/>
      <c r="N379" s="378"/>
      <c r="O379" s="378"/>
      <c r="P379" s="378"/>
      <c r="Q379" s="378"/>
      <c r="R379" s="378"/>
      <c r="S379" s="378"/>
      <c r="T379" s="378"/>
      <c r="U379" s="378"/>
      <c r="V379" s="378"/>
      <c r="W379" s="378"/>
      <c r="X379" s="378"/>
      <c r="Y379" s="378"/>
      <c r="Z379" s="378"/>
      <c r="AA379" s="378"/>
      <c r="AB379" s="378"/>
      <c r="AC379" s="378"/>
      <c r="AD379" s="378"/>
      <c r="AE379" s="378"/>
      <c r="AF379" s="378"/>
      <c r="AG379" s="378"/>
      <c r="AH379" s="378"/>
      <c r="AI379" s="378"/>
      <c r="AJ379" s="378"/>
      <c r="AK379" s="378"/>
      <c r="AL379" s="378"/>
      <c r="AM379" s="378"/>
      <c r="AN379" s="378"/>
      <c r="AO379" s="378"/>
      <c r="AP379" s="378"/>
      <c r="AQ379" s="378"/>
      <c r="AR379" s="378"/>
      <c r="AS379" s="378"/>
      <c r="AT379" s="378"/>
      <c r="AU379" s="378"/>
      <c r="AV379" s="378"/>
      <c r="AW379" s="378"/>
      <c r="AX379" s="378"/>
      <c r="AY379" s="378"/>
      <c r="AZ379" s="378"/>
    </row>
    <row r="380" spans="1:52" hidden="1" x14ac:dyDescent="0.25">
      <c r="A380" s="378"/>
      <c r="B380" s="378"/>
      <c r="C380" s="378"/>
      <c r="D380" s="378"/>
      <c r="E380" s="378"/>
      <c r="F380" s="378"/>
      <c r="G380" s="378"/>
      <c r="H380" s="378"/>
      <c r="I380" s="378"/>
      <c r="J380" s="378"/>
      <c r="K380" s="378"/>
      <c r="L380" s="378"/>
      <c r="M380" s="378"/>
      <c r="N380" s="378"/>
      <c r="O380" s="378"/>
      <c r="P380" s="378"/>
      <c r="Q380" s="378"/>
      <c r="R380" s="378"/>
      <c r="S380" s="378"/>
      <c r="T380" s="378"/>
      <c r="U380" s="378"/>
      <c r="V380" s="378"/>
      <c r="W380" s="378"/>
      <c r="X380" s="378"/>
      <c r="Y380" s="378"/>
      <c r="Z380" s="378"/>
      <c r="AA380" s="378"/>
      <c r="AB380" s="378"/>
      <c r="AC380" s="378"/>
      <c r="AD380" s="378"/>
      <c r="AE380" s="378"/>
      <c r="AF380" s="378"/>
      <c r="AG380" s="378"/>
      <c r="AH380" s="378"/>
      <c r="AI380" s="378"/>
      <c r="AJ380" s="378"/>
      <c r="AK380" s="378"/>
      <c r="AL380" s="378"/>
      <c r="AM380" s="378"/>
      <c r="AN380" s="378"/>
      <c r="AO380" s="378"/>
      <c r="AP380" s="378"/>
      <c r="AQ380" s="378"/>
      <c r="AR380" s="378"/>
      <c r="AS380" s="378"/>
      <c r="AT380" s="378"/>
      <c r="AU380" s="378"/>
      <c r="AV380" s="378"/>
      <c r="AW380" s="378"/>
      <c r="AX380" s="378"/>
      <c r="AY380" s="378"/>
      <c r="AZ380" s="378"/>
    </row>
    <row r="381" spans="1:52" hidden="1" x14ac:dyDescent="0.25">
      <c r="A381" s="378"/>
      <c r="B381" s="378"/>
      <c r="C381" s="378"/>
      <c r="D381" s="378"/>
      <c r="E381" s="378"/>
      <c r="F381" s="378"/>
      <c r="G381" s="378"/>
      <c r="H381" s="378"/>
      <c r="I381" s="378"/>
      <c r="J381" s="378"/>
      <c r="K381" s="378"/>
      <c r="L381" s="378"/>
      <c r="M381" s="378"/>
      <c r="N381" s="378"/>
      <c r="O381" s="378"/>
      <c r="P381" s="378"/>
      <c r="Q381" s="378"/>
      <c r="R381" s="378"/>
      <c r="S381" s="378"/>
      <c r="T381" s="378"/>
      <c r="U381" s="378"/>
      <c r="V381" s="378"/>
      <c r="W381" s="378"/>
      <c r="X381" s="378"/>
      <c r="Y381" s="378"/>
      <c r="Z381" s="378"/>
      <c r="AA381" s="378"/>
      <c r="AB381" s="378"/>
      <c r="AC381" s="378"/>
      <c r="AD381" s="378"/>
      <c r="AE381" s="378"/>
      <c r="AF381" s="378"/>
      <c r="AG381" s="378"/>
      <c r="AH381" s="378"/>
      <c r="AI381" s="378"/>
      <c r="AJ381" s="378"/>
      <c r="AK381" s="378"/>
      <c r="AL381" s="378"/>
      <c r="AM381" s="378"/>
      <c r="AN381" s="378"/>
      <c r="AO381" s="378"/>
      <c r="AP381" s="378"/>
      <c r="AQ381" s="378"/>
      <c r="AR381" s="378"/>
      <c r="AS381" s="378"/>
      <c r="AT381" s="378"/>
      <c r="AU381" s="378"/>
      <c r="AV381" s="378"/>
      <c r="AW381" s="378"/>
      <c r="AX381" s="378"/>
      <c r="AY381" s="378"/>
      <c r="AZ381" s="378"/>
    </row>
    <row r="382" spans="1:52" hidden="1" x14ac:dyDescent="0.25">
      <c r="A382" s="378"/>
      <c r="B382" s="378"/>
      <c r="C382" s="378"/>
      <c r="D382" s="378"/>
      <c r="E382" s="378"/>
      <c r="F382" s="378"/>
      <c r="G382" s="378"/>
      <c r="H382" s="378"/>
      <c r="I382" s="378"/>
      <c r="J382" s="378"/>
      <c r="K382" s="378"/>
      <c r="L382" s="378"/>
      <c r="M382" s="378"/>
      <c r="N382" s="378"/>
      <c r="O382" s="378"/>
      <c r="P382" s="378"/>
      <c r="Q382" s="378"/>
      <c r="R382" s="378"/>
      <c r="S382" s="378"/>
      <c r="T382" s="378"/>
      <c r="U382" s="378"/>
      <c r="V382" s="378"/>
      <c r="W382" s="378"/>
      <c r="X382" s="378"/>
      <c r="Y382" s="378"/>
      <c r="Z382" s="378"/>
      <c r="AA382" s="378"/>
      <c r="AB382" s="378"/>
      <c r="AC382" s="378"/>
      <c r="AD382" s="378"/>
      <c r="AE382" s="378"/>
      <c r="AF382" s="378"/>
      <c r="AG382" s="378"/>
      <c r="AH382" s="378"/>
      <c r="AI382" s="378"/>
      <c r="AJ382" s="378"/>
      <c r="AK382" s="378"/>
      <c r="AL382" s="378"/>
      <c r="AM382" s="378"/>
      <c r="AN382" s="378"/>
      <c r="AO382" s="378"/>
      <c r="AP382" s="378"/>
      <c r="AQ382" s="378"/>
      <c r="AR382" s="378"/>
      <c r="AS382" s="378"/>
      <c r="AT382" s="378"/>
      <c r="AU382" s="378"/>
      <c r="AV382" s="378"/>
      <c r="AW382" s="378"/>
      <c r="AX382" s="378"/>
      <c r="AY382" s="378"/>
      <c r="AZ382" s="378"/>
    </row>
    <row r="383" spans="1:52" hidden="1" x14ac:dyDescent="0.25">
      <c r="A383" s="378"/>
      <c r="B383" s="378"/>
      <c r="C383" s="378"/>
      <c r="D383" s="378"/>
      <c r="E383" s="378"/>
      <c r="F383" s="378"/>
      <c r="G383" s="378"/>
      <c r="H383" s="378"/>
      <c r="I383" s="378"/>
      <c r="J383" s="378"/>
      <c r="K383" s="378"/>
      <c r="L383" s="378"/>
      <c r="M383" s="378"/>
      <c r="N383" s="378"/>
      <c r="O383" s="378"/>
      <c r="P383" s="378"/>
      <c r="Q383" s="378"/>
      <c r="R383" s="378"/>
      <c r="S383" s="378"/>
      <c r="T383" s="378"/>
      <c r="U383" s="378"/>
      <c r="V383" s="378"/>
      <c r="W383" s="378"/>
      <c r="X383" s="378"/>
      <c r="Y383" s="378"/>
      <c r="Z383" s="378"/>
      <c r="AA383" s="378"/>
      <c r="AB383" s="378"/>
      <c r="AC383" s="378"/>
      <c r="AD383" s="378"/>
      <c r="AE383" s="378"/>
      <c r="AF383" s="378"/>
      <c r="AG383" s="378"/>
      <c r="AH383" s="378"/>
      <c r="AI383" s="378"/>
      <c r="AJ383" s="378"/>
      <c r="AK383" s="378"/>
      <c r="AL383" s="378"/>
      <c r="AM383" s="378"/>
      <c r="AN383" s="378"/>
      <c r="AO383" s="378"/>
      <c r="AP383" s="378"/>
      <c r="AQ383" s="378"/>
      <c r="AR383" s="378"/>
      <c r="AS383" s="378"/>
      <c r="AT383" s="378"/>
      <c r="AU383" s="378"/>
      <c r="AV383" s="378"/>
      <c r="AW383" s="378"/>
      <c r="AX383" s="378"/>
      <c r="AY383" s="378"/>
      <c r="AZ383" s="378"/>
    </row>
    <row r="384" spans="1:52" hidden="1" x14ac:dyDescent="0.25">
      <c r="A384" s="378"/>
      <c r="B384" s="378"/>
      <c r="C384" s="378"/>
      <c r="D384" s="378"/>
      <c r="E384" s="378"/>
      <c r="F384" s="378"/>
      <c r="G384" s="378"/>
      <c r="H384" s="378"/>
      <c r="I384" s="378"/>
      <c r="J384" s="378"/>
      <c r="K384" s="378"/>
      <c r="L384" s="378"/>
      <c r="M384" s="378"/>
      <c r="N384" s="378"/>
      <c r="O384" s="378"/>
      <c r="P384" s="378"/>
      <c r="Q384" s="378"/>
      <c r="R384" s="378"/>
      <c r="S384" s="378"/>
      <c r="T384" s="378"/>
      <c r="U384" s="378"/>
      <c r="V384" s="378"/>
      <c r="W384" s="378"/>
      <c r="X384" s="378"/>
      <c r="Y384" s="378"/>
      <c r="Z384" s="378"/>
      <c r="AA384" s="378"/>
      <c r="AB384" s="378"/>
      <c r="AC384" s="378"/>
      <c r="AD384" s="378"/>
      <c r="AE384" s="378"/>
      <c r="AF384" s="378"/>
      <c r="AG384" s="378"/>
      <c r="AH384" s="378"/>
      <c r="AI384" s="378"/>
      <c r="AJ384" s="378"/>
      <c r="AK384" s="378"/>
      <c r="AL384" s="378"/>
      <c r="AM384" s="378"/>
      <c r="AN384" s="378"/>
      <c r="AO384" s="378"/>
      <c r="AP384" s="378"/>
      <c r="AQ384" s="378"/>
      <c r="AR384" s="378"/>
      <c r="AS384" s="378"/>
      <c r="AT384" s="378"/>
      <c r="AU384" s="378"/>
      <c r="AV384" s="378"/>
      <c r="AW384" s="378"/>
      <c r="AX384" s="378"/>
      <c r="AY384" s="378"/>
      <c r="AZ384" s="378"/>
    </row>
    <row r="385" spans="1:52" hidden="1" x14ac:dyDescent="0.25">
      <c r="A385" s="378"/>
      <c r="B385" s="378"/>
      <c r="C385" s="378"/>
      <c r="D385" s="378"/>
      <c r="E385" s="378"/>
      <c r="F385" s="378"/>
      <c r="G385" s="378"/>
      <c r="H385" s="378"/>
      <c r="I385" s="378"/>
      <c r="J385" s="378"/>
      <c r="K385" s="378"/>
      <c r="L385" s="378"/>
      <c r="M385" s="378"/>
      <c r="N385" s="378"/>
      <c r="O385" s="378"/>
      <c r="P385" s="378"/>
      <c r="Q385" s="378"/>
      <c r="R385" s="378"/>
      <c r="S385" s="378"/>
      <c r="T385" s="378"/>
      <c r="U385" s="378"/>
      <c r="V385" s="378"/>
      <c r="W385" s="378"/>
      <c r="X385" s="378"/>
      <c r="Y385" s="378"/>
      <c r="Z385" s="378"/>
      <c r="AA385" s="378"/>
      <c r="AB385" s="378"/>
      <c r="AC385" s="378"/>
      <c r="AD385" s="378"/>
      <c r="AE385" s="378"/>
      <c r="AF385" s="378"/>
      <c r="AG385" s="378"/>
      <c r="AH385" s="378"/>
      <c r="AI385" s="378"/>
      <c r="AJ385" s="378"/>
      <c r="AK385" s="378"/>
      <c r="AL385" s="378"/>
      <c r="AM385" s="378"/>
      <c r="AN385" s="378"/>
      <c r="AO385" s="378"/>
      <c r="AP385" s="378"/>
      <c r="AQ385" s="378"/>
      <c r="AR385" s="378"/>
      <c r="AS385" s="378"/>
      <c r="AT385" s="378"/>
      <c r="AU385" s="378"/>
      <c r="AV385" s="378"/>
      <c r="AW385" s="378"/>
      <c r="AX385" s="378"/>
      <c r="AY385" s="378"/>
      <c r="AZ385" s="378"/>
    </row>
    <row r="386" spans="1:52" hidden="1" x14ac:dyDescent="0.25">
      <c r="A386" s="378"/>
      <c r="B386" s="378"/>
      <c r="C386" s="378"/>
      <c r="D386" s="378"/>
      <c r="E386" s="378"/>
      <c r="F386" s="378"/>
      <c r="G386" s="378"/>
      <c r="H386" s="378"/>
      <c r="I386" s="378"/>
      <c r="J386" s="378"/>
      <c r="K386" s="378"/>
      <c r="L386" s="378"/>
      <c r="M386" s="378"/>
      <c r="N386" s="378"/>
      <c r="O386" s="378"/>
      <c r="P386" s="378"/>
      <c r="Q386" s="378"/>
      <c r="R386" s="378"/>
      <c r="S386" s="378"/>
      <c r="T386" s="378"/>
      <c r="U386" s="378"/>
      <c r="V386" s="378"/>
      <c r="W386" s="378"/>
      <c r="X386" s="378"/>
      <c r="Y386" s="378"/>
      <c r="Z386" s="378"/>
      <c r="AA386" s="378"/>
      <c r="AB386" s="378"/>
      <c r="AC386" s="378"/>
      <c r="AD386" s="378"/>
      <c r="AE386" s="378"/>
      <c r="AF386" s="378"/>
      <c r="AG386" s="378"/>
      <c r="AH386" s="378"/>
      <c r="AI386" s="378"/>
      <c r="AJ386" s="378"/>
      <c r="AK386" s="378"/>
      <c r="AL386" s="378"/>
      <c r="AM386" s="378"/>
      <c r="AN386" s="378"/>
      <c r="AO386" s="378"/>
      <c r="AP386" s="378"/>
      <c r="AQ386" s="378"/>
      <c r="AR386" s="378"/>
      <c r="AS386" s="378"/>
      <c r="AT386" s="378"/>
      <c r="AU386" s="378"/>
      <c r="AV386" s="378"/>
      <c r="AW386" s="378"/>
      <c r="AX386" s="378"/>
      <c r="AY386" s="378"/>
      <c r="AZ386" s="378"/>
    </row>
    <row r="387" spans="1:52" hidden="1" x14ac:dyDescent="0.25">
      <c r="A387" s="378"/>
      <c r="B387" s="378"/>
      <c r="C387" s="378"/>
      <c r="D387" s="378"/>
      <c r="E387" s="378"/>
      <c r="F387" s="378"/>
      <c r="G387" s="378"/>
      <c r="H387" s="378"/>
      <c r="I387" s="378"/>
      <c r="J387" s="378"/>
      <c r="K387" s="378"/>
      <c r="L387" s="378"/>
      <c r="M387" s="378"/>
      <c r="N387" s="378"/>
      <c r="O387" s="378"/>
      <c r="P387" s="378"/>
      <c r="Q387" s="378"/>
      <c r="R387" s="378"/>
      <c r="S387" s="378"/>
      <c r="T387" s="378"/>
      <c r="U387" s="378"/>
      <c r="V387" s="378"/>
      <c r="W387" s="378"/>
      <c r="X387" s="378"/>
      <c r="Y387" s="378"/>
      <c r="Z387" s="378"/>
      <c r="AA387" s="378"/>
      <c r="AB387" s="378"/>
      <c r="AC387" s="378"/>
      <c r="AD387" s="378"/>
      <c r="AE387" s="378"/>
      <c r="AF387" s="378"/>
      <c r="AG387" s="378"/>
      <c r="AH387" s="378"/>
      <c r="AI387" s="378"/>
      <c r="AJ387" s="378"/>
      <c r="AK387" s="378"/>
      <c r="AL387" s="378"/>
      <c r="AM387" s="378"/>
      <c r="AN387" s="378"/>
      <c r="AO387" s="378"/>
      <c r="AP387" s="378"/>
      <c r="AQ387" s="378"/>
      <c r="AR387" s="378"/>
      <c r="AS387" s="378"/>
      <c r="AT387" s="378"/>
      <c r="AU387" s="378"/>
      <c r="AV387" s="378"/>
      <c r="AW387" s="378"/>
      <c r="AX387" s="378"/>
      <c r="AY387" s="378"/>
      <c r="AZ387" s="378"/>
    </row>
    <row r="388" spans="1:52" hidden="1" x14ac:dyDescent="0.25">
      <c r="A388" s="378"/>
      <c r="B388" s="378"/>
      <c r="C388" s="378"/>
      <c r="D388" s="378"/>
      <c r="E388" s="378"/>
      <c r="F388" s="378"/>
      <c r="G388" s="378"/>
      <c r="H388" s="378"/>
      <c r="I388" s="378"/>
      <c r="J388" s="378"/>
      <c r="K388" s="378"/>
      <c r="L388" s="378"/>
      <c r="M388" s="378"/>
      <c r="N388" s="378"/>
      <c r="O388" s="378"/>
      <c r="P388" s="378"/>
      <c r="Q388" s="378"/>
      <c r="R388" s="378"/>
      <c r="S388" s="378"/>
      <c r="T388" s="378"/>
      <c r="U388" s="378"/>
      <c r="V388" s="378"/>
      <c r="W388" s="378"/>
      <c r="X388" s="378"/>
      <c r="Y388" s="378"/>
      <c r="Z388" s="378"/>
      <c r="AA388" s="378"/>
      <c r="AB388" s="378"/>
      <c r="AC388" s="378"/>
      <c r="AD388" s="378"/>
      <c r="AE388" s="378"/>
      <c r="AF388" s="378"/>
      <c r="AG388" s="378"/>
      <c r="AH388" s="378"/>
      <c r="AI388" s="378"/>
      <c r="AJ388" s="378"/>
      <c r="AK388" s="378"/>
      <c r="AL388" s="378"/>
      <c r="AM388" s="378"/>
      <c r="AN388" s="378"/>
      <c r="AO388" s="378"/>
      <c r="AP388" s="378"/>
      <c r="AQ388" s="378"/>
      <c r="AR388" s="378"/>
      <c r="AS388" s="378"/>
      <c r="AT388" s="378"/>
      <c r="AU388" s="378"/>
      <c r="AV388" s="378"/>
      <c r="AW388" s="378"/>
      <c r="AX388" s="378"/>
      <c r="AY388" s="378"/>
      <c r="AZ388" s="378"/>
    </row>
    <row r="389" spans="1:52" hidden="1" x14ac:dyDescent="0.25">
      <c r="A389" s="378"/>
      <c r="B389" s="378"/>
      <c r="C389" s="378"/>
      <c r="D389" s="378"/>
      <c r="E389" s="378"/>
      <c r="F389" s="378"/>
      <c r="G389" s="378"/>
      <c r="H389" s="378"/>
      <c r="I389" s="378"/>
      <c r="J389" s="378"/>
      <c r="K389" s="378"/>
      <c r="L389" s="378"/>
      <c r="M389" s="378"/>
      <c r="N389" s="378"/>
      <c r="O389" s="378"/>
      <c r="P389" s="378"/>
      <c r="Q389" s="378"/>
      <c r="R389" s="378"/>
      <c r="S389" s="378"/>
      <c r="T389" s="378"/>
      <c r="U389" s="378"/>
      <c r="V389" s="378"/>
      <c r="W389" s="378"/>
      <c r="X389" s="378"/>
      <c r="Y389" s="378"/>
      <c r="Z389" s="378"/>
      <c r="AA389" s="378"/>
      <c r="AB389" s="378"/>
      <c r="AC389" s="378"/>
      <c r="AD389" s="378"/>
      <c r="AE389" s="378"/>
      <c r="AF389" s="378"/>
      <c r="AG389" s="378"/>
      <c r="AH389" s="378"/>
      <c r="AI389" s="378"/>
      <c r="AJ389" s="378"/>
      <c r="AK389" s="378"/>
      <c r="AL389" s="378"/>
      <c r="AM389" s="378"/>
      <c r="AN389" s="378"/>
      <c r="AO389" s="378"/>
      <c r="AP389" s="378"/>
      <c r="AQ389" s="378"/>
      <c r="AR389" s="378"/>
      <c r="AS389" s="378"/>
      <c r="AT389" s="378"/>
      <c r="AU389" s="378"/>
      <c r="AV389" s="378"/>
      <c r="AW389" s="378"/>
      <c r="AX389" s="378"/>
      <c r="AY389" s="378"/>
      <c r="AZ389" s="378"/>
    </row>
    <row r="390" spans="1:52" hidden="1" x14ac:dyDescent="0.25">
      <c r="A390" s="378"/>
      <c r="B390" s="378"/>
      <c r="C390" s="378"/>
      <c r="D390" s="378"/>
      <c r="E390" s="378"/>
      <c r="F390" s="378"/>
      <c r="G390" s="378"/>
      <c r="H390" s="378"/>
      <c r="I390" s="378"/>
      <c r="J390" s="378"/>
      <c r="K390" s="378"/>
      <c r="L390" s="378"/>
      <c r="M390" s="378"/>
      <c r="N390" s="378"/>
      <c r="O390" s="378"/>
      <c r="P390" s="378"/>
      <c r="Q390" s="378"/>
      <c r="R390" s="378"/>
      <c r="S390" s="378"/>
      <c r="T390" s="378"/>
      <c r="U390" s="378"/>
      <c r="V390" s="378"/>
      <c r="W390" s="378"/>
      <c r="X390" s="378"/>
      <c r="Y390" s="378"/>
      <c r="Z390" s="378"/>
      <c r="AA390" s="378"/>
      <c r="AB390" s="378"/>
      <c r="AC390" s="378"/>
      <c r="AD390" s="378"/>
      <c r="AE390" s="378"/>
      <c r="AF390" s="378"/>
      <c r="AG390" s="378"/>
      <c r="AH390" s="378"/>
      <c r="AI390" s="378"/>
      <c r="AJ390" s="378"/>
      <c r="AK390" s="378"/>
      <c r="AL390" s="378"/>
      <c r="AM390" s="378"/>
      <c r="AN390" s="378"/>
      <c r="AO390" s="378"/>
      <c r="AP390" s="378"/>
      <c r="AQ390" s="378"/>
      <c r="AR390" s="378"/>
      <c r="AS390" s="378"/>
      <c r="AT390" s="378"/>
      <c r="AU390" s="378"/>
      <c r="AV390" s="378"/>
      <c r="AW390" s="378"/>
      <c r="AX390" s="378"/>
      <c r="AY390" s="378"/>
      <c r="AZ390" s="378"/>
    </row>
    <row r="391" spans="1:52" hidden="1" x14ac:dyDescent="0.25">
      <c r="A391" s="378"/>
      <c r="B391" s="378"/>
      <c r="C391" s="378"/>
      <c r="D391" s="378"/>
      <c r="E391" s="378"/>
      <c r="F391" s="378"/>
      <c r="G391" s="378"/>
      <c r="H391" s="378"/>
      <c r="I391" s="378"/>
      <c r="J391" s="378"/>
      <c r="K391" s="378"/>
      <c r="L391" s="378"/>
      <c r="M391" s="378"/>
      <c r="N391" s="378"/>
      <c r="O391" s="378"/>
      <c r="P391" s="378"/>
      <c r="Q391" s="378"/>
      <c r="R391" s="378"/>
      <c r="S391" s="378"/>
      <c r="T391" s="378"/>
      <c r="U391" s="378"/>
      <c r="V391" s="378"/>
      <c r="W391" s="378"/>
      <c r="X391" s="378"/>
      <c r="Y391" s="378"/>
      <c r="Z391" s="378"/>
      <c r="AA391" s="378"/>
      <c r="AB391" s="378"/>
      <c r="AC391" s="378"/>
      <c r="AD391" s="378"/>
      <c r="AE391" s="378"/>
      <c r="AF391" s="378"/>
      <c r="AG391" s="378"/>
      <c r="AH391" s="378"/>
      <c r="AI391" s="378"/>
      <c r="AJ391" s="378"/>
      <c r="AK391" s="378"/>
      <c r="AL391" s="378"/>
      <c r="AM391" s="378"/>
      <c r="AN391" s="378"/>
      <c r="AO391" s="378"/>
      <c r="AP391" s="378"/>
      <c r="AQ391" s="378"/>
      <c r="AR391" s="378"/>
      <c r="AS391" s="378"/>
      <c r="AT391" s="378"/>
      <c r="AU391" s="378"/>
      <c r="AV391" s="378"/>
      <c r="AW391" s="378"/>
      <c r="AX391" s="378"/>
      <c r="AY391" s="378"/>
      <c r="AZ391" s="378"/>
    </row>
    <row r="392" spans="1:52" hidden="1" x14ac:dyDescent="0.25">
      <c r="A392" s="378"/>
      <c r="B392" s="378"/>
      <c r="C392" s="378"/>
      <c r="D392" s="378"/>
      <c r="E392" s="378"/>
      <c r="F392" s="378"/>
      <c r="G392" s="378"/>
      <c r="H392" s="378"/>
      <c r="I392" s="378"/>
      <c r="J392" s="378"/>
      <c r="K392" s="378"/>
      <c r="L392" s="378"/>
      <c r="M392" s="378"/>
      <c r="N392" s="378"/>
      <c r="O392" s="378"/>
      <c r="P392" s="378"/>
      <c r="Q392" s="378"/>
      <c r="R392" s="378"/>
      <c r="S392" s="378"/>
      <c r="T392" s="378"/>
      <c r="U392" s="378"/>
      <c r="V392" s="378"/>
      <c r="W392" s="378"/>
      <c r="X392" s="378"/>
      <c r="Y392" s="378"/>
      <c r="Z392" s="378"/>
      <c r="AA392" s="378"/>
      <c r="AB392" s="378"/>
      <c r="AC392" s="378"/>
      <c r="AD392" s="378"/>
      <c r="AE392" s="378"/>
      <c r="AF392" s="378"/>
      <c r="AG392" s="378"/>
      <c r="AH392" s="378"/>
      <c r="AI392" s="378"/>
      <c r="AJ392" s="378"/>
      <c r="AK392" s="378"/>
      <c r="AL392" s="378"/>
      <c r="AM392" s="378"/>
      <c r="AN392" s="378"/>
      <c r="AO392" s="378"/>
      <c r="AP392" s="378"/>
      <c r="AQ392" s="378"/>
      <c r="AR392" s="378"/>
      <c r="AS392" s="378"/>
      <c r="AT392" s="378"/>
      <c r="AU392" s="378"/>
      <c r="AV392" s="378"/>
      <c r="AW392" s="378"/>
      <c r="AX392" s="378"/>
      <c r="AY392" s="378"/>
      <c r="AZ392" s="378"/>
    </row>
    <row r="393" spans="1:52" hidden="1" x14ac:dyDescent="0.25">
      <c r="A393" s="378"/>
      <c r="B393" s="378"/>
      <c r="C393" s="378"/>
      <c r="D393" s="378"/>
      <c r="E393" s="378"/>
      <c r="F393" s="378"/>
      <c r="G393" s="378"/>
      <c r="H393" s="378"/>
      <c r="I393" s="378"/>
      <c r="J393" s="378"/>
      <c r="K393" s="378"/>
      <c r="L393" s="378"/>
      <c r="M393" s="378"/>
      <c r="N393" s="378"/>
      <c r="O393" s="378"/>
      <c r="P393" s="378"/>
      <c r="Q393" s="378"/>
      <c r="R393" s="378"/>
      <c r="S393" s="378"/>
      <c r="T393" s="378"/>
      <c r="U393" s="378"/>
      <c r="V393" s="378"/>
      <c r="W393" s="378"/>
      <c r="X393" s="378"/>
      <c r="Y393" s="378"/>
      <c r="Z393" s="378"/>
      <c r="AA393" s="378"/>
      <c r="AB393" s="378"/>
      <c r="AC393" s="378"/>
      <c r="AD393" s="378"/>
      <c r="AE393" s="378"/>
      <c r="AF393" s="378"/>
      <c r="AG393" s="378"/>
      <c r="AH393" s="378"/>
      <c r="AI393" s="378"/>
      <c r="AJ393" s="378"/>
      <c r="AK393" s="378"/>
      <c r="AL393" s="378"/>
      <c r="AM393" s="378"/>
      <c r="AN393" s="378"/>
      <c r="AO393" s="378"/>
      <c r="AP393" s="378"/>
      <c r="AQ393" s="378"/>
      <c r="AR393" s="378"/>
      <c r="AS393" s="378"/>
      <c r="AT393" s="378"/>
      <c r="AU393" s="378"/>
      <c r="AV393" s="378"/>
      <c r="AW393" s="378"/>
      <c r="AX393" s="378"/>
      <c r="AY393" s="378"/>
      <c r="AZ393" s="378"/>
    </row>
    <row r="394" spans="1:52" hidden="1" x14ac:dyDescent="0.25">
      <c r="A394" s="378"/>
      <c r="B394" s="378"/>
      <c r="C394" s="378"/>
      <c r="D394" s="378"/>
      <c r="E394" s="378"/>
      <c r="F394" s="378"/>
      <c r="G394" s="378"/>
      <c r="H394" s="378"/>
      <c r="I394" s="378"/>
      <c r="J394" s="378"/>
      <c r="K394" s="378"/>
      <c r="L394" s="378"/>
      <c r="M394" s="378"/>
      <c r="N394" s="378"/>
      <c r="O394" s="378"/>
      <c r="P394" s="378"/>
      <c r="Q394" s="378"/>
      <c r="R394" s="378"/>
      <c r="S394" s="378"/>
      <c r="T394" s="378"/>
      <c r="U394" s="378"/>
      <c r="V394" s="378"/>
      <c r="W394" s="378"/>
      <c r="X394" s="378"/>
      <c r="Y394" s="378"/>
      <c r="Z394" s="378"/>
      <c r="AA394" s="378"/>
      <c r="AB394" s="378"/>
      <c r="AC394" s="378"/>
      <c r="AD394" s="378"/>
      <c r="AE394" s="378"/>
      <c r="AF394" s="378"/>
      <c r="AG394" s="378"/>
      <c r="AH394" s="378"/>
      <c r="AI394" s="378"/>
      <c r="AJ394" s="378"/>
      <c r="AK394" s="378"/>
      <c r="AL394" s="378"/>
      <c r="AM394" s="378"/>
      <c r="AN394" s="378"/>
      <c r="AO394" s="378"/>
      <c r="AP394" s="378"/>
      <c r="AQ394" s="378"/>
      <c r="AR394" s="378"/>
      <c r="AS394" s="378"/>
      <c r="AT394" s="378"/>
      <c r="AU394" s="378"/>
      <c r="AV394" s="378"/>
      <c r="AW394" s="378"/>
      <c r="AX394" s="378"/>
      <c r="AY394" s="378"/>
      <c r="AZ394" s="378"/>
    </row>
    <row r="395" spans="1:52" hidden="1" x14ac:dyDescent="0.25">
      <c r="A395" s="378"/>
      <c r="B395" s="378"/>
      <c r="C395" s="378"/>
      <c r="D395" s="378"/>
      <c r="E395" s="378"/>
      <c r="F395" s="378"/>
      <c r="G395" s="378"/>
      <c r="H395" s="378"/>
      <c r="I395" s="378"/>
      <c r="J395" s="378"/>
      <c r="K395" s="378"/>
      <c r="L395" s="378"/>
      <c r="M395" s="378"/>
      <c r="N395" s="378"/>
      <c r="O395" s="378"/>
      <c r="P395" s="378"/>
      <c r="Q395" s="378"/>
      <c r="R395" s="378"/>
      <c r="S395" s="378"/>
      <c r="T395" s="378"/>
      <c r="U395" s="378"/>
      <c r="V395" s="378"/>
      <c r="W395" s="378"/>
      <c r="X395" s="378"/>
      <c r="Y395" s="378"/>
      <c r="Z395" s="378"/>
      <c r="AA395" s="378"/>
      <c r="AB395" s="378"/>
      <c r="AC395" s="378"/>
      <c r="AD395" s="378"/>
      <c r="AE395" s="378"/>
      <c r="AF395" s="378"/>
      <c r="AG395" s="378"/>
      <c r="AH395" s="378"/>
      <c r="AI395" s="378"/>
      <c r="AJ395" s="378"/>
      <c r="AK395" s="378"/>
      <c r="AL395" s="378"/>
      <c r="AM395" s="378"/>
      <c r="AN395" s="378"/>
      <c r="AO395" s="378"/>
      <c r="AP395" s="378"/>
      <c r="AQ395" s="378"/>
      <c r="AR395" s="378"/>
      <c r="AS395" s="378"/>
      <c r="AT395" s="378"/>
      <c r="AU395" s="378"/>
      <c r="AV395" s="378"/>
      <c r="AW395" s="378"/>
      <c r="AX395" s="378"/>
      <c r="AY395" s="378"/>
      <c r="AZ395" s="378"/>
    </row>
    <row r="396" spans="1:52" hidden="1" x14ac:dyDescent="0.25">
      <c r="A396" s="378"/>
      <c r="B396" s="378"/>
      <c r="C396" s="378"/>
      <c r="D396" s="378"/>
      <c r="E396" s="378"/>
      <c r="F396" s="378"/>
      <c r="G396" s="378"/>
      <c r="H396" s="378"/>
      <c r="I396" s="378"/>
      <c r="J396" s="378"/>
      <c r="K396" s="378"/>
      <c r="L396" s="378"/>
      <c r="M396" s="378"/>
      <c r="N396" s="378"/>
      <c r="O396" s="378"/>
      <c r="P396" s="378"/>
      <c r="Q396" s="378"/>
      <c r="R396" s="378"/>
      <c r="S396" s="378"/>
      <c r="T396" s="378"/>
      <c r="U396" s="378"/>
      <c r="V396" s="378"/>
      <c r="W396" s="378"/>
      <c r="X396" s="378"/>
      <c r="Y396" s="378"/>
      <c r="Z396" s="378"/>
      <c r="AA396" s="378"/>
      <c r="AB396" s="378"/>
      <c r="AC396" s="378"/>
      <c r="AD396" s="378"/>
      <c r="AE396" s="378"/>
      <c r="AF396" s="378"/>
      <c r="AG396" s="378"/>
      <c r="AH396" s="378"/>
      <c r="AI396" s="378"/>
      <c r="AJ396" s="378"/>
      <c r="AK396" s="378"/>
      <c r="AL396" s="378"/>
      <c r="AM396" s="378"/>
      <c r="AN396" s="378"/>
      <c r="AO396" s="378"/>
      <c r="AP396" s="378"/>
      <c r="AQ396" s="378"/>
      <c r="AR396" s="378"/>
      <c r="AS396" s="378"/>
      <c r="AT396" s="378"/>
      <c r="AU396" s="378"/>
      <c r="AV396" s="378"/>
      <c r="AW396" s="378"/>
      <c r="AX396" s="378"/>
      <c r="AY396" s="378"/>
      <c r="AZ396" s="378"/>
    </row>
    <row r="397" spans="1:52" hidden="1" x14ac:dyDescent="0.25">
      <c r="A397" s="378"/>
      <c r="B397" s="378"/>
      <c r="C397" s="378"/>
      <c r="D397" s="378"/>
      <c r="E397" s="378"/>
      <c r="F397" s="378"/>
      <c r="G397" s="378"/>
      <c r="H397" s="378"/>
      <c r="I397" s="378"/>
      <c r="J397" s="378"/>
      <c r="K397" s="378"/>
      <c r="L397" s="378"/>
      <c r="M397" s="378"/>
      <c r="N397" s="378"/>
      <c r="O397" s="378"/>
      <c r="P397" s="378"/>
      <c r="Q397" s="378"/>
      <c r="R397" s="378"/>
      <c r="S397" s="378"/>
      <c r="T397" s="378"/>
      <c r="U397" s="378"/>
      <c r="V397" s="378"/>
      <c r="W397" s="378"/>
      <c r="X397" s="378"/>
      <c r="Y397" s="378"/>
      <c r="Z397" s="378"/>
      <c r="AA397" s="378"/>
      <c r="AB397" s="378"/>
      <c r="AC397" s="378"/>
      <c r="AD397" s="378"/>
      <c r="AE397" s="378"/>
      <c r="AF397" s="378"/>
      <c r="AG397" s="378"/>
      <c r="AH397" s="378"/>
      <c r="AI397" s="378"/>
      <c r="AJ397" s="378"/>
      <c r="AK397" s="378"/>
      <c r="AL397" s="378"/>
      <c r="AM397" s="378"/>
      <c r="AN397" s="378"/>
      <c r="AO397" s="378"/>
      <c r="AP397" s="378"/>
      <c r="AQ397" s="378"/>
      <c r="AR397" s="378"/>
      <c r="AS397" s="378"/>
      <c r="AT397" s="378"/>
      <c r="AU397" s="378"/>
      <c r="AV397" s="378"/>
      <c r="AW397" s="378"/>
      <c r="AX397" s="378"/>
      <c r="AY397" s="378"/>
      <c r="AZ397" s="378"/>
    </row>
    <row r="398" spans="1:52" hidden="1" x14ac:dyDescent="0.25">
      <c r="A398" s="378"/>
      <c r="B398" s="378"/>
      <c r="C398" s="378"/>
      <c r="D398" s="378"/>
      <c r="E398" s="378"/>
      <c r="F398" s="378"/>
      <c r="G398" s="378"/>
      <c r="H398" s="378"/>
      <c r="I398" s="378"/>
      <c r="J398" s="378"/>
      <c r="K398" s="378"/>
      <c r="L398" s="378"/>
      <c r="M398" s="378"/>
      <c r="N398" s="378"/>
      <c r="O398" s="378"/>
      <c r="P398" s="378"/>
      <c r="Q398" s="378"/>
      <c r="R398" s="378"/>
      <c r="S398" s="378"/>
      <c r="T398" s="378"/>
      <c r="U398" s="378"/>
      <c r="V398" s="378"/>
      <c r="W398" s="378"/>
      <c r="X398" s="378"/>
      <c r="Y398" s="378"/>
      <c r="Z398" s="378"/>
      <c r="AA398" s="378"/>
      <c r="AB398" s="378"/>
      <c r="AC398" s="378"/>
      <c r="AD398" s="378"/>
      <c r="AE398" s="378"/>
      <c r="AF398" s="378"/>
      <c r="AG398" s="378"/>
      <c r="AH398" s="378"/>
      <c r="AI398" s="378"/>
      <c r="AJ398" s="378"/>
      <c r="AK398" s="378"/>
      <c r="AL398" s="378"/>
      <c r="AM398" s="378"/>
      <c r="AN398" s="378"/>
      <c r="AO398" s="378"/>
      <c r="AP398" s="378"/>
      <c r="AQ398" s="378"/>
      <c r="AR398" s="378"/>
      <c r="AS398" s="378"/>
      <c r="AT398" s="378"/>
      <c r="AU398" s="378"/>
      <c r="AV398" s="378"/>
      <c r="AW398" s="378"/>
      <c r="AX398" s="378"/>
      <c r="AY398" s="378"/>
      <c r="AZ398" s="378"/>
    </row>
    <row r="399" spans="1:52" hidden="1" x14ac:dyDescent="0.25">
      <c r="A399" s="378"/>
      <c r="B399" s="378"/>
      <c r="C399" s="378"/>
      <c r="D399" s="378"/>
      <c r="E399" s="378"/>
      <c r="F399" s="378"/>
      <c r="G399" s="378"/>
      <c r="H399" s="378"/>
      <c r="I399" s="378"/>
      <c r="J399" s="378"/>
      <c r="K399" s="378"/>
      <c r="L399" s="378"/>
      <c r="M399" s="378"/>
      <c r="N399" s="378"/>
      <c r="O399" s="378"/>
      <c r="P399" s="378"/>
      <c r="Q399" s="378"/>
      <c r="R399" s="378"/>
      <c r="S399" s="378"/>
      <c r="T399" s="378"/>
      <c r="U399" s="378"/>
      <c r="V399" s="378"/>
      <c r="W399" s="378"/>
      <c r="X399" s="378"/>
      <c r="Y399" s="378"/>
      <c r="Z399" s="378"/>
      <c r="AA399" s="378"/>
      <c r="AB399" s="378"/>
      <c r="AC399" s="378"/>
      <c r="AD399" s="378"/>
      <c r="AE399" s="378"/>
      <c r="AF399" s="378"/>
      <c r="AG399" s="378"/>
      <c r="AH399" s="378"/>
      <c r="AI399" s="378"/>
      <c r="AJ399" s="378"/>
      <c r="AK399" s="378"/>
      <c r="AL399" s="378"/>
      <c r="AM399" s="378"/>
      <c r="AN399" s="378"/>
      <c r="AO399" s="378"/>
      <c r="AP399" s="378"/>
      <c r="AQ399" s="378"/>
      <c r="AR399" s="378"/>
      <c r="AS399" s="378"/>
      <c r="AT399" s="378"/>
      <c r="AU399" s="378"/>
      <c r="AV399" s="378"/>
      <c r="AW399" s="378"/>
      <c r="AX399" s="378"/>
      <c r="AY399" s="378"/>
      <c r="AZ399" s="378"/>
    </row>
    <row r="400" spans="1:52" hidden="1" x14ac:dyDescent="0.25">
      <c r="A400" s="378"/>
      <c r="B400" s="378"/>
      <c r="C400" s="378"/>
      <c r="D400" s="378"/>
      <c r="E400" s="378"/>
      <c r="F400" s="378"/>
      <c r="G400" s="378"/>
      <c r="H400" s="378"/>
      <c r="I400" s="378"/>
      <c r="J400" s="378"/>
      <c r="K400" s="378"/>
      <c r="L400" s="378"/>
      <c r="M400" s="378"/>
      <c r="N400" s="378"/>
      <c r="O400" s="378"/>
      <c r="P400" s="378"/>
      <c r="Q400" s="378"/>
      <c r="R400" s="378"/>
      <c r="S400" s="378"/>
      <c r="T400" s="378"/>
      <c r="U400" s="378"/>
      <c r="V400" s="378"/>
      <c r="W400" s="378"/>
      <c r="X400" s="378"/>
      <c r="Y400" s="378"/>
      <c r="Z400" s="378"/>
      <c r="AA400" s="378"/>
      <c r="AB400" s="378"/>
      <c r="AC400" s="378"/>
      <c r="AD400" s="378"/>
      <c r="AE400" s="378"/>
      <c r="AF400" s="378"/>
      <c r="AG400" s="378"/>
      <c r="AH400" s="378"/>
      <c r="AI400" s="378"/>
      <c r="AJ400" s="378"/>
      <c r="AK400" s="378"/>
      <c r="AL400" s="378"/>
      <c r="AM400" s="378"/>
      <c r="AN400" s="378"/>
      <c r="AO400" s="378"/>
      <c r="AP400" s="378"/>
      <c r="AQ400" s="378"/>
      <c r="AR400" s="378"/>
      <c r="AS400" s="378"/>
      <c r="AT400" s="378"/>
      <c r="AU400" s="378"/>
      <c r="AV400" s="378"/>
      <c r="AW400" s="378"/>
      <c r="AX400" s="378"/>
      <c r="AY400" s="378"/>
      <c r="AZ400" s="378"/>
    </row>
    <row r="401" spans="1:52" hidden="1" x14ac:dyDescent="0.25">
      <c r="A401" s="378"/>
      <c r="B401" s="378"/>
      <c r="C401" s="378"/>
      <c r="D401" s="378"/>
      <c r="E401" s="378"/>
      <c r="F401" s="378"/>
      <c r="G401" s="378"/>
      <c r="H401" s="378"/>
      <c r="I401" s="378"/>
      <c r="J401" s="378"/>
      <c r="K401" s="378"/>
      <c r="L401" s="378"/>
      <c r="M401" s="378"/>
      <c r="N401" s="378"/>
      <c r="O401" s="378"/>
      <c r="P401" s="378"/>
      <c r="Q401" s="378"/>
      <c r="R401" s="378"/>
      <c r="S401" s="378"/>
      <c r="T401" s="378"/>
      <c r="U401" s="378"/>
      <c r="V401" s="378"/>
      <c r="W401" s="378"/>
      <c r="X401" s="378"/>
      <c r="Y401" s="378"/>
      <c r="Z401" s="378"/>
      <c r="AA401" s="378"/>
      <c r="AB401" s="378"/>
      <c r="AC401" s="378"/>
      <c r="AD401" s="378"/>
      <c r="AE401" s="378"/>
      <c r="AF401" s="378"/>
      <c r="AG401" s="378"/>
      <c r="AH401" s="378"/>
      <c r="AI401" s="378"/>
      <c r="AJ401" s="378"/>
      <c r="AK401" s="378"/>
      <c r="AL401" s="378"/>
      <c r="AM401" s="378"/>
      <c r="AN401" s="378"/>
      <c r="AO401" s="378"/>
      <c r="AP401" s="378"/>
      <c r="AQ401" s="378"/>
      <c r="AR401" s="378"/>
      <c r="AS401" s="378"/>
      <c r="AT401" s="378"/>
      <c r="AU401" s="378"/>
      <c r="AV401" s="378"/>
      <c r="AW401" s="378"/>
      <c r="AX401" s="378"/>
      <c r="AY401" s="378"/>
      <c r="AZ401" s="378"/>
    </row>
    <row r="402" spans="1:52" hidden="1" x14ac:dyDescent="0.25">
      <c r="A402" s="378"/>
      <c r="B402" s="378"/>
      <c r="C402" s="378"/>
      <c r="D402" s="378"/>
      <c r="E402" s="378"/>
      <c r="F402" s="378"/>
      <c r="G402" s="378"/>
      <c r="H402" s="378"/>
      <c r="I402" s="378"/>
      <c r="J402" s="378"/>
      <c r="K402" s="378"/>
      <c r="L402" s="378"/>
      <c r="M402" s="378"/>
      <c r="N402" s="378"/>
      <c r="O402" s="378"/>
      <c r="P402" s="378"/>
      <c r="Q402" s="378"/>
      <c r="R402" s="378"/>
      <c r="S402" s="378"/>
      <c r="T402" s="378"/>
      <c r="U402" s="378"/>
      <c r="V402" s="378"/>
      <c r="W402" s="378"/>
      <c r="X402" s="378"/>
      <c r="Y402" s="378"/>
      <c r="Z402" s="378"/>
      <c r="AA402" s="378"/>
      <c r="AB402" s="378"/>
      <c r="AC402" s="378"/>
      <c r="AD402" s="378"/>
      <c r="AE402" s="378"/>
      <c r="AF402" s="378"/>
      <c r="AG402" s="378"/>
      <c r="AH402" s="378"/>
      <c r="AI402" s="378"/>
      <c r="AJ402" s="378"/>
      <c r="AK402" s="378"/>
      <c r="AL402" s="378"/>
      <c r="AM402" s="378"/>
      <c r="AN402" s="378"/>
      <c r="AO402" s="378"/>
      <c r="AP402" s="378"/>
      <c r="AQ402" s="378"/>
      <c r="AR402" s="378"/>
      <c r="AS402" s="378"/>
      <c r="AT402" s="378"/>
      <c r="AU402" s="378"/>
      <c r="AV402" s="378"/>
      <c r="AW402" s="378"/>
      <c r="AX402" s="378"/>
      <c r="AY402" s="378"/>
      <c r="AZ402" s="378"/>
    </row>
    <row r="403" spans="1:52" hidden="1" x14ac:dyDescent="0.25">
      <c r="A403" s="378"/>
      <c r="B403" s="378"/>
      <c r="C403" s="378"/>
      <c r="D403" s="378"/>
      <c r="E403" s="378"/>
      <c r="F403" s="378"/>
      <c r="G403" s="378"/>
      <c r="H403" s="378"/>
      <c r="I403" s="378"/>
      <c r="J403" s="378"/>
      <c r="K403" s="378"/>
      <c r="L403" s="378"/>
      <c r="M403" s="378"/>
      <c r="N403" s="378"/>
      <c r="O403" s="378"/>
      <c r="P403" s="378"/>
      <c r="Q403" s="378"/>
      <c r="R403" s="378"/>
      <c r="S403" s="378"/>
      <c r="T403" s="378"/>
      <c r="U403" s="378"/>
      <c r="V403" s="378"/>
      <c r="W403" s="378"/>
      <c r="X403" s="378"/>
      <c r="Y403" s="378"/>
      <c r="Z403" s="378"/>
      <c r="AA403" s="378"/>
      <c r="AB403" s="378"/>
      <c r="AC403" s="378"/>
      <c r="AD403" s="378"/>
      <c r="AE403" s="378"/>
      <c r="AF403" s="378"/>
      <c r="AG403" s="378"/>
      <c r="AH403" s="378"/>
      <c r="AI403" s="378"/>
      <c r="AJ403" s="378"/>
      <c r="AK403" s="378"/>
      <c r="AL403" s="378"/>
      <c r="AM403" s="378"/>
      <c r="AN403" s="378"/>
      <c r="AO403" s="378"/>
      <c r="AP403" s="378"/>
      <c r="AQ403" s="378"/>
      <c r="AR403" s="378"/>
      <c r="AS403" s="378"/>
      <c r="AT403" s="378"/>
      <c r="AU403" s="378"/>
      <c r="AV403" s="378"/>
      <c r="AW403" s="378"/>
      <c r="AX403" s="378"/>
      <c r="AY403" s="378"/>
      <c r="AZ403" s="378"/>
    </row>
    <row r="404" spans="1:52" hidden="1" x14ac:dyDescent="0.25">
      <c r="A404" s="378"/>
      <c r="B404" s="378"/>
      <c r="C404" s="378"/>
      <c r="D404" s="378"/>
      <c r="E404" s="378"/>
      <c r="F404" s="378"/>
      <c r="G404" s="378"/>
      <c r="H404" s="378"/>
      <c r="I404" s="378"/>
      <c r="J404" s="378"/>
      <c r="K404" s="378"/>
      <c r="L404" s="378"/>
      <c r="M404" s="378"/>
      <c r="N404" s="378"/>
      <c r="O404" s="378"/>
      <c r="P404" s="378"/>
      <c r="Q404" s="378"/>
      <c r="R404" s="378"/>
      <c r="S404" s="378"/>
      <c r="T404" s="378"/>
      <c r="U404" s="378"/>
      <c r="V404" s="378"/>
      <c r="W404" s="378"/>
      <c r="X404" s="378"/>
      <c r="Y404" s="378"/>
      <c r="Z404" s="378"/>
      <c r="AA404" s="378"/>
      <c r="AB404" s="378"/>
      <c r="AC404" s="378"/>
      <c r="AD404" s="378"/>
      <c r="AE404" s="378"/>
      <c r="AF404" s="378"/>
      <c r="AG404" s="378"/>
      <c r="AH404" s="378"/>
      <c r="AI404" s="378"/>
      <c r="AJ404" s="378"/>
      <c r="AK404" s="378"/>
      <c r="AL404" s="378"/>
      <c r="AM404" s="378"/>
      <c r="AN404" s="378"/>
      <c r="AO404" s="378"/>
      <c r="AP404" s="378"/>
      <c r="AQ404" s="378"/>
      <c r="AR404" s="378"/>
      <c r="AS404" s="378"/>
      <c r="AT404" s="378"/>
      <c r="AU404" s="378"/>
      <c r="AV404" s="378"/>
      <c r="AW404" s="378"/>
      <c r="AX404" s="378"/>
      <c r="AY404" s="378"/>
      <c r="AZ404" s="378"/>
    </row>
    <row r="405" spans="1:52" hidden="1" x14ac:dyDescent="0.25">
      <c r="A405" s="378"/>
      <c r="B405" s="378"/>
      <c r="C405" s="378"/>
      <c r="D405" s="378"/>
      <c r="E405" s="378"/>
      <c r="F405" s="378"/>
      <c r="G405" s="378"/>
      <c r="H405" s="378"/>
      <c r="I405" s="378"/>
      <c r="J405" s="378"/>
      <c r="K405" s="378"/>
      <c r="L405" s="378"/>
      <c r="M405" s="378"/>
      <c r="N405" s="378"/>
      <c r="O405" s="378"/>
      <c r="P405" s="378"/>
      <c r="Q405" s="378"/>
      <c r="R405" s="378"/>
      <c r="S405" s="378"/>
      <c r="T405" s="378"/>
      <c r="U405" s="378"/>
      <c r="V405" s="378"/>
      <c r="W405" s="378"/>
      <c r="X405" s="378"/>
      <c r="Y405" s="378"/>
      <c r="Z405" s="378"/>
      <c r="AA405" s="378"/>
      <c r="AB405" s="378"/>
      <c r="AC405" s="378"/>
      <c r="AD405" s="378"/>
      <c r="AE405" s="378"/>
      <c r="AF405" s="378"/>
      <c r="AG405" s="378"/>
      <c r="AH405" s="378"/>
      <c r="AI405" s="378"/>
      <c r="AJ405" s="378"/>
      <c r="AK405" s="378"/>
      <c r="AL405" s="378"/>
      <c r="AM405" s="378"/>
      <c r="AN405" s="378"/>
      <c r="AO405" s="378"/>
      <c r="AP405" s="378"/>
      <c r="AQ405" s="378"/>
      <c r="AR405" s="378"/>
      <c r="AS405" s="378"/>
      <c r="AT405" s="378"/>
      <c r="AU405" s="378"/>
      <c r="AV405" s="378"/>
      <c r="AW405" s="378"/>
      <c r="AX405" s="378"/>
      <c r="AY405" s="378"/>
      <c r="AZ405" s="378"/>
    </row>
    <row r="406" spans="1:52" hidden="1" x14ac:dyDescent="0.25">
      <c r="A406" s="378"/>
      <c r="B406" s="378"/>
      <c r="C406" s="378"/>
      <c r="D406" s="378"/>
      <c r="E406" s="378"/>
      <c r="F406" s="378"/>
      <c r="G406" s="378"/>
      <c r="H406" s="378"/>
      <c r="I406" s="378"/>
      <c r="J406" s="378"/>
      <c r="K406" s="378"/>
      <c r="L406" s="378"/>
      <c r="M406" s="378"/>
      <c r="N406" s="378"/>
      <c r="O406" s="378"/>
      <c r="P406" s="378"/>
      <c r="Q406" s="378"/>
      <c r="R406" s="378"/>
      <c r="S406" s="378"/>
      <c r="T406" s="378"/>
      <c r="U406" s="378"/>
      <c r="V406" s="378"/>
      <c r="W406" s="378"/>
      <c r="X406" s="378"/>
      <c r="Y406" s="378"/>
      <c r="Z406" s="378"/>
      <c r="AA406" s="378"/>
      <c r="AB406" s="378"/>
      <c r="AC406" s="378"/>
      <c r="AD406" s="378"/>
      <c r="AE406" s="378"/>
      <c r="AF406" s="378"/>
      <c r="AG406" s="378"/>
      <c r="AH406" s="378"/>
      <c r="AI406" s="378"/>
      <c r="AJ406" s="378"/>
      <c r="AK406" s="378"/>
      <c r="AL406" s="378"/>
      <c r="AM406" s="378"/>
      <c r="AN406" s="378"/>
      <c r="AO406" s="378"/>
      <c r="AP406" s="378"/>
      <c r="AQ406" s="378"/>
      <c r="AR406" s="378"/>
      <c r="AS406" s="378"/>
      <c r="AT406" s="378"/>
      <c r="AU406" s="378"/>
      <c r="AV406" s="378"/>
      <c r="AW406" s="378"/>
      <c r="AX406" s="378"/>
      <c r="AY406" s="378"/>
      <c r="AZ406" s="378"/>
    </row>
    <row r="407" spans="1:52" hidden="1" x14ac:dyDescent="0.25">
      <c r="A407" s="378"/>
      <c r="B407" s="378"/>
      <c r="C407" s="378"/>
      <c r="D407" s="378"/>
      <c r="E407" s="378"/>
      <c r="F407" s="378"/>
      <c r="G407" s="378"/>
      <c r="H407" s="378"/>
      <c r="I407" s="378"/>
      <c r="J407" s="378"/>
      <c r="K407" s="378"/>
      <c r="L407" s="378"/>
      <c r="M407" s="378"/>
      <c r="N407" s="378"/>
      <c r="O407" s="378"/>
      <c r="P407" s="378"/>
      <c r="Q407" s="378"/>
      <c r="R407" s="378"/>
      <c r="S407" s="378"/>
      <c r="T407" s="378"/>
      <c r="U407" s="378"/>
      <c r="V407" s="378"/>
      <c r="W407" s="378"/>
      <c r="X407" s="378"/>
      <c r="Y407" s="378"/>
      <c r="Z407" s="378"/>
      <c r="AA407" s="378"/>
      <c r="AB407" s="378"/>
      <c r="AC407" s="378"/>
      <c r="AD407" s="378"/>
      <c r="AE407" s="378"/>
      <c r="AF407" s="378"/>
      <c r="AG407" s="378"/>
      <c r="AH407" s="378"/>
      <c r="AI407" s="378"/>
      <c r="AJ407" s="378"/>
      <c r="AK407" s="378"/>
      <c r="AL407" s="378"/>
      <c r="AM407" s="378"/>
      <c r="AN407" s="378"/>
      <c r="AO407" s="378"/>
      <c r="AP407" s="378"/>
      <c r="AQ407" s="378"/>
      <c r="AR407" s="378"/>
      <c r="AS407" s="378"/>
      <c r="AT407" s="378"/>
      <c r="AU407" s="378"/>
      <c r="AV407" s="378"/>
      <c r="AW407" s="378"/>
      <c r="AX407" s="378"/>
      <c r="AY407" s="378"/>
      <c r="AZ407" s="378"/>
    </row>
    <row r="408" spans="1:52" hidden="1" x14ac:dyDescent="0.25">
      <c r="A408" s="378"/>
      <c r="B408" s="378"/>
      <c r="C408" s="378"/>
      <c r="D408" s="378"/>
      <c r="E408" s="378"/>
      <c r="F408" s="378"/>
      <c r="G408" s="378"/>
      <c r="H408" s="378"/>
      <c r="I408" s="378"/>
      <c r="J408" s="378"/>
      <c r="K408" s="378"/>
      <c r="L408" s="378"/>
      <c r="M408" s="378"/>
      <c r="N408" s="378"/>
      <c r="O408" s="378"/>
      <c r="P408" s="378"/>
      <c r="Q408" s="378"/>
      <c r="R408" s="378"/>
      <c r="S408" s="378"/>
      <c r="T408" s="378"/>
      <c r="U408" s="378"/>
      <c r="V408" s="378"/>
      <c r="W408" s="378"/>
      <c r="X408" s="378"/>
      <c r="Y408" s="378"/>
      <c r="Z408" s="378"/>
      <c r="AA408" s="378"/>
      <c r="AB408" s="378"/>
      <c r="AC408" s="378"/>
      <c r="AD408" s="378"/>
      <c r="AE408" s="378"/>
      <c r="AF408" s="378"/>
      <c r="AG408" s="378"/>
      <c r="AH408" s="378"/>
      <c r="AI408" s="378"/>
      <c r="AJ408" s="378"/>
      <c r="AK408" s="378"/>
      <c r="AL408" s="378"/>
      <c r="AM408" s="378"/>
      <c r="AN408" s="378"/>
      <c r="AO408" s="378"/>
      <c r="AP408" s="378"/>
      <c r="AQ408" s="378"/>
      <c r="AR408" s="378"/>
      <c r="AS408" s="378"/>
      <c r="AT408" s="378"/>
      <c r="AU408" s="378"/>
      <c r="AV408" s="378"/>
      <c r="AW408" s="378"/>
      <c r="AX408" s="378"/>
      <c r="AY408" s="378"/>
      <c r="AZ408" s="378"/>
    </row>
    <row r="409" spans="1:52" hidden="1" x14ac:dyDescent="0.25">
      <c r="A409" s="378"/>
      <c r="B409" s="378"/>
      <c r="C409" s="378"/>
      <c r="D409" s="378"/>
      <c r="E409" s="378"/>
      <c r="F409" s="378"/>
      <c r="G409" s="378"/>
      <c r="H409" s="378"/>
      <c r="I409" s="378"/>
      <c r="J409" s="378"/>
      <c r="K409" s="378"/>
      <c r="L409" s="378"/>
      <c r="M409" s="378"/>
      <c r="N409" s="378"/>
      <c r="O409" s="378"/>
      <c r="P409" s="378"/>
      <c r="Q409" s="378"/>
      <c r="R409" s="378"/>
      <c r="S409" s="378"/>
      <c r="T409" s="378"/>
      <c r="U409" s="378"/>
      <c r="V409" s="378"/>
      <c r="W409" s="378"/>
      <c r="X409" s="378"/>
      <c r="Y409" s="378"/>
      <c r="Z409" s="378"/>
      <c r="AA409" s="378"/>
      <c r="AB409" s="378"/>
      <c r="AC409" s="378"/>
      <c r="AD409" s="378"/>
      <c r="AE409" s="378"/>
      <c r="AF409" s="378"/>
      <c r="AG409" s="378"/>
      <c r="AH409" s="378"/>
      <c r="AI409" s="378"/>
      <c r="AJ409" s="378"/>
      <c r="AK409" s="378"/>
      <c r="AL409" s="378"/>
      <c r="AM409" s="378"/>
      <c r="AN409" s="378"/>
      <c r="AO409" s="378"/>
      <c r="AP409" s="378"/>
      <c r="AQ409" s="378"/>
      <c r="AR409" s="378"/>
      <c r="AS409" s="378"/>
      <c r="AT409" s="378"/>
      <c r="AU409" s="378"/>
      <c r="AV409" s="378"/>
      <c r="AW409" s="378"/>
      <c r="AX409" s="378"/>
      <c r="AY409" s="378"/>
      <c r="AZ409" s="378"/>
    </row>
    <row r="410" spans="1:52" hidden="1" x14ac:dyDescent="0.25">
      <c r="A410" s="378"/>
      <c r="B410" s="378"/>
      <c r="C410" s="378"/>
      <c r="D410" s="378"/>
      <c r="E410" s="378"/>
      <c r="F410" s="378"/>
      <c r="G410" s="378"/>
      <c r="H410" s="378"/>
      <c r="I410" s="378"/>
      <c r="J410" s="378"/>
      <c r="K410" s="378"/>
      <c r="L410" s="378"/>
      <c r="M410" s="378"/>
      <c r="N410" s="378"/>
      <c r="O410" s="378"/>
      <c r="P410" s="378"/>
      <c r="Q410" s="378"/>
      <c r="R410" s="378"/>
      <c r="S410" s="378"/>
      <c r="T410" s="378"/>
      <c r="U410" s="378"/>
      <c r="V410" s="378"/>
      <c r="W410" s="378"/>
      <c r="X410" s="378"/>
      <c r="Y410" s="378"/>
      <c r="Z410" s="378"/>
      <c r="AA410" s="378"/>
      <c r="AB410" s="378"/>
      <c r="AC410" s="378"/>
      <c r="AD410" s="378"/>
      <c r="AE410" s="378"/>
      <c r="AF410" s="378"/>
      <c r="AG410" s="378"/>
      <c r="AH410" s="378"/>
      <c r="AI410" s="378"/>
      <c r="AJ410" s="378"/>
      <c r="AK410" s="378"/>
      <c r="AL410" s="378"/>
      <c r="AM410" s="378"/>
      <c r="AN410" s="378"/>
      <c r="AO410" s="378"/>
      <c r="AP410" s="378"/>
      <c r="AQ410" s="378"/>
      <c r="AR410" s="378"/>
      <c r="AS410" s="378"/>
      <c r="AT410" s="378"/>
      <c r="AU410" s="378"/>
      <c r="AV410" s="378"/>
      <c r="AW410" s="378"/>
      <c r="AX410" s="378"/>
      <c r="AY410" s="378"/>
      <c r="AZ410" s="378"/>
    </row>
    <row r="411" spans="1:52" hidden="1" x14ac:dyDescent="0.25">
      <c r="A411" s="378"/>
      <c r="B411" s="378"/>
      <c r="C411" s="378"/>
      <c r="D411" s="378"/>
      <c r="E411" s="378"/>
      <c r="F411" s="378"/>
      <c r="G411" s="378"/>
      <c r="H411" s="378"/>
      <c r="I411" s="378"/>
      <c r="J411" s="378"/>
      <c r="K411" s="378"/>
      <c r="L411" s="378"/>
      <c r="M411" s="378"/>
      <c r="N411" s="378"/>
      <c r="O411" s="378"/>
      <c r="P411" s="378"/>
      <c r="Q411" s="378"/>
      <c r="R411" s="378"/>
      <c r="S411" s="378"/>
      <c r="T411" s="378"/>
      <c r="U411" s="378"/>
      <c r="V411" s="378"/>
      <c r="W411" s="378"/>
      <c r="X411" s="378"/>
      <c r="Y411" s="378"/>
      <c r="Z411" s="378"/>
      <c r="AA411" s="378"/>
      <c r="AB411" s="378"/>
      <c r="AC411" s="378"/>
      <c r="AD411" s="378"/>
      <c r="AE411" s="378"/>
      <c r="AF411" s="378"/>
      <c r="AG411" s="378"/>
      <c r="AH411" s="378"/>
      <c r="AI411" s="378"/>
      <c r="AJ411" s="378"/>
      <c r="AK411" s="378"/>
      <c r="AL411" s="378"/>
      <c r="AM411" s="378"/>
      <c r="AN411" s="378"/>
      <c r="AO411" s="378"/>
      <c r="AP411" s="378"/>
      <c r="AQ411" s="378"/>
      <c r="AR411" s="378"/>
      <c r="AS411" s="378"/>
      <c r="AT411" s="378"/>
      <c r="AU411" s="378"/>
      <c r="AV411" s="378"/>
      <c r="AW411" s="378"/>
      <c r="AX411" s="378"/>
      <c r="AY411" s="378"/>
      <c r="AZ411" s="378"/>
    </row>
    <row r="412" spans="1:52" hidden="1" x14ac:dyDescent="0.25">
      <c r="A412" s="378"/>
      <c r="B412" s="378"/>
      <c r="C412" s="378"/>
      <c r="D412" s="378"/>
      <c r="E412" s="378"/>
      <c r="F412" s="378"/>
      <c r="G412" s="378"/>
      <c r="H412" s="378"/>
      <c r="I412" s="378"/>
      <c r="J412" s="378"/>
      <c r="K412" s="378"/>
      <c r="L412" s="378"/>
      <c r="M412" s="378"/>
      <c r="N412" s="378"/>
      <c r="O412" s="378"/>
      <c r="P412" s="378"/>
      <c r="Q412" s="378"/>
      <c r="R412" s="378"/>
      <c r="S412" s="378"/>
      <c r="T412" s="378"/>
      <c r="U412" s="378"/>
      <c r="V412" s="378"/>
      <c r="W412" s="378"/>
      <c r="X412" s="378"/>
      <c r="Y412" s="378"/>
      <c r="Z412" s="378"/>
      <c r="AA412" s="378"/>
      <c r="AB412" s="378"/>
      <c r="AC412" s="378"/>
      <c r="AD412" s="378"/>
      <c r="AE412" s="378"/>
      <c r="AF412" s="378"/>
      <c r="AG412" s="378"/>
      <c r="AH412" s="378"/>
      <c r="AI412" s="378"/>
      <c r="AJ412" s="378"/>
      <c r="AK412" s="378"/>
      <c r="AL412" s="378"/>
      <c r="AM412" s="378"/>
      <c r="AN412" s="378"/>
      <c r="AO412" s="378"/>
      <c r="AP412" s="378"/>
      <c r="AQ412" s="378"/>
      <c r="AR412" s="378"/>
      <c r="AS412" s="378"/>
      <c r="AT412" s="378"/>
      <c r="AU412" s="378"/>
      <c r="AV412" s="378"/>
      <c r="AW412" s="378"/>
      <c r="AX412" s="378"/>
      <c r="AY412" s="378"/>
      <c r="AZ412" s="378"/>
    </row>
    <row r="413" spans="1:52" hidden="1" x14ac:dyDescent="0.25">
      <c r="A413" s="378"/>
      <c r="B413" s="378"/>
      <c r="C413" s="378"/>
      <c r="D413" s="378"/>
      <c r="E413" s="378"/>
      <c r="F413" s="378"/>
      <c r="G413" s="378"/>
      <c r="H413" s="378"/>
      <c r="I413" s="378"/>
      <c r="J413" s="378"/>
      <c r="K413" s="378"/>
      <c r="L413" s="378"/>
      <c r="M413" s="378"/>
      <c r="N413" s="378"/>
      <c r="O413" s="378"/>
      <c r="P413" s="378"/>
      <c r="Q413" s="378"/>
      <c r="R413" s="378"/>
      <c r="S413" s="378"/>
      <c r="T413" s="378"/>
      <c r="U413" s="378"/>
      <c r="V413" s="378"/>
      <c r="W413" s="378"/>
      <c r="X413" s="378"/>
      <c r="Y413" s="378"/>
      <c r="Z413" s="378"/>
      <c r="AA413" s="378"/>
      <c r="AB413" s="378"/>
      <c r="AC413" s="378"/>
      <c r="AD413" s="378"/>
      <c r="AE413" s="378"/>
      <c r="AF413" s="378"/>
      <c r="AG413" s="378"/>
      <c r="AH413" s="378"/>
      <c r="AI413" s="378"/>
      <c r="AJ413" s="378"/>
      <c r="AK413" s="378"/>
      <c r="AL413" s="378"/>
      <c r="AM413" s="378"/>
      <c r="AN413" s="378"/>
      <c r="AO413" s="378"/>
      <c r="AP413" s="378"/>
      <c r="AQ413" s="378"/>
      <c r="AR413" s="378"/>
      <c r="AS413" s="378"/>
      <c r="AT413" s="378"/>
      <c r="AU413" s="378"/>
      <c r="AV413" s="378"/>
      <c r="AW413" s="378"/>
      <c r="AX413" s="378"/>
      <c r="AY413" s="378"/>
      <c r="AZ413" s="378"/>
    </row>
    <row r="414" spans="1:52" hidden="1" x14ac:dyDescent="0.25">
      <c r="A414" s="378"/>
      <c r="B414" s="378"/>
      <c r="C414" s="378"/>
      <c r="D414" s="378"/>
      <c r="E414" s="378"/>
      <c r="F414" s="378"/>
      <c r="G414" s="378"/>
      <c r="H414" s="378"/>
      <c r="I414" s="378"/>
      <c r="J414" s="378"/>
      <c r="K414" s="378"/>
      <c r="L414" s="378"/>
      <c r="M414" s="378"/>
      <c r="N414" s="378"/>
      <c r="O414" s="378"/>
      <c r="P414" s="378"/>
      <c r="Q414" s="378"/>
      <c r="R414" s="378"/>
      <c r="S414" s="378"/>
      <c r="T414" s="378"/>
      <c r="U414" s="378"/>
      <c r="V414" s="378"/>
      <c r="W414" s="378"/>
      <c r="X414" s="378"/>
      <c r="Y414" s="378"/>
      <c r="Z414" s="378"/>
      <c r="AA414" s="378"/>
      <c r="AB414" s="378"/>
      <c r="AC414" s="378"/>
      <c r="AD414" s="378"/>
      <c r="AE414" s="378"/>
      <c r="AF414" s="378"/>
      <c r="AG414" s="378"/>
      <c r="AH414" s="378"/>
      <c r="AI414" s="378"/>
      <c r="AJ414" s="378"/>
      <c r="AK414" s="378"/>
      <c r="AL414" s="378"/>
      <c r="AM414" s="378"/>
      <c r="AN414" s="378"/>
      <c r="AO414" s="378"/>
      <c r="AP414" s="378"/>
      <c r="AQ414" s="378"/>
      <c r="AR414" s="378"/>
      <c r="AS414" s="378"/>
      <c r="AT414" s="378"/>
      <c r="AU414" s="378"/>
      <c r="AV414" s="378"/>
      <c r="AW414" s="378"/>
      <c r="AX414" s="378"/>
      <c r="AY414" s="378"/>
      <c r="AZ414" s="378"/>
    </row>
    <row r="415" spans="1:52" hidden="1" x14ac:dyDescent="0.25">
      <c r="A415" s="378"/>
      <c r="B415" s="378"/>
      <c r="C415" s="378"/>
      <c r="D415" s="378"/>
      <c r="E415" s="378"/>
      <c r="F415" s="378"/>
      <c r="G415" s="378"/>
      <c r="H415" s="378"/>
      <c r="I415" s="378"/>
      <c r="J415" s="378"/>
      <c r="K415" s="378"/>
      <c r="L415" s="378"/>
      <c r="M415" s="378"/>
      <c r="N415" s="378"/>
      <c r="O415" s="378"/>
      <c r="P415" s="378"/>
      <c r="Q415" s="378"/>
      <c r="R415" s="378"/>
      <c r="S415" s="378"/>
      <c r="T415" s="378"/>
      <c r="U415" s="378"/>
      <c r="V415" s="378"/>
      <c r="W415" s="378"/>
      <c r="X415" s="378"/>
      <c r="Y415" s="378"/>
      <c r="Z415" s="378"/>
      <c r="AA415" s="378"/>
      <c r="AB415" s="378"/>
      <c r="AC415" s="378"/>
      <c r="AD415" s="378"/>
      <c r="AE415" s="378"/>
      <c r="AF415" s="378"/>
      <c r="AG415" s="378"/>
      <c r="AH415" s="378"/>
      <c r="AI415" s="378"/>
      <c r="AJ415" s="378"/>
      <c r="AK415" s="378"/>
      <c r="AL415" s="378"/>
      <c r="AM415" s="378"/>
      <c r="AN415" s="378"/>
      <c r="AO415" s="378"/>
      <c r="AP415" s="378"/>
      <c r="AQ415" s="378"/>
      <c r="AR415" s="378"/>
      <c r="AS415" s="378"/>
      <c r="AT415" s="378"/>
      <c r="AU415" s="378"/>
      <c r="AV415" s="378"/>
      <c r="AW415" s="378"/>
      <c r="AX415" s="378"/>
      <c r="AY415" s="378"/>
      <c r="AZ415" s="378"/>
    </row>
    <row r="416" spans="1:52" hidden="1" x14ac:dyDescent="0.25">
      <c r="A416" s="378"/>
      <c r="B416" s="378"/>
      <c r="C416" s="378"/>
      <c r="D416" s="378"/>
      <c r="E416" s="378"/>
      <c r="F416" s="378"/>
      <c r="G416" s="378"/>
      <c r="H416" s="378"/>
      <c r="I416" s="378"/>
      <c r="J416" s="378"/>
      <c r="K416" s="378"/>
      <c r="L416" s="378"/>
      <c r="M416" s="378"/>
      <c r="N416" s="378"/>
      <c r="O416" s="378"/>
      <c r="P416" s="378"/>
      <c r="Q416" s="378"/>
      <c r="R416" s="378"/>
      <c r="S416" s="378"/>
      <c r="T416" s="378"/>
      <c r="U416" s="378"/>
      <c r="V416" s="378"/>
      <c r="W416" s="378"/>
      <c r="X416" s="378"/>
      <c r="Y416" s="378"/>
      <c r="Z416" s="378"/>
      <c r="AA416" s="378"/>
      <c r="AB416" s="378"/>
      <c r="AC416" s="378"/>
      <c r="AD416" s="378"/>
      <c r="AE416" s="378"/>
      <c r="AF416" s="378"/>
      <c r="AG416" s="378"/>
      <c r="AH416" s="378"/>
      <c r="AI416" s="378"/>
      <c r="AJ416" s="378"/>
      <c r="AK416" s="378"/>
      <c r="AL416" s="378"/>
      <c r="AM416" s="378"/>
      <c r="AN416" s="378"/>
      <c r="AO416" s="378"/>
      <c r="AP416" s="378"/>
      <c r="AQ416" s="378"/>
      <c r="AR416" s="378"/>
      <c r="AS416" s="378"/>
      <c r="AT416" s="378"/>
      <c r="AU416" s="378"/>
      <c r="AV416" s="378"/>
      <c r="AW416" s="378"/>
      <c r="AX416" s="378"/>
      <c r="AY416" s="378"/>
      <c r="AZ416" s="378"/>
    </row>
    <row r="417" spans="1:52" hidden="1" x14ac:dyDescent="0.25">
      <c r="A417" s="378"/>
      <c r="B417" s="378"/>
      <c r="C417" s="378"/>
      <c r="D417" s="378"/>
      <c r="E417" s="378"/>
      <c r="F417" s="378"/>
      <c r="G417" s="378"/>
      <c r="H417" s="378"/>
      <c r="I417" s="378"/>
      <c r="J417" s="378"/>
      <c r="K417" s="378"/>
      <c r="L417" s="378"/>
      <c r="M417" s="378"/>
      <c r="N417" s="378"/>
      <c r="O417" s="378"/>
      <c r="P417" s="378"/>
      <c r="Q417" s="378"/>
      <c r="R417" s="378"/>
      <c r="S417" s="378"/>
      <c r="T417" s="378"/>
      <c r="U417" s="378"/>
      <c r="V417" s="378"/>
      <c r="W417" s="378"/>
      <c r="X417" s="378"/>
      <c r="Y417" s="378"/>
      <c r="Z417" s="378"/>
      <c r="AA417" s="378"/>
      <c r="AB417" s="378"/>
      <c r="AC417" s="378"/>
      <c r="AD417" s="378"/>
      <c r="AE417" s="378"/>
      <c r="AF417" s="378"/>
      <c r="AG417" s="378"/>
      <c r="AH417" s="378"/>
      <c r="AI417" s="378"/>
      <c r="AJ417" s="378"/>
      <c r="AK417" s="378"/>
      <c r="AL417" s="378"/>
      <c r="AM417" s="378"/>
      <c r="AN417" s="378"/>
      <c r="AO417" s="378"/>
      <c r="AP417" s="378"/>
      <c r="AQ417" s="378"/>
      <c r="AR417" s="378"/>
      <c r="AS417" s="378"/>
      <c r="AT417" s="378"/>
      <c r="AU417" s="378"/>
      <c r="AV417" s="378"/>
      <c r="AW417" s="378"/>
      <c r="AX417" s="378"/>
      <c r="AY417" s="378"/>
      <c r="AZ417" s="378"/>
    </row>
    <row r="418" spans="1:52" hidden="1" x14ac:dyDescent="0.25">
      <c r="A418" s="378"/>
      <c r="B418" s="378"/>
      <c r="C418" s="378"/>
      <c r="D418" s="378"/>
      <c r="E418" s="378"/>
      <c r="F418" s="378"/>
      <c r="G418" s="378"/>
      <c r="H418" s="378"/>
      <c r="I418" s="378"/>
      <c r="J418" s="378"/>
      <c r="K418" s="378"/>
      <c r="L418" s="378"/>
      <c r="M418" s="378"/>
      <c r="N418" s="378"/>
      <c r="O418" s="378"/>
      <c r="P418" s="378"/>
      <c r="Q418" s="378"/>
      <c r="R418" s="378"/>
      <c r="S418" s="378"/>
      <c r="T418" s="378"/>
      <c r="U418" s="378"/>
      <c r="V418" s="378"/>
      <c r="W418" s="378"/>
      <c r="X418" s="378"/>
      <c r="Y418" s="378"/>
      <c r="Z418" s="378"/>
      <c r="AA418" s="378"/>
      <c r="AB418" s="378"/>
      <c r="AC418" s="378"/>
      <c r="AD418" s="378"/>
      <c r="AE418" s="378"/>
      <c r="AF418" s="378"/>
      <c r="AG418" s="378"/>
      <c r="AH418" s="378"/>
      <c r="AI418" s="378"/>
      <c r="AJ418" s="378"/>
      <c r="AK418" s="378"/>
      <c r="AL418" s="378"/>
      <c r="AM418" s="378"/>
      <c r="AN418" s="378"/>
      <c r="AO418" s="378"/>
      <c r="AP418" s="378"/>
      <c r="AQ418" s="378"/>
      <c r="AR418" s="378"/>
      <c r="AS418" s="378"/>
      <c r="AT418" s="378"/>
      <c r="AU418" s="378"/>
      <c r="AV418" s="378"/>
      <c r="AW418" s="378"/>
      <c r="AX418" s="378"/>
      <c r="AY418" s="378"/>
      <c r="AZ418" s="378"/>
    </row>
    <row r="419" spans="1:52" hidden="1" x14ac:dyDescent="0.25">
      <c r="A419" s="378"/>
      <c r="B419" s="378"/>
      <c r="C419" s="378"/>
      <c r="D419" s="378"/>
      <c r="E419" s="378"/>
      <c r="F419" s="378"/>
      <c r="G419" s="378"/>
      <c r="H419" s="378"/>
      <c r="I419" s="378"/>
      <c r="J419" s="378"/>
      <c r="K419" s="378"/>
      <c r="L419" s="378"/>
      <c r="M419" s="378"/>
      <c r="N419" s="378"/>
      <c r="O419" s="378"/>
      <c r="P419" s="378"/>
      <c r="Q419" s="378"/>
      <c r="R419" s="378"/>
      <c r="S419" s="378"/>
      <c r="T419" s="378"/>
      <c r="U419" s="378"/>
      <c r="V419" s="378"/>
      <c r="W419" s="378"/>
      <c r="X419" s="378"/>
      <c r="Y419" s="378"/>
      <c r="Z419" s="378"/>
      <c r="AA419" s="378"/>
      <c r="AB419" s="378"/>
      <c r="AC419" s="378"/>
      <c r="AD419" s="378"/>
      <c r="AE419" s="378"/>
      <c r="AF419" s="378"/>
      <c r="AG419" s="378"/>
      <c r="AH419" s="378"/>
      <c r="AI419" s="378"/>
      <c r="AJ419" s="378"/>
      <c r="AK419" s="378"/>
      <c r="AL419" s="378"/>
      <c r="AM419" s="378"/>
      <c r="AN419" s="378"/>
      <c r="AO419" s="378"/>
      <c r="AP419" s="378"/>
      <c r="AQ419" s="378"/>
      <c r="AR419" s="378"/>
      <c r="AS419" s="378"/>
      <c r="AT419" s="378"/>
      <c r="AU419" s="378"/>
      <c r="AV419" s="378"/>
      <c r="AW419" s="378"/>
      <c r="AX419" s="378"/>
      <c r="AY419" s="378"/>
      <c r="AZ419" s="378"/>
    </row>
    <row r="420" spans="1:52" hidden="1" x14ac:dyDescent="0.25">
      <c r="A420" s="378"/>
      <c r="B420" s="378"/>
      <c r="C420" s="378"/>
      <c r="D420" s="378"/>
      <c r="E420" s="378"/>
      <c r="F420" s="378"/>
      <c r="G420" s="378"/>
      <c r="H420" s="378"/>
      <c r="I420" s="378"/>
      <c r="J420" s="378"/>
      <c r="K420" s="378"/>
      <c r="L420" s="378"/>
      <c r="M420" s="378"/>
      <c r="N420" s="378"/>
      <c r="O420" s="378"/>
      <c r="P420" s="378"/>
      <c r="Q420" s="378"/>
      <c r="R420" s="378"/>
      <c r="S420" s="378"/>
      <c r="T420" s="378"/>
      <c r="U420" s="378"/>
      <c r="V420" s="378"/>
      <c r="W420" s="378"/>
      <c r="X420" s="378"/>
      <c r="Y420" s="378"/>
      <c r="Z420" s="378"/>
      <c r="AA420" s="378"/>
      <c r="AB420" s="378"/>
      <c r="AC420" s="378"/>
      <c r="AD420" s="378"/>
      <c r="AE420" s="378"/>
      <c r="AF420" s="378"/>
      <c r="AG420" s="378"/>
      <c r="AH420" s="378"/>
      <c r="AI420" s="378"/>
      <c r="AJ420" s="378"/>
      <c r="AK420" s="378"/>
      <c r="AL420" s="378"/>
      <c r="AM420" s="378"/>
      <c r="AN420" s="378"/>
      <c r="AO420" s="378"/>
      <c r="AP420" s="378"/>
      <c r="AQ420" s="378"/>
      <c r="AR420" s="378"/>
      <c r="AS420" s="378"/>
      <c r="AT420" s="378"/>
      <c r="AU420" s="378"/>
      <c r="AV420" s="378"/>
      <c r="AW420" s="378"/>
      <c r="AX420" s="378"/>
      <c r="AY420" s="378"/>
      <c r="AZ420" s="378"/>
    </row>
    <row r="421" spans="1:52" hidden="1" x14ac:dyDescent="0.25">
      <c r="A421" s="378"/>
      <c r="B421" s="378"/>
      <c r="C421" s="378"/>
      <c r="D421" s="378"/>
      <c r="E421" s="378"/>
      <c r="F421" s="378"/>
      <c r="G421" s="378"/>
      <c r="H421" s="378"/>
      <c r="I421" s="378"/>
      <c r="J421" s="378"/>
      <c r="K421" s="378"/>
      <c r="L421" s="378"/>
      <c r="M421" s="378"/>
      <c r="N421" s="378"/>
      <c r="O421" s="378"/>
      <c r="P421" s="378"/>
      <c r="Q421" s="378"/>
      <c r="R421" s="378"/>
      <c r="S421" s="378"/>
      <c r="T421" s="378"/>
      <c r="U421" s="378"/>
      <c r="V421" s="378"/>
      <c r="W421" s="378"/>
      <c r="X421" s="378"/>
      <c r="Y421" s="378"/>
      <c r="Z421" s="378"/>
      <c r="AA421" s="378"/>
      <c r="AB421" s="378"/>
      <c r="AC421" s="378"/>
      <c r="AD421" s="378"/>
      <c r="AE421" s="378"/>
      <c r="AF421" s="378"/>
      <c r="AG421" s="378"/>
      <c r="AH421" s="378"/>
      <c r="AI421" s="378"/>
      <c r="AJ421" s="378"/>
      <c r="AK421" s="378"/>
      <c r="AL421" s="378"/>
      <c r="AM421" s="378"/>
      <c r="AN421" s="378"/>
      <c r="AO421" s="378"/>
      <c r="AP421" s="378"/>
      <c r="AQ421" s="378"/>
      <c r="AR421" s="378"/>
      <c r="AS421" s="378"/>
      <c r="AT421" s="378"/>
      <c r="AU421" s="378"/>
      <c r="AV421" s="378"/>
      <c r="AW421" s="378"/>
      <c r="AX421" s="378"/>
      <c r="AY421" s="378"/>
      <c r="AZ421" s="378"/>
    </row>
    <row r="422" spans="1:52" hidden="1" x14ac:dyDescent="0.25">
      <c r="A422" s="378"/>
      <c r="B422" s="378"/>
      <c r="C422" s="378"/>
      <c r="D422" s="378"/>
      <c r="E422" s="378"/>
      <c r="F422" s="378"/>
      <c r="G422" s="378"/>
      <c r="H422" s="378"/>
      <c r="I422" s="378"/>
      <c r="J422" s="378"/>
      <c r="K422" s="378"/>
      <c r="L422" s="378"/>
      <c r="M422" s="378"/>
      <c r="N422" s="378"/>
      <c r="O422" s="378"/>
      <c r="P422" s="378"/>
      <c r="Q422" s="378"/>
      <c r="R422" s="378"/>
      <c r="S422" s="378"/>
      <c r="T422" s="378"/>
      <c r="U422" s="378"/>
      <c r="V422" s="378"/>
      <c r="W422" s="378"/>
      <c r="X422" s="378"/>
      <c r="Y422" s="378"/>
      <c r="Z422" s="378"/>
      <c r="AA422" s="378"/>
      <c r="AB422" s="378"/>
      <c r="AC422" s="378"/>
      <c r="AD422" s="378"/>
      <c r="AE422" s="378"/>
      <c r="AF422" s="378"/>
      <c r="AG422" s="378"/>
      <c r="AH422" s="378"/>
      <c r="AI422" s="378"/>
      <c r="AJ422" s="378"/>
      <c r="AK422" s="378"/>
      <c r="AL422" s="378"/>
      <c r="AM422" s="378"/>
      <c r="AN422" s="378"/>
      <c r="AO422" s="378"/>
      <c r="AP422" s="378"/>
      <c r="AQ422" s="378"/>
      <c r="AR422" s="378"/>
      <c r="AS422" s="378"/>
      <c r="AT422" s="378"/>
      <c r="AU422" s="378"/>
      <c r="AV422" s="378"/>
      <c r="AW422" s="378"/>
      <c r="AX422" s="378"/>
      <c r="AY422" s="378"/>
      <c r="AZ422" s="378"/>
    </row>
    <row r="423" spans="1:52" hidden="1" x14ac:dyDescent="0.25">
      <c r="A423" s="378"/>
      <c r="B423" s="378"/>
      <c r="C423" s="378"/>
      <c r="D423" s="378"/>
      <c r="E423" s="378"/>
      <c r="F423" s="378"/>
      <c r="G423" s="378"/>
      <c r="H423" s="378"/>
      <c r="I423" s="378"/>
      <c r="J423" s="378"/>
      <c r="K423" s="378"/>
      <c r="L423" s="378"/>
      <c r="M423" s="378"/>
      <c r="N423" s="378"/>
      <c r="O423" s="378"/>
      <c r="P423" s="378"/>
      <c r="Q423" s="378"/>
      <c r="R423" s="378"/>
      <c r="S423" s="378"/>
      <c r="T423" s="378"/>
      <c r="U423" s="378"/>
      <c r="V423" s="378"/>
      <c r="W423" s="378"/>
      <c r="X423" s="378"/>
      <c r="Y423" s="378"/>
      <c r="Z423" s="378"/>
      <c r="AA423" s="378"/>
      <c r="AB423" s="378"/>
      <c r="AC423" s="378"/>
      <c r="AD423" s="378"/>
      <c r="AE423" s="378"/>
      <c r="AF423" s="378"/>
      <c r="AG423" s="378"/>
      <c r="AH423" s="378"/>
      <c r="AI423" s="378"/>
      <c r="AJ423" s="378"/>
      <c r="AK423" s="378"/>
      <c r="AL423" s="378"/>
      <c r="AM423" s="378"/>
      <c r="AN423" s="378"/>
      <c r="AO423" s="378"/>
      <c r="AP423" s="378"/>
      <c r="AQ423" s="378"/>
      <c r="AR423" s="378"/>
      <c r="AS423" s="378"/>
      <c r="AT423" s="378"/>
      <c r="AU423" s="378"/>
      <c r="AV423" s="378"/>
      <c r="AW423" s="378"/>
      <c r="AX423" s="378"/>
      <c r="AY423" s="378"/>
      <c r="AZ423" s="378"/>
    </row>
    <row r="424" spans="1:52" hidden="1" x14ac:dyDescent="0.25">
      <c r="A424" s="378"/>
      <c r="B424" s="378"/>
      <c r="C424" s="378"/>
      <c r="D424" s="378"/>
      <c r="E424" s="378"/>
      <c r="F424" s="378"/>
      <c r="G424" s="378"/>
      <c r="H424" s="378"/>
      <c r="I424" s="378"/>
      <c r="J424" s="378"/>
      <c r="K424" s="378"/>
      <c r="L424" s="378"/>
      <c r="M424" s="378"/>
      <c r="N424" s="378"/>
      <c r="O424" s="378"/>
      <c r="P424" s="378"/>
      <c r="Q424" s="378"/>
      <c r="R424" s="378"/>
      <c r="S424" s="378"/>
      <c r="T424" s="378"/>
      <c r="U424" s="378"/>
      <c r="V424" s="378"/>
      <c r="W424" s="378"/>
      <c r="X424" s="378"/>
      <c r="Y424" s="378"/>
      <c r="Z424" s="378"/>
      <c r="AA424" s="378"/>
      <c r="AB424" s="378"/>
      <c r="AC424" s="378"/>
      <c r="AD424" s="378"/>
      <c r="AE424" s="378"/>
      <c r="AF424" s="378"/>
      <c r="AG424" s="378"/>
      <c r="AH424" s="378"/>
      <c r="AI424" s="378"/>
      <c r="AJ424" s="378"/>
      <c r="AK424" s="378"/>
      <c r="AL424" s="378"/>
      <c r="AM424" s="378"/>
      <c r="AN424" s="378"/>
      <c r="AO424" s="378"/>
      <c r="AP424" s="378"/>
      <c r="AQ424" s="378"/>
      <c r="AR424" s="378"/>
      <c r="AS424" s="378"/>
      <c r="AT424" s="378"/>
      <c r="AU424" s="378"/>
      <c r="AV424" s="378"/>
      <c r="AW424" s="378"/>
      <c r="AX424" s="378"/>
      <c r="AY424" s="378"/>
      <c r="AZ424" s="378"/>
    </row>
    <row r="425" spans="1:52" hidden="1" x14ac:dyDescent="0.25">
      <c r="A425" s="378"/>
      <c r="B425" s="378"/>
      <c r="C425" s="378"/>
      <c r="D425" s="378"/>
      <c r="E425" s="378"/>
      <c r="F425" s="378"/>
      <c r="G425" s="378"/>
      <c r="H425" s="378"/>
      <c r="I425" s="378"/>
      <c r="J425" s="378"/>
      <c r="K425" s="378"/>
      <c r="L425" s="378"/>
      <c r="M425" s="378"/>
      <c r="N425" s="378"/>
      <c r="O425" s="378"/>
      <c r="P425" s="378"/>
      <c r="Q425" s="378"/>
      <c r="R425" s="378"/>
      <c r="S425" s="378"/>
      <c r="T425" s="378"/>
      <c r="U425" s="378"/>
      <c r="V425" s="378"/>
      <c r="W425" s="378"/>
      <c r="X425" s="378"/>
      <c r="Y425" s="378"/>
      <c r="Z425" s="378"/>
      <c r="AA425" s="378"/>
      <c r="AB425" s="378"/>
      <c r="AC425" s="378"/>
      <c r="AD425" s="378"/>
      <c r="AE425" s="378"/>
      <c r="AF425" s="378"/>
      <c r="AG425" s="378"/>
      <c r="AH425" s="378"/>
      <c r="AI425" s="378"/>
      <c r="AJ425" s="378"/>
      <c r="AK425" s="378"/>
      <c r="AL425" s="378"/>
      <c r="AM425" s="378"/>
      <c r="AN425" s="378"/>
      <c r="AO425" s="378"/>
      <c r="AP425" s="378"/>
      <c r="AQ425" s="378"/>
      <c r="AR425" s="378"/>
      <c r="AS425" s="378"/>
      <c r="AT425" s="378"/>
      <c r="AU425" s="378"/>
      <c r="AV425" s="378"/>
      <c r="AW425" s="378"/>
      <c r="AX425" s="378"/>
      <c r="AY425" s="378"/>
      <c r="AZ425" s="378"/>
    </row>
    <row r="426" spans="1:52" hidden="1" x14ac:dyDescent="0.25">
      <c r="A426" s="378"/>
      <c r="B426" s="378"/>
      <c r="C426" s="378"/>
      <c r="D426" s="378"/>
      <c r="E426" s="378"/>
      <c r="F426" s="378"/>
      <c r="G426" s="378"/>
      <c r="H426" s="378"/>
      <c r="I426" s="378"/>
      <c r="J426" s="378"/>
      <c r="K426" s="378"/>
      <c r="L426" s="378"/>
      <c r="M426" s="378"/>
      <c r="N426" s="378"/>
      <c r="O426" s="378"/>
      <c r="P426" s="378"/>
      <c r="Q426" s="378"/>
      <c r="R426" s="378"/>
      <c r="S426" s="378"/>
      <c r="T426" s="378"/>
      <c r="U426" s="378"/>
      <c r="V426" s="378"/>
      <c r="W426" s="378"/>
      <c r="X426" s="378"/>
      <c r="Y426" s="378"/>
      <c r="Z426" s="378"/>
      <c r="AA426" s="378"/>
      <c r="AB426" s="378"/>
      <c r="AC426" s="378"/>
      <c r="AD426" s="378"/>
      <c r="AE426" s="378"/>
      <c r="AF426" s="378"/>
      <c r="AG426" s="378"/>
      <c r="AH426" s="378"/>
      <c r="AI426" s="378"/>
      <c r="AJ426" s="378"/>
      <c r="AK426" s="378"/>
      <c r="AL426" s="378"/>
      <c r="AM426" s="378"/>
      <c r="AN426" s="378"/>
      <c r="AO426" s="378"/>
      <c r="AP426" s="378"/>
      <c r="AQ426" s="378"/>
      <c r="AR426" s="378"/>
      <c r="AS426" s="378"/>
      <c r="AT426" s="378"/>
      <c r="AU426" s="378"/>
      <c r="AV426" s="378"/>
      <c r="AW426" s="378"/>
      <c r="AX426" s="378"/>
      <c r="AY426" s="378"/>
      <c r="AZ426" s="378"/>
    </row>
    <row r="427" spans="1:52" hidden="1" x14ac:dyDescent="0.25">
      <c r="A427" s="532"/>
      <c r="B427" s="532"/>
      <c r="C427" s="532"/>
      <c r="D427" s="532"/>
      <c r="E427" s="532"/>
      <c r="F427" s="532"/>
      <c r="G427" s="532"/>
      <c r="H427" s="532"/>
      <c r="I427" s="532"/>
      <c r="J427" s="532"/>
      <c r="K427" s="532"/>
      <c r="L427" s="532"/>
      <c r="M427" s="532"/>
      <c r="N427" s="532"/>
      <c r="O427" s="532"/>
      <c r="P427" s="532"/>
      <c r="Q427" s="532"/>
      <c r="R427" s="532"/>
      <c r="S427" s="532"/>
      <c r="T427" s="532"/>
      <c r="U427" s="532"/>
      <c r="V427" s="532"/>
      <c r="W427" s="532"/>
      <c r="X427" s="532"/>
      <c r="Y427" s="532"/>
      <c r="Z427" s="532"/>
      <c r="AA427" s="532"/>
      <c r="AB427" s="532"/>
      <c r="AC427" s="532"/>
      <c r="AD427" s="532"/>
      <c r="AE427" s="532"/>
      <c r="AF427" s="532"/>
      <c r="AG427" s="532"/>
      <c r="AH427" s="532"/>
      <c r="AI427" s="532"/>
      <c r="AJ427" s="532"/>
      <c r="AK427" s="532"/>
      <c r="AL427" s="532"/>
      <c r="AM427" s="532"/>
      <c r="AN427" s="532"/>
      <c r="AO427" s="532"/>
      <c r="AP427" s="532"/>
      <c r="AQ427" s="532"/>
      <c r="AR427" s="532"/>
      <c r="AS427" s="532"/>
      <c r="AT427" s="532"/>
      <c r="AU427" s="532"/>
      <c r="AV427" s="532"/>
      <c r="AW427" s="532"/>
      <c r="AX427" s="532"/>
      <c r="AY427" s="532"/>
      <c r="AZ427" s="532"/>
    </row>
    <row r="428" spans="1:52" hidden="1" x14ac:dyDescent="0.25">
      <c r="A428" s="532"/>
      <c r="B428" s="532"/>
      <c r="C428" s="532"/>
      <c r="D428" s="532"/>
      <c r="E428" s="532"/>
      <c r="F428" s="532"/>
      <c r="G428" s="532"/>
      <c r="H428" s="532"/>
      <c r="I428" s="532"/>
      <c r="J428" s="532"/>
      <c r="K428" s="532"/>
      <c r="L428" s="532"/>
      <c r="M428" s="532"/>
      <c r="N428" s="532"/>
      <c r="O428" s="532"/>
      <c r="P428" s="532"/>
      <c r="Q428" s="532"/>
      <c r="R428" s="532"/>
      <c r="S428" s="532"/>
      <c r="T428" s="532"/>
      <c r="U428" s="532"/>
      <c r="V428" s="532"/>
      <c r="W428" s="532"/>
      <c r="X428" s="532"/>
      <c r="Y428" s="532"/>
      <c r="Z428" s="532"/>
      <c r="AA428" s="532"/>
      <c r="AB428" s="532"/>
      <c r="AC428" s="532"/>
      <c r="AD428" s="532"/>
      <c r="AE428" s="532"/>
      <c r="AF428" s="532"/>
      <c r="AG428" s="532"/>
      <c r="AH428" s="532"/>
      <c r="AI428" s="532"/>
      <c r="AJ428" s="532"/>
      <c r="AK428" s="532"/>
      <c r="AL428" s="532"/>
      <c r="AM428" s="532"/>
      <c r="AN428" s="532"/>
      <c r="AO428" s="532"/>
      <c r="AP428" s="532"/>
      <c r="AQ428" s="532"/>
      <c r="AR428" s="532"/>
      <c r="AS428" s="532"/>
      <c r="AT428" s="532"/>
      <c r="AU428" s="532"/>
      <c r="AV428" s="532"/>
      <c r="AW428" s="532"/>
      <c r="AX428" s="532"/>
      <c r="AY428" s="532"/>
      <c r="AZ428" s="532"/>
    </row>
    <row r="429" spans="1:52" hidden="1" x14ac:dyDescent="0.25">
      <c r="A429" s="532"/>
      <c r="B429" s="532"/>
      <c r="C429" s="532"/>
      <c r="D429" s="532"/>
      <c r="E429" s="532"/>
      <c r="F429" s="532"/>
      <c r="G429" s="532"/>
      <c r="H429" s="532"/>
      <c r="I429" s="532"/>
      <c r="J429" s="532"/>
      <c r="K429" s="532"/>
      <c r="L429" s="532"/>
      <c r="M429" s="532"/>
      <c r="N429" s="532"/>
      <c r="O429" s="532"/>
      <c r="P429" s="532"/>
      <c r="Q429" s="532"/>
      <c r="R429" s="532"/>
      <c r="S429" s="532"/>
      <c r="T429" s="532"/>
      <c r="U429" s="532"/>
      <c r="V429" s="532"/>
      <c r="W429" s="532"/>
      <c r="X429" s="532"/>
      <c r="Y429" s="532"/>
      <c r="Z429" s="532"/>
      <c r="AA429" s="532"/>
      <c r="AB429" s="532"/>
      <c r="AC429" s="532"/>
      <c r="AD429" s="532"/>
      <c r="AE429" s="532"/>
      <c r="AF429" s="532"/>
      <c r="AG429" s="532"/>
      <c r="AH429" s="532"/>
      <c r="AI429" s="532"/>
      <c r="AJ429" s="532"/>
      <c r="AK429" s="532"/>
      <c r="AL429" s="532"/>
      <c r="AM429" s="532"/>
      <c r="AN429" s="532"/>
      <c r="AO429" s="532"/>
      <c r="AP429" s="532"/>
      <c r="AQ429" s="532"/>
      <c r="AR429" s="532"/>
      <c r="AS429" s="532"/>
      <c r="AT429" s="532"/>
      <c r="AU429" s="532"/>
      <c r="AV429" s="532"/>
      <c r="AW429" s="532"/>
      <c r="AX429" s="532"/>
      <c r="AY429" s="532"/>
      <c r="AZ429" s="532"/>
    </row>
    <row r="430" spans="1:52" hidden="1" x14ac:dyDescent="0.25">
      <c r="A430" s="378"/>
      <c r="B430" s="378"/>
      <c r="C430" s="378"/>
      <c r="D430" s="378"/>
      <c r="E430" s="378"/>
      <c r="F430" s="378"/>
      <c r="G430" s="378"/>
      <c r="H430" s="378"/>
      <c r="I430" s="378"/>
      <c r="J430" s="378"/>
      <c r="K430" s="378"/>
      <c r="L430" s="378"/>
      <c r="M430" s="532"/>
      <c r="N430" s="532"/>
      <c r="O430" s="532"/>
      <c r="P430" s="532"/>
      <c r="Q430" s="532"/>
      <c r="R430" s="532"/>
      <c r="S430" s="532"/>
      <c r="T430" s="532"/>
      <c r="U430" s="532"/>
      <c r="V430" s="532"/>
      <c r="W430" s="532"/>
      <c r="X430" s="532"/>
      <c r="Y430" s="532"/>
      <c r="Z430" s="532"/>
      <c r="AA430" s="532"/>
      <c r="AB430" s="532"/>
      <c r="AC430" s="532"/>
      <c r="AD430" s="532"/>
      <c r="AE430" s="532"/>
      <c r="AF430" s="532"/>
      <c r="AG430" s="532"/>
      <c r="AH430" s="532"/>
      <c r="AI430" s="532"/>
      <c r="AJ430" s="532"/>
      <c r="AK430" s="532"/>
      <c r="AL430" s="532"/>
      <c r="AM430" s="532"/>
      <c r="AN430" s="532"/>
      <c r="AO430" s="532"/>
      <c r="AP430" s="532"/>
      <c r="AQ430" s="532"/>
      <c r="AR430" s="532"/>
      <c r="AS430" s="532"/>
      <c r="AT430" s="532"/>
      <c r="AU430" s="532"/>
      <c r="AV430" s="532"/>
      <c r="AW430" s="532"/>
      <c r="AX430" s="532"/>
      <c r="AY430" s="532"/>
      <c r="AZ430" s="532"/>
    </row>
    <row r="431" spans="1:52" hidden="1" x14ac:dyDescent="0.25">
      <c r="A431" s="532"/>
      <c r="B431" s="532"/>
      <c r="C431" s="532"/>
      <c r="D431" s="532"/>
      <c r="E431" s="532"/>
      <c r="F431" s="532"/>
      <c r="G431" s="532"/>
      <c r="H431" s="532"/>
      <c r="I431" s="532"/>
      <c r="J431" s="532"/>
      <c r="K431" s="532"/>
      <c r="L431" s="532"/>
      <c r="M431" s="532"/>
      <c r="N431" s="532"/>
      <c r="O431" s="532"/>
      <c r="P431" s="532"/>
      <c r="Q431" s="532"/>
      <c r="R431" s="532"/>
      <c r="S431" s="532"/>
      <c r="T431" s="532"/>
      <c r="U431" s="532"/>
      <c r="V431" s="532"/>
      <c r="W431" s="532"/>
      <c r="X431" s="532"/>
      <c r="Y431" s="532"/>
      <c r="Z431" s="532"/>
      <c r="AA431" s="532"/>
      <c r="AB431" s="532"/>
      <c r="AC431" s="532"/>
      <c r="AD431" s="532"/>
      <c r="AE431" s="532"/>
      <c r="AF431" s="532"/>
      <c r="AG431" s="532"/>
      <c r="AH431" s="532"/>
      <c r="AI431" s="532"/>
      <c r="AJ431" s="532"/>
      <c r="AK431" s="532"/>
      <c r="AL431" s="532"/>
      <c r="AM431" s="532"/>
      <c r="AN431" s="532"/>
      <c r="AO431" s="532"/>
      <c r="AP431" s="532"/>
      <c r="AQ431" s="532"/>
      <c r="AR431" s="532"/>
      <c r="AS431" s="532"/>
      <c r="AT431" s="532"/>
      <c r="AU431" s="532"/>
      <c r="AV431" s="532"/>
      <c r="AW431" s="532"/>
      <c r="AX431" s="532"/>
      <c r="AY431" s="532"/>
      <c r="AZ431" s="532"/>
    </row>
    <row r="432" spans="1:52" hidden="1" x14ac:dyDescent="0.25">
      <c r="A432" s="532"/>
      <c r="B432" s="532"/>
      <c r="C432" s="532"/>
      <c r="D432" s="532"/>
      <c r="E432" s="532"/>
      <c r="F432" s="532"/>
      <c r="G432" s="532"/>
      <c r="H432" s="532"/>
      <c r="I432" s="532"/>
      <c r="J432" s="532"/>
      <c r="K432" s="532"/>
      <c r="L432" s="532"/>
      <c r="M432" s="532"/>
      <c r="N432" s="532"/>
      <c r="O432" s="532"/>
      <c r="P432" s="532"/>
      <c r="Q432" s="532"/>
      <c r="R432" s="532"/>
      <c r="S432" s="532"/>
      <c r="T432" s="532"/>
      <c r="U432" s="532"/>
      <c r="V432" s="532"/>
      <c r="W432" s="532"/>
      <c r="X432" s="532"/>
      <c r="Y432" s="532"/>
      <c r="Z432" s="532"/>
      <c r="AA432" s="532"/>
      <c r="AB432" s="532"/>
      <c r="AC432" s="532"/>
      <c r="AD432" s="532"/>
      <c r="AE432" s="532"/>
      <c r="AF432" s="532"/>
      <c r="AG432" s="532"/>
      <c r="AH432" s="532"/>
      <c r="AI432" s="532"/>
      <c r="AJ432" s="532"/>
      <c r="AK432" s="532"/>
      <c r="AL432" s="532"/>
      <c r="AM432" s="532"/>
      <c r="AN432" s="532"/>
      <c r="AO432" s="532"/>
      <c r="AP432" s="532"/>
      <c r="AQ432" s="532"/>
      <c r="AR432" s="532"/>
      <c r="AS432" s="532"/>
      <c r="AT432" s="532"/>
      <c r="AU432" s="532"/>
      <c r="AV432" s="532"/>
      <c r="AW432" s="532"/>
      <c r="AX432" s="532"/>
      <c r="AY432" s="532"/>
      <c r="AZ432" s="532"/>
    </row>
  </sheetData>
  <mergeCells count="300">
    <mergeCell ref="B307:F308"/>
    <mergeCell ref="G307:G308"/>
    <mergeCell ref="B305:F305"/>
    <mergeCell ref="B304:F304"/>
    <mergeCell ref="B299:G299"/>
    <mergeCell ref="B310:G310"/>
    <mergeCell ref="B322:H322"/>
    <mergeCell ref="G131:H131"/>
    <mergeCell ref="G133:H133"/>
    <mergeCell ref="G134:H134"/>
    <mergeCell ref="G135:H135"/>
    <mergeCell ref="G137:H137"/>
    <mergeCell ref="B239:D239"/>
    <mergeCell ref="B222:D222"/>
    <mergeCell ref="B196:C196"/>
    <mergeCell ref="B198:C198"/>
    <mergeCell ref="B197:C197"/>
    <mergeCell ref="B228:G228"/>
    <mergeCell ref="G200:J200"/>
    <mergeCell ref="D196:E196"/>
    <mergeCell ref="D197:E197"/>
    <mergeCell ref="D198:E198"/>
    <mergeCell ref="B252:G252"/>
    <mergeCell ref="B136:F136"/>
    <mergeCell ref="B325:H325"/>
    <mergeCell ref="B108:C108"/>
    <mergeCell ref="D104:D105"/>
    <mergeCell ref="B147:D147"/>
    <mergeCell ref="G153:H153"/>
    <mergeCell ref="G147:H147"/>
    <mergeCell ref="D141:E141"/>
    <mergeCell ref="G141:H141"/>
    <mergeCell ref="B145:G145"/>
    <mergeCell ref="H142:J142"/>
    <mergeCell ref="B141:C141"/>
    <mergeCell ref="B137:F137"/>
    <mergeCell ref="G132:H132"/>
    <mergeCell ref="B116:C116"/>
    <mergeCell ref="B115:C115"/>
    <mergeCell ref="E147:F147"/>
    <mergeCell ref="B113:C113"/>
    <mergeCell ref="B119:C119"/>
    <mergeCell ref="B131:F131"/>
    <mergeCell ref="B132:F132"/>
    <mergeCell ref="B133:F133"/>
    <mergeCell ref="B134:F134"/>
    <mergeCell ref="B118:C118"/>
    <mergeCell ref="B114:C114"/>
    <mergeCell ref="B79:C79"/>
    <mergeCell ref="B82:C82"/>
    <mergeCell ref="B81:C81"/>
    <mergeCell ref="B80:C80"/>
    <mergeCell ref="D84:D85"/>
    <mergeCell ref="B84:C85"/>
    <mergeCell ref="B78:C78"/>
    <mergeCell ref="B77:C77"/>
    <mergeCell ref="C56:E56"/>
    <mergeCell ref="B48:E48"/>
    <mergeCell ref="B57:J57"/>
    <mergeCell ref="B76:C76"/>
    <mergeCell ref="C53:E53"/>
    <mergeCell ref="B74:C75"/>
    <mergeCell ref="B66:G66"/>
    <mergeCell ref="B70:G70"/>
    <mergeCell ref="B61:D61"/>
    <mergeCell ref="B50:E50"/>
    <mergeCell ref="B64:D64"/>
    <mergeCell ref="D74:D75"/>
    <mergeCell ref="B59:H59"/>
    <mergeCell ref="C11:E11"/>
    <mergeCell ref="C12:E12"/>
    <mergeCell ref="H21:K21"/>
    <mergeCell ref="H22:K22"/>
    <mergeCell ref="B62:D62"/>
    <mergeCell ref="B63:D63"/>
    <mergeCell ref="B35:D35"/>
    <mergeCell ref="C43:E43"/>
    <mergeCell ref="C45:E45"/>
    <mergeCell ref="B32:D32"/>
    <mergeCell ref="H23:K23"/>
    <mergeCell ref="B31:D31"/>
    <mergeCell ref="B24:G25"/>
    <mergeCell ref="C54:E54"/>
    <mergeCell ref="C42:E42"/>
    <mergeCell ref="B41:J41"/>
    <mergeCell ref="B33:D33"/>
    <mergeCell ref="B52:K52"/>
    <mergeCell ref="B46:J46"/>
    <mergeCell ref="E49:F49"/>
    <mergeCell ref="C44:E44"/>
    <mergeCell ref="C55:E55"/>
    <mergeCell ref="C28:F28"/>
    <mergeCell ref="C27:F27"/>
    <mergeCell ref="G148:H148"/>
    <mergeCell ref="G150:H150"/>
    <mergeCell ref="G151:H151"/>
    <mergeCell ref="C142:E142"/>
    <mergeCell ref="B87:C87"/>
    <mergeCell ref="B94:C94"/>
    <mergeCell ref="G149:H149"/>
    <mergeCell ref="G136:H136"/>
    <mergeCell ref="B89:C89"/>
    <mergeCell ref="B90:C90"/>
    <mergeCell ref="B135:F135"/>
    <mergeCell ref="B120:C120"/>
    <mergeCell ref="B93:C93"/>
    <mergeCell ref="B99:C99"/>
    <mergeCell ref="B101:C101"/>
    <mergeCell ref="B104:C105"/>
    <mergeCell ref="B106:C106"/>
    <mergeCell ref="B109:C109"/>
    <mergeCell ref="B107:C107"/>
    <mergeCell ref="B102:C102"/>
    <mergeCell ref="B195:C195"/>
    <mergeCell ref="G203:H203"/>
    <mergeCell ref="G194:G195"/>
    <mergeCell ref="I195:J195"/>
    <mergeCell ref="I198:J198"/>
    <mergeCell ref="I197:J197"/>
    <mergeCell ref="I194:J194"/>
    <mergeCell ref="I196:J196"/>
    <mergeCell ref="F191:G191"/>
    <mergeCell ref="B201:G201"/>
    <mergeCell ref="D195:E195"/>
    <mergeCell ref="B192:E192"/>
    <mergeCell ref="J191:K191"/>
    <mergeCell ref="B86:C86"/>
    <mergeCell ref="D96:D97"/>
    <mergeCell ref="B92:C92"/>
    <mergeCell ref="B91:C91"/>
    <mergeCell ref="B100:C100"/>
    <mergeCell ref="B96:C97"/>
    <mergeCell ref="B98:C98"/>
    <mergeCell ref="B88:C88"/>
    <mergeCell ref="E173:F173"/>
    <mergeCell ref="E171:F171"/>
    <mergeCell ref="E172:F172"/>
    <mergeCell ref="B162:D162"/>
    <mergeCell ref="B170:D170"/>
    <mergeCell ref="B156:D156"/>
    <mergeCell ref="B161:D161"/>
    <mergeCell ref="B168:D168"/>
    <mergeCell ref="E157:F157"/>
    <mergeCell ref="B122:C122"/>
    <mergeCell ref="B123:C123"/>
    <mergeCell ref="E169:F169"/>
    <mergeCell ref="E170:F170"/>
    <mergeCell ref="B172:D172"/>
    <mergeCell ref="B186:D186"/>
    <mergeCell ref="B185:D185"/>
    <mergeCell ref="F190:G190"/>
    <mergeCell ref="F189:G189"/>
    <mergeCell ref="B190:D190"/>
    <mergeCell ref="B188:D188"/>
    <mergeCell ref="J188:K188"/>
    <mergeCell ref="F183:G183"/>
    <mergeCell ref="B183:D183"/>
    <mergeCell ref="F185:G185"/>
    <mergeCell ref="J190:K190"/>
    <mergeCell ref="B189:D189"/>
    <mergeCell ref="J185:K185"/>
    <mergeCell ref="J186:K186"/>
    <mergeCell ref="B184:D184"/>
    <mergeCell ref="J189:K189"/>
    <mergeCell ref="J187:K187"/>
    <mergeCell ref="F186:G186"/>
    <mergeCell ref="F187:G187"/>
    <mergeCell ref="F188:G188"/>
    <mergeCell ref="G170:H170"/>
    <mergeCell ref="G169:H169"/>
    <mergeCell ref="G171:H171"/>
    <mergeCell ref="F177:G177"/>
    <mergeCell ref="F178:G178"/>
    <mergeCell ref="F179:G179"/>
    <mergeCell ref="J182:K182"/>
    <mergeCell ref="J183:K183"/>
    <mergeCell ref="F180:G180"/>
    <mergeCell ref="J180:K180"/>
    <mergeCell ref="I176:K176"/>
    <mergeCell ref="J177:K177"/>
    <mergeCell ref="F181:G181"/>
    <mergeCell ref="B180:D180"/>
    <mergeCell ref="B182:D182"/>
    <mergeCell ref="B241:D241"/>
    <mergeCell ref="B240:D240"/>
    <mergeCell ref="B233:D233"/>
    <mergeCell ref="H208:K208"/>
    <mergeCell ref="B206:E206"/>
    <mergeCell ref="H214:I214"/>
    <mergeCell ref="H212:I212"/>
    <mergeCell ref="G205:H205"/>
    <mergeCell ref="H216:I216"/>
    <mergeCell ref="H218:I218"/>
    <mergeCell ref="H219:K219"/>
    <mergeCell ref="B226:G226"/>
    <mergeCell ref="B225:G225"/>
    <mergeCell ref="G207:H207"/>
    <mergeCell ref="B221:D221"/>
    <mergeCell ref="B231:D231"/>
    <mergeCell ref="J207:K207"/>
    <mergeCell ref="B238:D238"/>
    <mergeCell ref="B210:G210"/>
    <mergeCell ref="J205:K205"/>
    <mergeCell ref="J184:K184"/>
    <mergeCell ref="F184:G184"/>
    <mergeCell ref="B292:C293"/>
    <mergeCell ref="B242:D242"/>
    <mergeCell ref="B283:C284"/>
    <mergeCell ref="B286:C287"/>
    <mergeCell ref="B289:C290"/>
    <mergeCell ref="B244:G244"/>
    <mergeCell ref="B277:C278"/>
    <mergeCell ref="B223:F223"/>
    <mergeCell ref="B268:C269"/>
    <mergeCell ref="B280:C281"/>
    <mergeCell ref="B271:C272"/>
    <mergeCell ref="B254:J255"/>
    <mergeCell ref="H226:K226"/>
    <mergeCell ref="B237:D237"/>
    <mergeCell ref="B234:D234"/>
    <mergeCell ref="B230:D230"/>
    <mergeCell ref="B256:J257"/>
    <mergeCell ref="B258:J259"/>
    <mergeCell ref="B232:D232"/>
    <mergeCell ref="B274:C275"/>
    <mergeCell ref="B265:C266"/>
    <mergeCell ref="B253:J253"/>
    <mergeCell ref="I262:K263"/>
    <mergeCell ref="B261:G261"/>
    <mergeCell ref="C2:L2"/>
    <mergeCell ref="J3:K3"/>
    <mergeCell ref="B6:D6"/>
    <mergeCell ref="B187:D187"/>
    <mergeCell ref="I141:J141"/>
    <mergeCell ref="B165:D165"/>
    <mergeCell ref="B126:H126"/>
    <mergeCell ref="B121:C121"/>
    <mergeCell ref="B112:C112"/>
    <mergeCell ref="B117:C117"/>
    <mergeCell ref="G152:H152"/>
    <mergeCell ref="G173:H173"/>
    <mergeCell ref="E168:F168"/>
    <mergeCell ref="J179:K179"/>
    <mergeCell ref="B177:D177"/>
    <mergeCell ref="B179:D179"/>
    <mergeCell ref="F182:G182"/>
    <mergeCell ref="B181:D181"/>
    <mergeCell ref="G47:H47"/>
    <mergeCell ref="G44:H44"/>
    <mergeCell ref="E39:H39"/>
    <mergeCell ref="G156:H156"/>
    <mergeCell ref="B128:J128"/>
    <mergeCell ref="E176:G176"/>
    <mergeCell ref="G154:H154"/>
    <mergeCell ref="E162:F162"/>
    <mergeCell ref="E163:F163"/>
    <mergeCell ref="E164:F164"/>
    <mergeCell ref="G161:H161"/>
    <mergeCell ref="B167:D167"/>
    <mergeCell ref="B163:D163"/>
    <mergeCell ref="B166:D166"/>
    <mergeCell ref="E165:F165"/>
    <mergeCell ref="E156:F156"/>
    <mergeCell ref="G155:H155"/>
    <mergeCell ref="G157:H157"/>
    <mergeCell ref="E166:F166"/>
    <mergeCell ref="G162:H162"/>
    <mergeCell ref="G165:H165"/>
    <mergeCell ref="G166:H166"/>
    <mergeCell ref="G167:H167"/>
    <mergeCell ref="E167:F167"/>
    <mergeCell ref="E161:F161"/>
    <mergeCell ref="B164:D164"/>
    <mergeCell ref="G163:H163"/>
    <mergeCell ref="G164:H164"/>
    <mergeCell ref="B158:E158"/>
    <mergeCell ref="B174:E174"/>
    <mergeCell ref="J181:K181"/>
    <mergeCell ref="B171:D171"/>
    <mergeCell ref="B178:D178"/>
    <mergeCell ref="J178:K178"/>
    <mergeCell ref="B148:D148"/>
    <mergeCell ref="B149:D149"/>
    <mergeCell ref="B150:D150"/>
    <mergeCell ref="B151:D151"/>
    <mergeCell ref="B152:D152"/>
    <mergeCell ref="B153:D153"/>
    <mergeCell ref="B154:D154"/>
    <mergeCell ref="B155:D155"/>
    <mergeCell ref="E155:F155"/>
    <mergeCell ref="E154:F154"/>
    <mergeCell ref="E153:F153"/>
    <mergeCell ref="E152:F152"/>
    <mergeCell ref="E151:F151"/>
    <mergeCell ref="E150:F150"/>
    <mergeCell ref="E149:F149"/>
    <mergeCell ref="E148:F148"/>
    <mergeCell ref="G168:H168"/>
    <mergeCell ref="B169:D169"/>
    <mergeCell ref="G172:H172"/>
  </mergeCells>
  <conditionalFormatting sqref="E123:E125">
    <cfRule type="cellIs" dxfId="45" priority="1" operator="notEqual">
      <formula>1</formula>
    </cfRule>
  </conditionalFormatting>
  <pageMargins left="0.51181102362204722" right="0.51181102362204722" top="0.78740157480314965" bottom="0.78740157480314965" header="0.31496062992125984" footer="0.31496062992125984"/>
  <pageSetup paperSize="9" orientation="landscape" verticalDpi="300" r:id="rId1"/>
  <ignoredErrors>
    <ignoredError sqref="G162:H162 G167:H171 G153:H154" unlockedFormula="1"/>
    <ignoredError sqref="E113:E121 G207 J207" evalError="1"/>
  </ignoredErrors>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dimension ref="A1:IV219"/>
  <sheetViews>
    <sheetView workbookViewId="0">
      <selection activeCell="C46" sqref="C46:E46"/>
    </sheetView>
  </sheetViews>
  <sheetFormatPr defaultColWidth="9" defaultRowHeight="15" x14ac:dyDescent="0.25"/>
  <cols>
    <col min="1" max="1" width="1.7109375" style="445" customWidth="1"/>
    <col min="2" max="2" width="1.42578125" style="445" customWidth="1"/>
    <col min="3" max="3" width="7.7109375" style="445" customWidth="1"/>
    <col min="4" max="4" width="3.140625" style="445" customWidth="1"/>
    <col min="5" max="5" width="4.42578125" style="445" customWidth="1"/>
    <col min="6" max="6" width="2.85546875" style="445" customWidth="1"/>
    <col min="7" max="7" width="13.28515625" style="445" customWidth="1"/>
    <col min="8" max="8" width="2.42578125" style="445" customWidth="1"/>
    <col min="9" max="9" width="9.42578125" style="445" customWidth="1"/>
    <col min="10" max="10" width="12.42578125" style="445" customWidth="1"/>
    <col min="11" max="11" width="5" style="445" customWidth="1"/>
    <col min="12" max="12" width="9.42578125" style="445" customWidth="1"/>
    <col min="13" max="13" width="3.42578125" style="445" customWidth="1"/>
    <col min="14" max="14" width="7" style="445" customWidth="1"/>
    <col min="15" max="15" width="5.28515625" style="445" customWidth="1"/>
    <col min="16" max="16" width="12.7109375" style="445" customWidth="1"/>
    <col min="17" max="17" width="4.42578125" style="445" customWidth="1"/>
    <col min="18" max="18" width="10" style="897" customWidth="1"/>
    <col min="19" max="19" width="5.140625" style="898" customWidth="1"/>
    <col min="20" max="256" width="9" style="445"/>
    <col min="257" max="257" width="1.7109375" style="445" customWidth="1"/>
    <col min="258" max="258" width="1.42578125" style="445" customWidth="1"/>
    <col min="259" max="259" width="7.7109375" style="445" customWidth="1"/>
    <col min="260" max="260" width="3.140625" style="445" customWidth="1"/>
    <col min="261" max="261" width="4.42578125" style="445" customWidth="1"/>
    <col min="262" max="262" width="2.85546875" style="445" customWidth="1"/>
    <col min="263" max="263" width="13.28515625" style="445" customWidth="1"/>
    <col min="264" max="264" width="2.42578125" style="445" customWidth="1"/>
    <col min="265" max="265" width="9.42578125" style="445" customWidth="1"/>
    <col min="266" max="266" width="12.42578125" style="445" customWidth="1"/>
    <col min="267" max="267" width="5" style="445" customWidth="1"/>
    <col min="268" max="268" width="9.42578125" style="445" customWidth="1"/>
    <col min="269" max="269" width="3.42578125" style="445" customWidth="1"/>
    <col min="270" max="270" width="7" style="445" customWidth="1"/>
    <col min="271" max="271" width="5.28515625" style="445" customWidth="1"/>
    <col min="272" max="272" width="12.7109375" style="445" customWidth="1"/>
    <col min="273" max="273" width="0" style="445" hidden="1" customWidth="1"/>
    <col min="274" max="274" width="10" style="445" customWidth="1"/>
    <col min="275" max="275" width="5.140625" style="445" customWidth="1"/>
    <col min="276" max="512" width="9" style="445"/>
    <col min="513" max="513" width="1.7109375" style="445" customWidth="1"/>
    <col min="514" max="514" width="1.42578125" style="445" customWidth="1"/>
    <col min="515" max="515" width="7.7109375" style="445" customWidth="1"/>
    <col min="516" max="516" width="3.140625" style="445" customWidth="1"/>
    <col min="517" max="517" width="4.42578125" style="445" customWidth="1"/>
    <col min="518" max="518" width="2.85546875" style="445" customWidth="1"/>
    <col min="519" max="519" width="13.28515625" style="445" customWidth="1"/>
    <col min="520" max="520" width="2.42578125" style="445" customWidth="1"/>
    <col min="521" max="521" width="9.42578125" style="445" customWidth="1"/>
    <col min="522" max="522" width="12.42578125" style="445" customWidth="1"/>
    <col min="523" max="523" width="5" style="445" customWidth="1"/>
    <col min="524" max="524" width="9.42578125" style="445" customWidth="1"/>
    <col min="525" max="525" width="3.42578125" style="445" customWidth="1"/>
    <col min="526" max="526" width="7" style="445" customWidth="1"/>
    <col min="527" max="527" width="5.28515625" style="445" customWidth="1"/>
    <col min="528" max="528" width="12.7109375" style="445" customWidth="1"/>
    <col min="529" max="529" width="0" style="445" hidden="1" customWidth="1"/>
    <col min="530" max="530" width="10" style="445" customWidth="1"/>
    <col min="531" max="531" width="5.140625" style="445" customWidth="1"/>
    <col min="532" max="768" width="9" style="445"/>
    <col min="769" max="769" width="1.7109375" style="445" customWidth="1"/>
    <col min="770" max="770" width="1.42578125" style="445" customWidth="1"/>
    <col min="771" max="771" width="7.7109375" style="445" customWidth="1"/>
    <col min="772" max="772" width="3.140625" style="445" customWidth="1"/>
    <col min="773" max="773" width="4.42578125" style="445" customWidth="1"/>
    <col min="774" max="774" width="2.85546875" style="445" customWidth="1"/>
    <col min="775" max="775" width="13.28515625" style="445" customWidth="1"/>
    <col min="776" max="776" width="2.42578125" style="445" customWidth="1"/>
    <col min="777" max="777" width="9.42578125" style="445" customWidth="1"/>
    <col min="778" max="778" width="12.42578125" style="445" customWidth="1"/>
    <col min="779" max="779" width="5" style="445" customWidth="1"/>
    <col min="780" max="780" width="9.42578125" style="445" customWidth="1"/>
    <col min="781" max="781" width="3.42578125" style="445" customWidth="1"/>
    <col min="782" max="782" width="7" style="445" customWidth="1"/>
    <col min="783" max="783" width="5.28515625" style="445" customWidth="1"/>
    <col min="784" max="784" width="12.7109375" style="445" customWidth="1"/>
    <col min="785" max="785" width="0" style="445" hidden="1" customWidth="1"/>
    <col min="786" max="786" width="10" style="445" customWidth="1"/>
    <col min="787" max="787" width="5.140625" style="445" customWidth="1"/>
    <col min="788" max="1024" width="9" style="445"/>
    <col min="1025" max="1025" width="1.7109375" style="445" customWidth="1"/>
    <col min="1026" max="1026" width="1.42578125" style="445" customWidth="1"/>
    <col min="1027" max="1027" width="7.7109375" style="445" customWidth="1"/>
    <col min="1028" max="1028" width="3.140625" style="445" customWidth="1"/>
    <col min="1029" max="1029" width="4.42578125" style="445" customWidth="1"/>
    <col min="1030" max="1030" width="2.85546875" style="445" customWidth="1"/>
    <col min="1031" max="1031" width="13.28515625" style="445" customWidth="1"/>
    <col min="1032" max="1032" width="2.42578125" style="445" customWidth="1"/>
    <col min="1033" max="1033" width="9.42578125" style="445" customWidth="1"/>
    <col min="1034" max="1034" width="12.42578125" style="445" customWidth="1"/>
    <col min="1035" max="1035" width="5" style="445" customWidth="1"/>
    <col min="1036" max="1036" width="9.42578125" style="445" customWidth="1"/>
    <col min="1037" max="1037" width="3.42578125" style="445" customWidth="1"/>
    <col min="1038" max="1038" width="7" style="445" customWidth="1"/>
    <col min="1039" max="1039" width="5.28515625" style="445" customWidth="1"/>
    <col min="1040" max="1040" width="12.7109375" style="445" customWidth="1"/>
    <col min="1041" max="1041" width="0" style="445" hidden="1" customWidth="1"/>
    <col min="1042" max="1042" width="10" style="445" customWidth="1"/>
    <col min="1043" max="1043" width="5.140625" style="445" customWidth="1"/>
    <col min="1044" max="1280" width="9" style="445"/>
    <col min="1281" max="1281" width="1.7109375" style="445" customWidth="1"/>
    <col min="1282" max="1282" width="1.42578125" style="445" customWidth="1"/>
    <col min="1283" max="1283" width="7.7109375" style="445" customWidth="1"/>
    <col min="1284" max="1284" width="3.140625" style="445" customWidth="1"/>
    <col min="1285" max="1285" width="4.42578125" style="445" customWidth="1"/>
    <col min="1286" max="1286" width="2.85546875" style="445" customWidth="1"/>
    <col min="1287" max="1287" width="13.28515625" style="445" customWidth="1"/>
    <col min="1288" max="1288" width="2.42578125" style="445" customWidth="1"/>
    <col min="1289" max="1289" width="9.42578125" style="445" customWidth="1"/>
    <col min="1290" max="1290" width="12.42578125" style="445" customWidth="1"/>
    <col min="1291" max="1291" width="5" style="445" customWidth="1"/>
    <col min="1292" max="1292" width="9.42578125" style="445" customWidth="1"/>
    <col min="1293" max="1293" width="3.42578125" style="445" customWidth="1"/>
    <col min="1294" max="1294" width="7" style="445" customWidth="1"/>
    <col min="1295" max="1295" width="5.28515625" style="445" customWidth="1"/>
    <col min="1296" max="1296" width="12.7109375" style="445" customWidth="1"/>
    <col min="1297" max="1297" width="0" style="445" hidden="1" customWidth="1"/>
    <col min="1298" max="1298" width="10" style="445" customWidth="1"/>
    <col min="1299" max="1299" width="5.140625" style="445" customWidth="1"/>
    <col min="1300" max="1536" width="9" style="445"/>
    <col min="1537" max="1537" width="1.7109375" style="445" customWidth="1"/>
    <col min="1538" max="1538" width="1.42578125" style="445" customWidth="1"/>
    <col min="1539" max="1539" width="7.7109375" style="445" customWidth="1"/>
    <col min="1540" max="1540" width="3.140625" style="445" customWidth="1"/>
    <col min="1541" max="1541" width="4.42578125" style="445" customWidth="1"/>
    <col min="1542" max="1542" width="2.85546875" style="445" customWidth="1"/>
    <col min="1543" max="1543" width="13.28515625" style="445" customWidth="1"/>
    <col min="1544" max="1544" width="2.42578125" style="445" customWidth="1"/>
    <col min="1545" max="1545" width="9.42578125" style="445" customWidth="1"/>
    <col min="1546" max="1546" width="12.42578125" style="445" customWidth="1"/>
    <col min="1547" max="1547" width="5" style="445" customWidth="1"/>
    <col min="1548" max="1548" width="9.42578125" style="445" customWidth="1"/>
    <col min="1549" max="1549" width="3.42578125" style="445" customWidth="1"/>
    <col min="1550" max="1550" width="7" style="445" customWidth="1"/>
    <col min="1551" max="1551" width="5.28515625" style="445" customWidth="1"/>
    <col min="1552" max="1552" width="12.7109375" style="445" customWidth="1"/>
    <col min="1553" max="1553" width="0" style="445" hidden="1" customWidth="1"/>
    <col min="1554" max="1554" width="10" style="445" customWidth="1"/>
    <col min="1555" max="1555" width="5.140625" style="445" customWidth="1"/>
    <col min="1556" max="1792" width="9" style="445"/>
    <col min="1793" max="1793" width="1.7109375" style="445" customWidth="1"/>
    <col min="1794" max="1794" width="1.42578125" style="445" customWidth="1"/>
    <col min="1795" max="1795" width="7.7109375" style="445" customWidth="1"/>
    <col min="1796" max="1796" width="3.140625" style="445" customWidth="1"/>
    <col min="1797" max="1797" width="4.42578125" style="445" customWidth="1"/>
    <col min="1798" max="1798" width="2.85546875" style="445" customWidth="1"/>
    <col min="1799" max="1799" width="13.28515625" style="445" customWidth="1"/>
    <col min="1800" max="1800" width="2.42578125" style="445" customWidth="1"/>
    <col min="1801" max="1801" width="9.42578125" style="445" customWidth="1"/>
    <col min="1802" max="1802" width="12.42578125" style="445" customWidth="1"/>
    <col min="1803" max="1803" width="5" style="445" customWidth="1"/>
    <col min="1804" max="1804" width="9.42578125" style="445" customWidth="1"/>
    <col min="1805" max="1805" width="3.42578125" style="445" customWidth="1"/>
    <col min="1806" max="1806" width="7" style="445" customWidth="1"/>
    <col min="1807" max="1807" width="5.28515625" style="445" customWidth="1"/>
    <col min="1808" max="1808" width="12.7109375" style="445" customWidth="1"/>
    <col min="1809" max="1809" width="0" style="445" hidden="1" customWidth="1"/>
    <col min="1810" max="1810" width="10" style="445" customWidth="1"/>
    <col min="1811" max="1811" width="5.140625" style="445" customWidth="1"/>
    <col min="1812" max="2048" width="9" style="445"/>
    <col min="2049" max="2049" width="1.7109375" style="445" customWidth="1"/>
    <col min="2050" max="2050" width="1.42578125" style="445" customWidth="1"/>
    <col min="2051" max="2051" width="7.7109375" style="445" customWidth="1"/>
    <col min="2052" max="2052" width="3.140625" style="445" customWidth="1"/>
    <col min="2053" max="2053" width="4.42578125" style="445" customWidth="1"/>
    <col min="2054" max="2054" width="2.85546875" style="445" customWidth="1"/>
    <col min="2055" max="2055" width="13.28515625" style="445" customWidth="1"/>
    <col min="2056" max="2056" width="2.42578125" style="445" customWidth="1"/>
    <col min="2057" max="2057" width="9.42578125" style="445" customWidth="1"/>
    <col min="2058" max="2058" width="12.42578125" style="445" customWidth="1"/>
    <col min="2059" max="2059" width="5" style="445" customWidth="1"/>
    <col min="2060" max="2060" width="9.42578125" style="445" customWidth="1"/>
    <col min="2061" max="2061" width="3.42578125" style="445" customWidth="1"/>
    <col min="2062" max="2062" width="7" style="445" customWidth="1"/>
    <col min="2063" max="2063" width="5.28515625" style="445" customWidth="1"/>
    <col min="2064" max="2064" width="12.7109375" style="445" customWidth="1"/>
    <col min="2065" max="2065" width="0" style="445" hidden="1" customWidth="1"/>
    <col min="2066" max="2066" width="10" style="445" customWidth="1"/>
    <col min="2067" max="2067" width="5.140625" style="445" customWidth="1"/>
    <col min="2068" max="2304" width="9" style="445"/>
    <col min="2305" max="2305" width="1.7109375" style="445" customWidth="1"/>
    <col min="2306" max="2306" width="1.42578125" style="445" customWidth="1"/>
    <col min="2307" max="2307" width="7.7109375" style="445" customWidth="1"/>
    <col min="2308" max="2308" width="3.140625" style="445" customWidth="1"/>
    <col min="2309" max="2309" width="4.42578125" style="445" customWidth="1"/>
    <col min="2310" max="2310" width="2.85546875" style="445" customWidth="1"/>
    <col min="2311" max="2311" width="13.28515625" style="445" customWidth="1"/>
    <col min="2312" max="2312" width="2.42578125" style="445" customWidth="1"/>
    <col min="2313" max="2313" width="9.42578125" style="445" customWidth="1"/>
    <col min="2314" max="2314" width="12.42578125" style="445" customWidth="1"/>
    <col min="2315" max="2315" width="5" style="445" customWidth="1"/>
    <col min="2316" max="2316" width="9.42578125" style="445" customWidth="1"/>
    <col min="2317" max="2317" width="3.42578125" style="445" customWidth="1"/>
    <col min="2318" max="2318" width="7" style="445" customWidth="1"/>
    <col min="2319" max="2319" width="5.28515625" style="445" customWidth="1"/>
    <col min="2320" max="2320" width="12.7109375" style="445" customWidth="1"/>
    <col min="2321" max="2321" width="0" style="445" hidden="1" customWidth="1"/>
    <col min="2322" max="2322" width="10" style="445" customWidth="1"/>
    <col min="2323" max="2323" width="5.140625" style="445" customWidth="1"/>
    <col min="2324" max="2560" width="9" style="445"/>
    <col min="2561" max="2561" width="1.7109375" style="445" customWidth="1"/>
    <col min="2562" max="2562" width="1.42578125" style="445" customWidth="1"/>
    <col min="2563" max="2563" width="7.7109375" style="445" customWidth="1"/>
    <col min="2564" max="2564" width="3.140625" style="445" customWidth="1"/>
    <col min="2565" max="2565" width="4.42578125" style="445" customWidth="1"/>
    <col min="2566" max="2566" width="2.85546875" style="445" customWidth="1"/>
    <col min="2567" max="2567" width="13.28515625" style="445" customWidth="1"/>
    <col min="2568" max="2568" width="2.42578125" style="445" customWidth="1"/>
    <col min="2569" max="2569" width="9.42578125" style="445" customWidth="1"/>
    <col min="2570" max="2570" width="12.42578125" style="445" customWidth="1"/>
    <col min="2571" max="2571" width="5" style="445" customWidth="1"/>
    <col min="2572" max="2572" width="9.42578125" style="445" customWidth="1"/>
    <col min="2573" max="2573" width="3.42578125" style="445" customWidth="1"/>
    <col min="2574" max="2574" width="7" style="445" customWidth="1"/>
    <col min="2575" max="2575" width="5.28515625" style="445" customWidth="1"/>
    <col min="2576" max="2576" width="12.7109375" style="445" customWidth="1"/>
    <col min="2577" max="2577" width="0" style="445" hidden="1" customWidth="1"/>
    <col min="2578" max="2578" width="10" style="445" customWidth="1"/>
    <col min="2579" max="2579" width="5.140625" style="445" customWidth="1"/>
    <col min="2580" max="2816" width="9" style="445"/>
    <col min="2817" max="2817" width="1.7109375" style="445" customWidth="1"/>
    <col min="2818" max="2818" width="1.42578125" style="445" customWidth="1"/>
    <col min="2819" max="2819" width="7.7109375" style="445" customWidth="1"/>
    <col min="2820" max="2820" width="3.140625" style="445" customWidth="1"/>
    <col min="2821" max="2821" width="4.42578125" style="445" customWidth="1"/>
    <col min="2822" max="2822" width="2.85546875" style="445" customWidth="1"/>
    <col min="2823" max="2823" width="13.28515625" style="445" customWidth="1"/>
    <col min="2824" max="2824" width="2.42578125" style="445" customWidth="1"/>
    <col min="2825" max="2825" width="9.42578125" style="445" customWidth="1"/>
    <col min="2826" max="2826" width="12.42578125" style="445" customWidth="1"/>
    <col min="2827" max="2827" width="5" style="445" customWidth="1"/>
    <col min="2828" max="2828" width="9.42578125" style="445" customWidth="1"/>
    <col min="2829" max="2829" width="3.42578125" style="445" customWidth="1"/>
    <col min="2830" max="2830" width="7" style="445" customWidth="1"/>
    <col min="2831" max="2831" width="5.28515625" style="445" customWidth="1"/>
    <col min="2832" max="2832" width="12.7109375" style="445" customWidth="1"/>
    <col min="2833" max="2833" width="0" style="445" hidden="1" customWidth="1"/>
    <col min="2834" max="2834" width="10" style="445" customWidth="1"/>
    <col min="2835" max="2835" width="5.140625" style="445" customWidth="1"/>
    <col min="2836" max="3072" width="9" style="445"/>
    <col min="3073" max="3073" width="1.7109375" style="445" customWidth="1"/>
    <col min="3074" max="3074" width="1.42578125" style="445" customWidth="1"/>
    <col min="3075" max="3075" width="7.7109375" style="445" customWidth="1"/>
    <col min="3076" max="3076" width="3.140625" style="445" customWidth="1"/>
    <col min="3077" max="3077" width="4.42578125" style="445" customWidth="1"/>
    <col min="3078" max="3078" width="2.85546875" style="445" customWidth="1"/>
    <col min="3079" max="3079" width="13.28515625" style="445" customWidth="1"/>
    <col min="3080" max="3080" width="2.42578125" style="445" customWidth="1"/>
    <col min="3081" max="3081" width="9.42578125" style="445" customWidth="1"/>
    <col min="3082" max="3082" width="12.42578125" style="445" customWidth="1"/>
    <col min="3083" max="3083" width="5" style="445" customWidth="1"/>
    <col min="3084" max="3084" width="9.42578125" style="445" customWidth="1"/>
    <col min="3085" max="3085" width="3.42578125" style="445" customWidth="1"/>
    <col min="3086" max="3086" width="7" style="445" customWidth="1"/>
    <col min="3087" max="3087" width="5.28515625" style="445" customWidth="1"/>
    <col min="3088" max="3088" width="12.7109375" style="445" customWidth="1"/>
    <col min="3089" max="3089" width="0" style="445" hidden="1" customWidth="1"/>
    <col min="3090" max="3090" width="10" style="445" customWidth="1"/>
    <col min="3091" max="3091" width="5.140625" style="445" customWidth="1"/>
    <col min="3092" max="3328" width="9" style="445"/>
    <col min="3329" max="3329" width="1.7109375" style="445" customWidth="1"/>
    <col min="3330" max="3330" width="1.42578125" style="445" customWidth="1"/>
    <col min="3331" max="3331" width="7.7109375" style="445" customWidth="1"/>
    <col min="3332" max="3332" width="3.140625" style="445" customWidth="1"/>
    <col min="3333" max="3333" width="4.42578125" style="445" customWidth="1"/>
    <col min="3334" max="3334" width="2.85546875" style="445" customWidth="1"/>
    <col min="3335" max="3335" width="13.28515625" style="445" customWidth="1"/>
    <col min="3336" max="3336" width="2.42578125" style="445" customWidth="1"/>
    <col min="3337" max="3337" width="9.42578125" style="445" customWidth="1"/>
    <col min="3338" max="3338" width="12.42578125" style="445" customWidth="1"/>
    <col min="3339" max="3339" width="5" style="445" customWidth="1"/>
    <col min="3340" max="3340" width="9.42578125" style="445" customWidth="1"/>
    <col min="3341" max="3341" width="3.42578125" style="445" customWidth="1"/>
    <col min="3342" max="3342" width="7" style="445" customWidth="1"/>
    <col min="3343" max="3343" width="5.28515625" style="445" customWidth="1"/>
    <col min="3344" max="3344" width="12.7109375" style="445" customWidth="1"/>
    <col min="3345" max="3345" width="0" style="445" hidden="1" customWidth="1"/>
    <col min="3346" max="3346" width="10" style="445" customWidth="1"/>
    <col min="3347" max="3347" width="5.140625" style="445" customWidth="1"/>
    <col min="3348" max="3584" width="9" style="445"/>
    <col min="3585" max="3585" width="1.7109375" style="445" customWidth="1"/>
    <col min="3586" max="3586" width="1.42578125" style="445" customWidth="1"/>
    <col min="3587" max="3587" width="7.7109375" style="445" customWidth="1"/>
    <col min="3588" max="3588" width="3.140625" style="445" customWidth="1"/>
    <col min="3589" max="3589" width="4.42578125" style="445" customWidth="1"/>
    <col min="3590" max="3590" width="2.85546875" style="445" customWidth="1"/>
    <col min="3591" max="3591" width="13.28515625" style="445" customWidth="1"/>
    <col min="3592" max="3592" width="2.42578125" style="445" customWidth="1"/>
    <col min="3593" max="3593" width="9.42578125" style="445" customWidth="1"/>
    <col min="3594" max="3594" width="12.42578125" style="445" customWidth="1"/>
    <col min="3595" max="3595" width="5" style="445" customWidth="1"/>
    <col min="3596" max="3596" width="9.42578125" style="445" customWidth="1"/>
    <col min="3597" max="3597" width="3.42578125" style="445" customWidth="1"/>
    <col min="3598" max="3598" width="7" style="445" customWidth="1"/>
    <col min="3599" max="3599" width="5.28515625" style="445" customWidth="1"/>
    <col min="3600" max="3600" width="12.7109375" style="445" customWidth="1"/>
    <col min="3601" max="3601" width="0" style="445" hidden="1" customWidth="1"/>
    <col min="3602" max="3602" width="10" style="445" customWidth="1"/>
    <col min="3603" max="3603" width="5.140625" style="445" customWidth="1"/>
    <col min="3604" max="3840" width="9" style="445"/>
    <col min="3841" max="3841" width="1.7109375" style="445" customWidth="1"/>
    <col min="3842" max="3842" width="1.42578125" style="445" customWidth="1"/>
    <col min="3843" max="3843" width="7.7109375" style="445" customWidth="1"/>
    <col min="3844" max="3844" width="3.140625" style="445" customWidth="1"/>
    <col min="3845" max="3845" width="4.42578125" style="445" customWidth="1"/>
    <col min="3846" max="3846" width="2.85546875" style="445" customWidth="1"/>
    <col min="3847" max="3847" width="13.28515625" style="445" customWidth="1"/>
    <col min="3848" max="3848" width="2.42578125" style="445" customWidth="1"/>
    <col min="3849" max="3849" width="9.42578125" style="445" customWidth="1"/>
    <col min="3850" max="3850" width="12.42578125" style="445" customWidth="1"/>
    <col min="3851" max="3851" width="5" style="445" customWidth="1"/>
    <col min="3852" max="3852" width="9.42578125" style="445" customWidth="1"/>
    <col min="3853" max="3853" width="3.42578125" style="445" customWidth="1"/>
    <col min="3854" max="3854" width="7" style="445" customWidth="1"/>
    <col min="3855" max="3855" width="5.28515625" style="445" customWidth="1"/>
    <col min="3856" max="3856" width="12.7109375" style="445" customWidth="1"/>
    <col min="3857" max="3857" width="0" style="445" hidden="1" customWidth="1"/>
    <col min="3858" max="3858" width="10" style="445" customWidth="1"/>
    <col min="3859" max="3859" width="5.140625" style="445" customWidth="1"/>
    <col min="3860" max="4096" width="9" style="445"/>
    <col min="4097" max="4097" width="1.7109375" style="445" customWidth="1"/>
    <col min="4098" max="4098" width="1.42578125" style="445" customWidth="1"/>
    <col min="4099" max="4099" width="7.7109375" style="445" customWidth="1"/>
    <col min="4100" max="4100" width="3.140625" style="445" customWidth="1"/>
    <col min="4101" max="4101" width="4.42578125" style="445" customWidth="1"/>
    <col min="4102" max="4102" width="2.85546875" style="445" customWidth="1"/>
    <col min="4103" max="4103" width="13.28515625" style="445" customWidth="1"/>
    <col min="4104" max="4104" width="2.42578125" style="445" customWidth="1"/>
    <col min="4105" max="4105" width="9.42578125" style="445" customWidth="1"/>
    <col min="4106" max="4106" width="12.42578125" style="445" customWidth="1"/>
    <col min="4107" max="4107" width="5" style="445" customWidth="1"/>
    <col min="4108" max="4108" width="9.42578125" style="445" customWidth="1"/>
    <col min="4109" max="4109" width="3.42578125" style="445" customWidth="1"/>
    <col min="4110" max="4110" width="7" style="445" customWidth="1"/>
    <col min="4111" max="4111" width="5.28515625" style="445" customWidth="1"/>
    <col min="4112" max="4112" width="12.7109375" style="445" customWidth="1"/>
    <col min="4113" max="4113" width="0" style="445" hidden="1" customWidth="1"/>
    <col min="4114" max="4114" width="10" style="445" customWidth="1"/>
    <col min="4115" max="4115" width="5.140625" style="445" customWidth="1"/>
    <col min="4116" max="4352" width="9" style="445"/>
    <col min="4353" max="4353" width="1.7109375" style="445" customWidth="1"/>
    <col min="4354" max="4354" width="1.42578125" style="445" customWidth="1"/>
    <col min="4355" max="4355" width="7.7109375" style="445" customWidth="1"/>
    <col min="4356" max="4356" width="3.140625" style="445" customWidth="1"/>
    <col min="4357" max="4357" width="4.42578125" style="445" customWidth="1"/>
    <col min="4358" max="4358" width="2.85546875" style="445" customWidth="1"/>
    <col min="4359" max="4359" width="13.28515625" style="445" customWidth="1"/>
    <col min="4360" max="4360" width="2.42578125" style="445" customWidth="1"/>
    <col min="4361" max="4361" width="9.42578125" style="445" customWidth="1"/>
    <col min="4362" max="4362" width="12.42578125" style="445" customWidth="1"/>
    <col min="4363" max="4363" width="5" style="445" customWidth="1"/>
    <col min="4364" max="4364" width="9.42578125" style="445" customWidth="1"/>
    <col min="4365" max="4365" width="3.42578125" style="445" customWidth="1"/>
    <col min="4366" max="4366" width="7" style="445" customWidth="1"/>
    <col min="4367" max="4367" width="5.28515625" style="445" customWidth="1"/>
    <col min="4368" max="4368" width="12.7109375" style="445" customWidth="1"/>
    <col min="4369" max="4369" width="0" style="445" hidden="1" customWidth="1"/>
    <col min="4370" max="4370" width="10" style="445" customWidth="1"/>
    <col min="4371" max="4371" width="5.140625" style="445" customWidth="1"/>
    <col min="4372" max="4608" width="9" style="445"/>
    <col min="4609" max="4609" width="1.7109375" style="445" customWidth="1"/>
    <col min="4610" max="4610" width="1.42578125" style="445" customWidth="1"/>
    <col min="4611" max="4611" width="7.7109375" style="445" customWidth="1"/>
    <col min="4612" max="4612" width="3.140625" style="445" customWidth="1"/>
    <col min="4613" max="4613" width="4.42578125" style="445" customWidth="1"/>
    <col min="4614" max="4614" width="2.85546875" style="445" customWidth="1"/>
    <col min="4615" max="4615" width="13.28515625" style="445" customWidth="1"/>
    <col min="4616" max="4616" width="2.42578125" style="445" customWidth="1"/>
    <col min="4617" max="4617" width="9.42578125" style="445" customWidth="1"/>
    <col min="4618" max="4618" width="12.42578125" style="445" customWidth="1"/>
    <col min="4619" max="4619" width="5" style="445" customWidth="1"/>
    <col min="4620" max="4620" width="9.42578125" style="445" customWidth="1"/>
    <col min="4621" max="4621" width="3.42578125" style="445" customWidth="1"/>
    <col min="4622" max="4622" width="7" style="445" customWidth="1"/>
    <col min="4623" max="4623" width="5.28515625" style="445" customWidth="1"/>
    <col min="4624" max="4624" width="12.7109375" style="445" customWidth="1"/>
    <col min="4625" max="4625" width="0" style="445" hidden="1" customWidth="1"/>
    <col min="4626" max="4626" width="10" style="445" customWidth="1"/>
    <col min="4627" max="4627" width="5.140625" style="445" customWidth="1"/>
    <col min="4628" max="4864" width="9" style="445"/>
    <col min="4865" max="4865" width="1.7109375" style="445" customWidth="1"/>
    <col min="4866" max="4866" width="1.42578125" style="445" customWidth="1"/>
    <col min="4867" max="4867" width="7.7109375" style="445" customWidth="1"/>
    <col min="4868" max="4868" width="3.140625" style="445" customWidth="1"/>
    <col min="4869" max="4869" width="4.42578125" style="445" customWidth="1"/>
    <col min="4870" max="4870" width="2.85546875" style="445" customWidth="1"/>
    <col min="4871" max="4871" width="13.28515625" style="445" customWidth="1"/>
    <col min="4872" max="4872" width="2.42578125" style="445" customWidth="1"/>
    <col min="4873" max="4873" width="9.42578125" style="445" customWidth="1"/>
    <col min="4874" max="4874" width="12.42578125" style="445" customWidth="1"/>
    <col min="4875" max="4875" width="5" style="445" customWidth="1"/>
    <col min="4876" max="4876" width="9.42578125" style="445" customWidth="1"/>
    <col min="4877" max="4877" width="3.42578125" style="445" customWidth="1"/>
    <col min="4878" max="4878" width="7" style="445" customWidth="1"/>
    <col min="4879" max="4879" width="5.28515625" style="445" customWidth="1"/>
    <col min="4880" max="4880" width="12.7109375" style="445" customWidth="1"/>
    <col min="4881" max="4881" width="0" style="445" hidden="1" customWidth="1"/>
    <col min="4882" max="4882" width="10" style="445" customWidth="1"/>
    <col min="4883" max="4883" width="5.140625" style="445" customWidth="1"/>
    <col min="4884" max="5120" width="9" style="445"/>
    <col min="5121" max="5121" width="1.7109375" style="445" customWidth="1"/>
    <col min="5122" max="5122" width="1.42578125" style="445" customWidth="1"/>
    <col min="5123" max="5123" width="7.7109375" style="445" customWidth="1"/>
    <col min="5124" max="5124" width="3.140625" style="445" customWidth="1"/>
    <col min="5125" max="5125" width="4.42578125" style="445" customWidth="1"/>
    <col min="5126" max="5126" width="2.85546875" style="445" customWidth="1"/>
    <col min="5127" max="5127" width="13.28515625" style="445" customWidth="1"/>
    <col min="5128" max="5128" width="2.42578125" style="445" customWidth="1"/>
    <col min="5129" max="5129" width="9.42578125" style="445" customWidth="1"/>
    <col min="5130" max="5130" width="12.42578125" style="445" customWidth="1"/>
    <col min="5131" max="5131" width="5" style="445" customWidth="1"/>
    <col min="5132" max="5132" width="9.42578125" style="445" customWidth="1"/>
    <col min="5133" max="5133" width="3.42578125" style="445" customWidth="1"/>
    <col min="5134" max="5134" width="7" style="445" customWidth="1"/>
    <col min="5135" max="5135" width="5.28515625" style="445" customWidth="1"/>
    <col min="5136" max="5136" width="12.7109375" style="445" customWidth="1"/>
    <col min="5137" max="5137" width="0" style="445" hidden="1" customWidth="1"/>
    <col min="5138" max="5138" width="10" style="445" customWidth="1"/>
    <col min="5139" max="5139" width="5.140625" style="445" customWidth="1"/>
    <col min="5140" max="5376" width="9" style="445"/>
    <col min="5377" max="5377" width="1.7109375" style="445" customWidth="1"/>
    <col min="5378" max="5378" width="1.42578125" style="445" customWidth="1"/>
    <col min="5379" max="5379" width="7.7109375" style="445" customWidth="1"/>
    <col min="5380" max="5380" width="3.140625" style="445" customWidth="1"/>
    <col min="5381" max="5381" width="4.42578125" style="445" customWidth="1"/>
    <col min="5382" max="5382" width="2.85546875" style="445" customWidth="1"/>
    <col min="5383" max="5383" width="13.28515625" style="445" customWidth="1"/>
    <col min="5384" max="5384" width="2.42578125" style="445" customWidth="1"/>
    <col min="5385" max="5385" width="9.42578125" style="445" customWidth="1"/>
    <col min="5386" max="5386" width="12.42578125" style="445" customWidth="1"/>
    <col min="5387" max="5387" width="5" style="445" customWidth="1"/>
    <col min="5388" max="5388" width="9.42578125" style="445" customWidth="1"/>
    <col min="5389" max="5389" width="3.42578125" style="445" customWidth="1"/>
    <col min="5390" max="5390" width="7" style="445" customWidth="1"/>
    <col min="5391" max="5391" width="5.28515625" style="445" customWidth="1"/>
    <col min="5392" max="5392" width="12.7109375" style="445" customWidth="1"/>
    <col min="5393" max="5393" width="0" style="445" hidden="1" customWidth="1"/>
    <col min="5394" max="5394" width="10" style="445" customWidth="1"/>
    <col min="5395" max="5395" width="5.140625" style="445" customWidth="1"/>
    <col min="5396" max="5632" width="9" style="445"/>
    <col min="5633" max="5633" width="1.7109375" style="445" customWidth="1"/>
    <col min="5634" max="5634" width="1.42578125" style="445" customWidth="1"/>
    <col min="5635" max="5635" width="7.7109375" style="445" customWidth="1"/>
    <col min="5636" max="5636" width="3.140625" style="445" customWidth="1"/>
    <col min="5637" max="5637" width="4.42578125" style="445" customWidth="1"/>
    <col min="5638" max="5638" width="2.85546875" style="445" customWidth="1"/>
    <col min="5639" max="5639" width="13.28515625" style="445" customWidth="1"/>
    <col min="5640" max="5640" width="2.42578125" style="445" customWidth="1"/>
    <col min="5641" max="5641" width="9.42578125" style="445" customWidth="1"/>
    <col min="5642" max="5642" width="12.42578125" style="445" customWidth="1"/>
    <col min="5643" max="5643" width="5" style="445" customWidth="1"/>
    <col min="5644" max="5644" width="9.42578125" style="445" customWidth="1"/>
    <col min="5645" max="5645" width="3.42578125" style="445" customWidth="1"/>
    <col min="5646" max="5646" width="7" style="445" customWidth="1"/>
    <col min="5647" max="5647" width="5.28515625" style="445" customWidth="1"/>
    <col min="5648" max="5648" width="12.7109375" style="445" customWidth="1"/>
    <col min="5649" max="5649" width="0" style="445" hidden="1" customWidth="1"/>
    <col min="5650" max="5650" width="10" style="445" customWidth="1"/>
    <col min="5651" max="5651" width="5.140625" style="445" customWidth="1"/>
    <col min="5652" max="5888" width="9" style="445"/>
    <col min="5889" max="5889" width="1.7109375" style="445" customWidth="1"/>
    <col min="5890" max="5890" width="1.42578125" style="445" customWidth="1"/>
    <col min="5891" max="5891" width="7.7109375" style="445" customWidth="1"/>
    <col min="5892" max="5892" width="3.140625" style="445" customWidth="1"/>
    <col min="5893" max="5893" width="4.42578125" style="445" customWidth="1"/>
    <col min="5894" max="5894" width="2.85546875" style="445" customWidth="1"/>
    <col min="5895" max="5895" width="13.28515625" style="445" customWidth="1"/>
    <col min="5896" max="5896" width="2.42578125" style="445" customWidth="1"/>
    <col min="5897" max="5897" width="9.42578125" style="445" customWidth="1"/>
    <col min="5898" max="5898" width="12.42578125" style="445" customWidth="1"/>
    <col min="5899" max="5899" width="5" style="445" customWidth="1"/>
    <col min="5900" max="5900" width="9.42578125" style="445" customWidth="1"/>
    <col min="5901" max="5901" width="3.42578125" style="445" customWidth="1"/>
    <col min="5902" max="5902" width="7" style="445" customWidth="1"/>
    <col min="5903" max="5903" width="5.28515625" style="445" customWidth="1"/>
    <col min="5904" max="5904" width="12.7109375" style="445" customWidth="1"/>
    <col min="5905" max="5905" width="0" style="445" hidden="1" customWidth="1"/>
    <col min="5906" max="5906" width="10" style="445" customWidth="1"/>
    <col min="5907" max="5907" width="5.140625" style="445" customWidth="1"/>
    <col min="5908" max="6144" width="9" style="445"/>
    <col min="6145" max="6145" width="1.7109375" style="445" customWidth="1"/>
    <col min="6146" max="6146" width="1.42578125" style="445" customWidth="1"/>
    <col min="6147" max="6147" width="7.7109375" style="445" customWidth="1"/>
    <col min="6148" max="6148" width="3.140625" style="445" customWidth="1"/>
    <col min="6149" max="6149" width="4.42578125" style="445" customWidth="1"/>
    <col min="6150" max="6150" width="2.85546875" style="445" customWidth="1"/>
    <col min="6151" max="6151" width="13.28515625" style="445" customWidth="1"/>
    <col min="6152" max="6152" width="2.42578125" style="445" customWidth="1"/>
    <col min="6153" max="6153" width="9.42578125" style="445" customWidth="1"/>
    <col min="6154" max="6154" width="12.42578125" style="445" customWidth="1"/>
    <col min="6155" max="6155" width="5" style="445" customWidth="1"/>
    <col min="6156" max="6156" width="9.42578125" style="445" customWidth="1"/>
    <col min="6157" max="6157" width="3.42578125" style="445" customWidth="1"/>
    <col min="6158" max="6158" width="7" style="445" customWidth="1"/>
    <col min="6159" max="6159" width="5.28515625" style="445" customWidth="1"/>
    <col min="6160" max="6160" width="12.7109375" style="445" customWidth="1"/>
    <col min="6161" max="6161" width="0" style="445" hidden="1" customWidth="1"/>
    <col min="6162" max="6162" width="10" style="445" customWidth="1"/>
    <col min="6163" max="6163" width="5.140625" style="445" customWidth="1"/>
    <col min="6164" max="6400" width="9" style="445"/>
    <col min="6401" max="6401" width="1.7109375" style="445" customWidth="1"/>
    <col min="6402" max="6402" width="1.42578125" style="445" customWidth="1"/>
    <col min="6403" max="6403" width="7.7109375" style="445" customWidth="1"/>
    <col min="6404" max="6404" width="3.140625" style="445" customWidth="1"/>
    <col min="6405" max="6405" width="4.42578125" style="445" customWidth="1"/>
    <col min="6406" max="6406" width="2.85546875" style="445" customWidth="1"/>
    <col min="6407" max="6407" width="13.28515625" style="445" customWidth="1"/>
    <col min="6408" max="6408" width="2.42578125" style="445" customWidth="1"/>
    <col min="6409" max="6409" width="9.42578125" style="445" customWidth="1"/>
    <col min="6410" max="6410" width="12.42578125" style="445" customWidth="1"/>
    <col min="6411" max="6411" width="5" style="445" customWidth="1"/>
    <col min="6412" max="6412" width="9.42578125" style="445" customWidth="1"/>
    <col min="6413" max="6413" width="3.42578125" style="445" customWidth="1"/>
    <col min="6414" max="6414" width="7" style="445" customWidth="1"/>
    <col min="6415" max="6415" width="5.28515625" style="445" customWidth="1"/>
    <col min="6416" max="6416" width="12.7109375" style="445" customWidth="1"/>
    <col min="6417" max="6417" width="0" style="445" hidden="1" customWidth="1"/>
    <col min="6418" max="6418" width="10" style="445" customWidth="1"/>
    <col min="6419" max="6419" width="5.140625" style="445" customWidth="1"/>
    <col min="6420" max="6656" width="9" style="445"/>
    <col min="6657" max="6657" width="1.7109375" style="445" customWidth="1"/>
    <col min="6658" max="6658" width="1.42578125" style="445" customWidth="1"/>
    <col min="6659" max="6659" width="7.7109375" style="445" customWidth="1"/>
    <col min="6660" max="6660" width="3.140625" style="445" customWidth="1"/>
    <col min="6661" max="6661" width="4.42578125" style="445" customWidth="1"/>
    <col min="6662" max="6662" width="2.85546875" style="445" customWidth="1"/>
    <col min="6663" max="6663" width="13.28515625" style="445" customWidth="1"/>
    <col min="6664" max="6664" width="2.42578125" style="445" customWidth="1"/>
    <col min="6665" max="6665" width="9.42578125" style="445" customWidth="1"/>
    <col min="6666" max="6666" width="12.42578125" style="445" customWidth="1"/>
    <col min="6667" max="6667" width="5" style="445" customWidth="1"/>
    <col min="6668" max="6668" width="9.42578125" style="445" customWidth="1"/>
    <col min="6669" max="6669" width="3.42578125" style="445" customWidth="1"/>
    <col min="6670" max="6670" width="7" style="445" customWidth="1"/>
    <col min="6671" max="6671" width="5.28515625" style="445" customWidth="1"/>
    <col min="6672" max="6672" width="12.7109375" style="445" customWidth="1"/>
    <col min="6673" max="6673" width="0" style="445" hidden="1" customWidth="1"/>
    <col min="6674" max="6674" width="10" style="445" customWidth="1"/>
    <col min="6675" max="6675" width="5.140625" style="445" customWidth="1"/>
    <col min="6676" max="6912" width="9" style="445"/>
    <col min="6913" max="6913" width="1.7109375" style="445" customWidth="1"/>
    <col min="6914" max="6914" width="1.42578125" style="445" customWidth="1"/>
    <col min="6915" max="6915" width="7.7109375" style="445" customWidth="1"/>
    <col min="6916" max="6916" width="3.140625" style="445" customWidth="1"/>
    <col min="6917" max="6917" width="4.42578125" style="445" customWidth="1"/>
    <col min="6918" max="6918" width="2.85546875" style="445" customWidth="1"/>
    <col min="6919" max="6919" width="13.28515625" style="445" customWidth="1"/>
    <col min="6920" max="6920" width="2.42578125" style="445" customWidth="1"/>
    <col min="6921" max="6921" width="9.42578125" style="445" customWidth="1"/>
    <col min="6922" max="6922" width="12.42578125" style="445" customWidth="1"/>
    <col min="6923" max="6923" width="5" style="445" customWidth="1"/>
    <col min="6924" max="6924" width="9.42578125" style="445" customWidth="1"/>
    <col min="6925" max="6925" width="3.42578125" style="445" customWidth="1"/>
    <col min="6926" max="6926" width="7" style="445" customWidth="1"/>
    <col min="6927" max="6927" width="5.28515625" style="445" customWidth="1"/>
    <col min="6928" max="6928" width="12.7109375" style="445" customWidth="1"/>
    <col min="6929" max="6929" width="0" style="445" hidden="1" customWidth="1"/>
    <col min="6930" max="6930" width="10" style="445" customWidth="1"/>
    <col min="6931" max="6931" width="5.140625" style="445" customWidth="1"/>
    <col min="6932" max="7168" width="9" style="445"/>
    <col min="7169" max="7169" width="1.7109375" style="445" customWidth="1"/>
    <col min="7170" max="7170" width="1.42578125" style="445" customWidth="1"/>
    <col min="7171" max="7171" width="7.7109375" style="445" customWidth="1"/>
    <col min="7172" max="7172" width="3.140625" style="445" customWidth="1"/>
    <col min="7173" max="7173" width="4.42578125" style="445" customWidth="1"/>
    <col min="7174" max="7174" width="2.85546875" style="445" customWidth="1"/>
    <col min="7175" max="7175" width="13.28515625" style="445" customWidth="1"/>
    <col min="7176" max="7176" width="2.42578125" style="445" customWidth="1"/>
    <col min="7177" max="7177" width="9.42578125" style="445" customWidth="1"/>
    <col min="7178" max="7178" width="12.42578125" style="445" customWidth="1"/>
    <col min="7179" max="7179" width="5" style="445" customWidth="1"/>
    <col min="7180" max="7180" width="9.42578125" style="445" customWidth="1"/>
    <col min="7181" max="7181" width="3.42578125" style="445" customWidth="1"/>
    <col min="7182" max="7182" width="7" style="445" customWidth="1"/>
    <col min="7183" max="7183" width="5.28515625" style="445" customWidth="1"/>
    <col min="7184" max="7184" width="12.7109375" style="445" customWidth="1"/>
    <col min="7185" max="7185" width="0" style="445" hidden="1" customWidth="1"/>
    <col min="7186" max="7186" width="10" style="445" customWidth="1"/>
    <col min="7187" max="7187" width="5.140625" style="445" customWidth="1"/>
    <col min="7188" max="7424" width="9" style="445"/>
    <col min="7425" max="7425" width="1.7109375" style="445" customWidth="1"/>
    <col min="7426" max="7426" width="1.42578125" style="445" customWidth="1"/>
    <col min="7427" max="7427" width="7.7109375" style="445" customWidth="1"/>
    <col min="7428" max="7428" width="3.140625" style="445" customWidth="1"/>
    <col min="7429" max="7429" width="4.42578125" style="445" customWidth="1"/>
    <col min="7430" max="7430" width="2.85546875" style="445" customWidth="1"/>
    <col min="7431" max="7431" width="13.28515625" style="445" customWidth="1"/>
    <col min="7432" max="7432" width="2.42578125" style="445" customWidth="1"/>
    <col min="7433" max="7433" width="9.42578125" style="445" customWidth="1"/>
    <col min="7434" max="7434" width="12.42578125" style="445" customWidth="1"/>
    <col min="7435" max="7435" width="5" style="445" customWidth="1"/>
    <col min="7436" max="7436" width="9.42578125" style="445" customWidth="1"/>
    <col min="7437" max="7437" width="3.42578125" style="445" customWidth="1"/>
    <col min="7438" max="7438" width="7" style="445" customWidth="1"/>
    <col min="7439" max="7439" width="5.28515625" style="445" customWidth="1"/>
    <col min="7440" max="7440" width="12.7109375" style="445" customWidth="1"/>
    <col min="7441" max="7441" width="0" style="445" hidden="1" customWidth="1"/>
    <col min="7442" max="7442" width="10" style="445" customWidth="1"/>
    <col min="7443" max="7443" width="5.140625" style="445" customWidth="1"/>
    <col min="7444" max="7680" width="9" style="445"/>
    <col min="7681" max="7681" width="1.7109375" style="445" customWidth="1"/>
    <col min="7682" max="7682" width="1.42578125" style="445" customWidth="1"/>
    <col min="7683" max="7683" width="7.7109375" style="445" customWidth="1"/>
    <col min="7684" max="7684" width="3.140625" style="445" customWidth="1"/>
    <col min="7685" max="7685" width="4.42578125" style="445" customWidth="1"/>
    <col min="7686" max="7686" width="2.85546875" style="445" customWidth="1"/>
    <col min="7687" max="7687" width="13.28515625" style="445" customWidth="1"/>
    <col min="7688" max="7688" width="2.42578125" style="445" customWidth="1"/>
    <col min="7689" max="7689" width="9.42578125" style="445" customWidth="1"/>
    <col min="7690" max="7690" width="12.42578125" style="445" customWidth="1"/>
    <col min="7691" max="7691" width="5" style="445" customWidth="1"/>
    <col min="7692" max="7692" width="9.42578125" style="445" customWidth="1"/>
    <col min="7693" max="7693" width="3.42578125" style="445" customWidth="1"/>
    <col min="7694" max="7694" width="7" style="445" customWidth="1"/>
    <col min="7695" max="7695" width="5.28515625" style="445" customWidth="1"/>
    <col min="7696" max="7696" width="12.7109375" style="445" customWidth="1"/>
    <col min="7697" max="7697" width="0" style="445" hidden="1" customWidth="1"/>
    <col min="7698" max="7698" width="10" style="445" customWidth="1"/>
    <col min="7699" max="7699" width="5.140625" style="445" customWidth="1"/>
    <col min="7700" max="7936" width="9" style="445"/>
    <col min="7937" max="7937" width="1.7109375" style="445" customWidth="1"/>
    <col min="7938" max="7938" width="1.42578125" style="445" customWidth="1"/>
    <col min="7939" max="7939" width="7.7109375" style="445" customWidth="1"/>
    <col min="7940" max="7940" width="3.140625" style="445" customWidth="1"/>
    <col min="7941" max="7941" width="4.42578125" style="445" customWidth="1"/>
    <col min="7942" max="7942" width="2.85546875" style="445" customWidth="1"/>
    <col min="7943" max="7943" width="13.28515625" style="445" customWidth="1"/>
    <col min="7944" max="7944" width="2.42578125" style="445" customWidth="1"/>
    <col min="7945" max="7945" width="9.42578125" style="445" customWidth="1"/>
    <col min="7946" max="7946" width="12.42578125" style="445" customWidth="1"/>
    <col min="7947" max="7947" width="5" style="445" customWidth="1"/>
    <col min="7948" max="7948" width="9.42578125" style="445" customWidth="1"/>
    <col min="7949" max="7949" width="3.42578125" style="445" customWidth="1"/>
    <col min="7950" max="7950" width="7" style="445" customWidth="1"/>
    <col min="7951" max="7951" width="5.28515625" style="445" customWidth="1"/>
    <col min="7952" max="7952" width="12.7109375" style="445" customWidth="1"/>
    <col min="7953" max="7953" width="0" style="445" hidden="1" customWidth="1"/>
    <col min="7954" max="7954" width="10" style="445" customWidth="1"/>
    <col min="7955" max="7955" width="5.140625" style="445" customWidth="1"/>
    <col min="7956" max="8192" width="9" style="445"/>
    <col min="8193" max="8193" width="1.7109375" style="445" customWidth="1"/>
    <col min="8194" max="8194" width="1.42578125" style="445" customWidth="1"/>
    <col min="8195" max="8195" width="7.7109375" style="445" customWidth="1"/>
    <col min="8196" max="8196" width="3.140625" style="445" customWidth="1"/>
    <col min="8197" max="8197" width="4.42578125" style="445" customWidth="1"/>
    <col min="8198" max="8198" width="2.85546875" style="445" customWidth="1"/>
    <col min="8199" max="8199" width="13.28515625" style="445" customWidth="1"/>
    <col min="8200" max="8200" width="2.42578125" style="445" customWidth="1"/>
    <col min="8201" max="8201" width="9.42578125" style="445" customWidth="1"/>
    <col min="8202" max="8202" width="12.42578125" style="445" customWidth="1"/>
    <col min="8203" max="8203" width="5" style="445" customWidth="1"/>
    <col min="8204" max="8204" width="9.42578125" style="445" customWidth="1"/>
    <col min="8205" max="8205" width="3.42578125" style="445" customWidth="1"/>
    <col min="8206" max="8206" width="7" style="445" customWidth="1"/>
    <col min="8207" max="8207" width="5.28515625" style="445" customWidth="1"/>
    <col min="8208" max="8208" width="12.7109375" style="445" customWidth="1"/>
    <col min="8209" max="8209" width="0" style="445" hidden="1" customWidth="1"/>
    <col min="8210" max="8210" width="10" style="445" customWidth="1"/>
    <col min="8211" max="8211" width="5.140625" style="445" customWidth="1"/>
    <col min="8212" max="8448" width="9" style="445"/>
    <col min="8449" max="8449" width="1.7109375" style="445" customWidth="1"/>
    <col min="8450" max="8450" width="1.42578125" style="445" customWidth="1"/>
    <col min="8451" max="8451" width="7.7109375" style="445" customWidth="1"/>
    <col min="8452" max="8452" width="3.140625" style="445" customWidth="1"/>
    <col min="8453" max="8453" width="4.42578125" style="445" customWidth="1"/>
    <col min="8454" max="8454" width="2.85546875" style="445" customWidth="1"/>
    <col min="8455" max="8455" width="13.28515625" style="445" customWidth="1"/>
    <col min="8456" max="8456" width="2.42578125" style="445" customWidth="1"/>
    <col min="8457" max="8457" width="9.42578125" style="445" customWidth="1"/>
    <col min="8458" max="8458" width="12.42578125" style="445" customWidth="1"/>
    <col min="8459" max="8459" width="5" style="445" customWidth="1"/>
    <col min="8460" max="8460" width="9.42578125" style="445" customWidth="1"/>
    <col min="8461" max="8461" width="3.42578125" style="445" customWidth="1"/>
    <col min="8462" max="8462" width="7" style="445" customWidth="1"/>
    <col min="8463" max="8463" width="5.28515625" style="445" customWidth="1"/>
    <col min="8464" max="8464" width="12.7109375" style="445" customWidth="1"/>
    <col min="8465" max="8465" width="0" style="445" hidden="1" customWidth="1"/>
    <col min="8466" max="8466" width="10" style="445" customWidth="1"/>
    <col min="8467" max="8467" width="5.140625" style="445" customWidth="1"/>
    <col min="8468" max="8704" width="9" style="445"/>
    <col min="8705" max="8705" width="1.7109375" style="445" customWidth="1"/>
    <col min="8706" max="8706" width="1.42578125" style="445" customWidth="1"/>
    <col min="8707" max="8707" width="7.7109375" style="445" customWidth="1"/>
    <col min="8708" max="8708" width="3.140625" style="445" customWidth="1"/>
    <col min="8709" max="8709" width="4.42578125" style="445" customWidth="1"/>
    <col min="8710" max="8710" width="2.85546875" style="445" customWidth="1"/>
    <col min="8711" max="8711" width="13.28515625" style="445" customWidth="1"/>
    <col min="8712" max="8712" width="2.42578125" style="445" customWidth="1"/>
    <col min="8713" max="8713" width="9.42578125" style="445" customWidth="1"/>
    <col min="8714" max="8714" width="12.42578125" style="445" customWidth="1"/>
    <col min="8715" max="8715" width="5" style="445" customWidth="1"/>
    <col min="8716" max="8716" width="9.42578125" style="445" customWidth="1"/>
    <col min="8717" max="8717" width="3.42578125" style="445" customWidth="1"/>
    <col min="8718" max="8718" width="7" style="445" customWidth="1"/>
    <col min="8719" max="8719" width="5.28515625" style="445" customWidth="1"/>
    <col min="8720" max="8720" width="12.7109375" style="445" customWidth="1"/>
    <col min="8721" max="8721" width="0" style="445" hidden="1" customWidth="1"/>
    <col min="8722" max="8722" width="10" style="445" customWidth="1"/>
    <col min="8723" max="8723" width="5.140625" style="445" customWidth="1"/>
    <col min="8724" max="8960" width="9" style="445"/>
    <col min="8961" max="8961" width="1.7109375" style="445" customWidth="1"/>
    <col min="8962" max="8962" width="1.42578125" style="445" customWidth="1"/>
    <col min="8963" max="8963" width="7.7109375" style="445" customWidth="1"/>
    <col min="8964" max="8964" width="3.140625" style="445" customWidth="1"/>
    <col min="8965" max="8965" width="4.42578125" style="445" customWidth="1"/>
    <col min="8966" max="8966" width="2.85546875" style="445" customWidth="1"/>
    <col min="8967" max="8967" width="13.28515625" style="445" customWidth="1"/>
    <col min="8968" max="8968" width="2.42578125" style="445" customWidth="1"/>
    <col min="8969" max="8969" width="9.42578125" style="445" customWidth="1"/>
    <col min="8970" max="8970" width="12.42578125" style="445" customWidth="1"/>
    <col min="8971" max="8971" width="5" style="445" customWidth="1"/>
    <col min="8972" max="8972" width="9.42578125" style="445" customWidth="1"/>
    <col min="8973" max="8973" width="3.42578125" style="445" customWidth="1"/>
    <col min="8974" max="8974" width="7" style="445" customWidth="1"/>
    <col min="8975" max="8975" width="5.28515625" style="445" customWidth="1"/>
    <col min="8976" max="8976" width="12.7109375" style="445" customWidth="1"/>
    <col min="8977" max="8977" width="0" style="445" hidden="1" customWidth="1"/>
    <col min="8978" max="8978" width="10" style="445" customWidth="1"/>
    <col min="8979" max="8979" width="5.140625" style="445" customWidth="1"/>
    <col min="8980" max="9216" width="9" style="445"/>
    <col min="9217" max="9217" width="1.7109375" style="445" customWidth="1"/>
    <col min="9218" max="9218" width="1.42578125" style="445" customWidth="1"/>
    <col min="9219" max="9219" width="7.7109375" style="445" customWidth="1"/>
    <col min="9220" max="9220" width="3.140625" style="445" customWidth="1"/>
    <col min="9221" max="9221" width="4.42578125" style="445" customWidth="1"/>
    <col min="9222" max="9222" width="2.85546875" style="445" customWidth="1"/>
    <col min="9223" max="9223" width="13.28515625" style="445" customWidth="1"/>
    <col min="9224" max="9224" width="2.42578125" style="445" customWidth="1"/>
    <col min="9225" max="9225" width="9.42578125" style="445" customWidth="1"/>
    <col min="9226" max="9226" width="12.42578125" style="445" customWidth="1"/>
    <col min="9227" max="9227" width="5" style="445" customWidth="1"/>
    <col min="9228" max="9228" width="9.42578125" style="445" customWidth="1"/>
    <col min="9229" max="9229" width="3.42578125" style="445" customWidth="1"/>
    <col min="9230" max="9230" width="7" style="445" customWidth="1"/>
    <col min="9231" max="9231" width="5.28515625" style="445" customWidth="1"/>
    <col min="9232" max="9232" width="12.7109375" style="445" customWidth="1"/>
    <col min="9233" max="9233" width="0" style="445" hidden="1" customWidth="1"/>
    <col min="9234" max="9234" width="10" style="445" customWidth="1"/>
    <col min="9235" max="9235" width="5.140625" style="445" customWidth="1"/>
    <col min="9236" max="9472" width="9" style="445"/>
    <col min="9473" max="9473" width="1.7109375" style="445" customWidth="1"/>
    <col min="9474" max="9474" width="1.42578125" style="445" customWidth="1"/>
    <col min="9475" max="9475" width="7.7109375" style="445" customWidth="1"/>
    <col min="9476" max="9476" width="3.140625" style="445" customWidth="1"/>
    <col min="9477" max="9477" width="4.42578125" style="445" customWidth="1"/>
    <col min="9478" max="9478" width="2.85546875" style="445" customWidth="1"/>
    <col min="9479" max="9479" width="13.28515625" style="445" customWidth="1"/>
    <col min="9480" max="9480" width="2.42578125" style="445" customWidth="1"/>
    <col min="9481" max="9481" width="9.42578125" style="445" customWidth="1"/>
    <col min="9482" max="9482" width="12.42578125" style="445" customWidth="1"/>
    <col min="9483" max="9483" width="5" style="445" customWidth="1"/>
    <col min="9484" max="9484" width="9.42578125" style="445" customWidth="1"/>
    <col min="9485" max="9485" width="3.42578125" style="445" customWidth="1"/>
    <col min="9486" max="9486" width="7" style="445" customWidth="1"/>
    <col min="9487" max="9487" width="5.28515625" style="445" customWidth="1"/>
    <col min="9488" max="9488" width="12.7109375" style="445" customWidth="1"/>
    <col min="9489" max="9489" width="0" style="445" hidden="1" customWidth="1"/>
    <col min="9490" max="9490" width="10" style="445" customWidth="1"/>
    <col min="9491" max="9491" width="5.140625" style="445" customWidth="1"/>
    <col min="9492" max="9728" width="9" style="445"/>
    <col min="9729" max="9729" width="1.7109375" style="445" customWidth="1"/>
    <col min="9730" max="9730" width="1.42578125" style="445" customWidth="1"/>
    <col min="9731" max="9731" width="7.7109375" style="445" customWidth="1"/>
    <col min="9732" max="9732" width="3.140625" style="445" customWidth="1"/>
    <col min="9733" max="9733" width="4.42578125" style="445" customWidth="1"/>
    <col min="9734" max="9734" width="2.85546875" style="445" customWidth="1"/>
    <col min="9735" max="9735" width="13.28515625" style="445" customWidth="1"/>
    <col min="9736" max="9736" width="2.42578125" style="445" customWidth="1"/>
    <col min="9737" max="9737" width="9.42578125" style="445" customWidth="1"/>
    <col min="9738" max="9738" width="12.42578125" style="445" customWidth="1"/>
    <col min="9739" max="9739" width="5" style="445" customWidth="1"/>
    <col min="9740" max="9740" width="9.42578125" style="445" customWidth="1"/>
    <col min="9741" max="9741" width="3.42578125" style="445" customWidth="1"/>
    <col min="9742" max="9742" width="7" style="445" customWidth="1"/>
    <col min="9743" max="9743" width="5.28515625" style="445" customWidth="1"/>
    <col min="9744" max="9744" width="12.7109375" style="445" customWidth="1"/>
    <col min="9745" max="9745" width="0" style="445" hidden="1" customWidth="1"/>
    <col min="9746" max="9746" width="10" style="445" customWidth="1"/>
    <col min="9747" max="9747" width="5.140625" style="445" customWidth="1"/>
    <col min="9748" max="9984" width="9" style="445"/>
    <col min="9985" max="9985" width="1.7109375" style="445" customWidth="1"/>
    <col min="9986" max="9986" width="1.42578125" style="445" customWidth="1"/>
    <col min="9987" max="9987" width="7.7109375" style="445" customWidth="1"/>
    <col min="9988" max="9988" width="3.140625" style="445" customWidth="1"/>
    <col min="9989" max="9989" width="4.42578125" style="445" customWidth="1"/>
    <col min="9990" max="9990" width="2.85546875" style="445" customWidth="1"/>
    <col min="9991" max="9991" width="13.28515625" style="445" customWidth="1"/>
    <col min="9992" max="9992" width="2.42578125" style="445" customWidth="1"/>
    <col min="9993" max="9993" width="9.42578125" style="445" customWidth="1"/>
    <col min="9994" max="9994" width="12.42578125" style="445" customWidth="1"/>
    <col min="9995" max="9995" width="5" style="445" customWidth="1"/>
    <col min="9996" max="9996" width="9.42578125" style="445" customWidth="1"/>
    <col min="9997" max="9997" width="3.42578125" style="445" customWidth="1"/>
    <col min="9998" max="9998" width="7" style="445" customWidth="1"/>
    <col min="9999" max="9999" width="5.28515625" style="445" customWidth="1"/>
    <col min="10000" max="10000" width="12.7109375" style="445" customWidth="1"/>
    <col min="10001" max="10001" width="0" style="445" hidden="1" customWidth="1"/>
    <col min="10002" max="10002" width="10" style="445" customWidth="1"/>
    <col min="10003" max="10003" width="5.140625" style="445" customWidth="1"/>
    <col min="10004" max="10240" width="9" style="445"/>
    <col min="10241" max="10241" width="1.7109375" style="445" customWidth="1"/>
    <col min="10242" max="10242" width="1.42578125" style="445" customWidth="1"/>
    <col min="10243" max="10243" width="7.7109375" style="445" customWidth="1"/>
    <col min="10244" max="10244" width="3.140625" style="445" customWidth="1"/>
    <col min="10245" max="10245" width="4.42578125" style="445" customWidth="1"/>
    <col min="10246" max="10246" width="2.85546875" style="445" customWidth="1"/>
    <col min="10247" max="10247" width="13.28515625" style="445" customWidth="1"/>
    <col min="10248" max="10248" width="2.42578125" style="445" customWidth="1"/>
    <col min="10249" max="10249" width="9.42578125" style="445" customWidth="1"/>
    <col min="10250" max="10250" width="12.42578125" style="445" customWidth="1"/>
    <col min="10251" max="10251" width="5" style="445" customWidth="1"/>
    <col min="10252" max="10252" width="9.42578125" style="445" customWidth="1"/>
    <col min="10253" max="10253" width="3.42578125" style="445" customWidth="1"/>
    <col min="10254" max="10254" width="7" style="445" customWidth="1"/>
    <col min="10255" max="10255" width="5.28515625" style="445" customWidth="1"/>
    <col min="10256" max="10256" width="12.7109375" style="445" customWidth="1"/>
    <col min="10257" max="10257" width="0" style="445" hidden="1" customWidth="1"/>
    <col min="10258" max="10258" width="10" style="445" customWidth="1"/>
    <col min="10259" max="10259" width="5.140625" style="445" customWidth="1"/>
    <col min="10260" max="10496" width="9" style="445"/>
    <col min="10497" max="10497" width="1.7109375" style="445" customWidth="1"/>
    <col min="10498" max="10498" width="1.42578125" style="445" customWidth="1"/>
    <col min="10499" max="10499" width="7.7109375" style="445" customWidth="1"/>
    <col min="10500" max="10500" width="3.140625" style="445" customWidth="1"/>
    <col min="10501" max="10501" width="4.42578125" style="445" customWidth="1"/>
    <col min="10502" max="10502" width="2.85546875" style="445" customWidth="1"/>
    <col min="10503" max="10503" width="13.28515625" style="445" customWidth="1"/>
    <col min="10504" max="10504" width="2.42578125" style="445" customWidth="1"/>
    <col min="10505" max="10505" width="9.42578125" style="445" customWidth="1"/>
    <col min="10506" max="10506" width="12.42578125" style="445" customWidth="1"/>
    <col min="10507" max="10507" width="5" style="445" customWidth="1"/>
    <col min="10508" max="10508" width="9.42578125" style="445" customWidth="1"/>
    <col min="10509" max="10509" width="3.42578125" style="445" customWidth="1"/>
    <col min="10510" max="10510" width="7" style="445" customWidth="1"/>
    <col min="10511" max="10511" width="5.28515625" style="445" customWidth="1"/>
    <col min="10512" max="10512" width="12.7109375" style="445" customWidth="1"/>
    <col min="10513" max="10513" width="0" style="445" hidden="1" customWidth="1"/>
    <col min="10514" max="10514" width="10" style="445" customWidth="1"/>
    <col min="10515" max="10515" width="5.140625" style="445" customWidth="1"/>
    <col min="10516" max="10752" width="9" style="445"/>
    <col min="10753" max="10753" width="1.7109375" style="445" customWidth="1"/>
    <col min="10754" max="10754" width="1.42578125" style="445" customWidth="1"/>
    <col min="10755" max="10755" width="7.7109375" style="445" customWidth="1"/>
    <col min="10756" max="10756" width="3.140625" style="445" customWidth="1"/>
    <col min="10757" max="10757" width="4.42578125" style="445" customWidth="1"/>
    <col min="10758" max="10758" width="2.85546875" style="445" customWidth="1"/>
    <col min="10759" max="10759" width="13.28515625" style="445" customWidth="1"/>
    <col min="10760" max="10760" width="2.42578125" style="445" customWidth="1"/>
    <col min="10761" max="10761" width="9.42578125" style="445" customWidth="1"/>
    <col min="10762" max="10762" width="12.42578125" style="445" customWidth="1"/>
    <col min="10763" max="10763" width="5" style="445" customWidth="1"/>
    <col min="10764" max="10764" width="9.42578125" style="445" customWidth="1"/>
    <col min="10765" max="10765" width="3.42578125" style="445" customWidth="1"/>
    <col min="10766" max="10766" width="7" style="445" customWidth="1"/>
    <col min="10767" max="10767" width="5.28515625" style="445" customWidth="1"/>
    <col min="10768" max="10768" width="12.7109375" style="445" customWidth="1"/>
    <col min="10769" max="10769" width="0" style="445" hidden="1" customWidth="1"/>
    <col min="10770" max="10770" width="10" style="445" customWidth="1"/>
    <col min="10771" max="10771" width="5.140625" style="445" customWidth="1"/>
    <col min="10772" max="11008" width="9" style="445"/>
    <col min="11009" max="11009" width="1.7109375" style="445" customWidth="1"/>
    <col min="11010" max="11010" width="1.42578125" style="445" customWidth="1"/>
    <col min="11011" max="11011" width="7.7109375" style="445" customWidth="1"/>
    <col min="11012" max="11012" width="3.140625" style="445" customWidth="1"/>
    <col min="11013" max="11013" width="4.42578125" style="445" customWidth="1"/>
    <col min="11014" max="11014" width="2.85546875" style="445" customWidth="1"/>
    <col min="11015" max="11015" width="13.28515625" style="445" customWidth="1"/>
    <col min="11016" max="11016" width="2.42578125" style="445" customWidth="1"/>
    <col min="11017" max="11017" width="9.42578125" style="445" customWidth="1"/>
    <col min="11018" max="11018" width="12.42578125" style="445" customWidth="1"/>
    <col min="11019" max="11019" width="5" style="445" customWidth="1"/>
    <col min="11020" max="11020" width="9.42578125" style="445" customWidth="1"/>
    <col min="11021" max="11021" width="3.42578125" style="445" customWidth="1"/>
    <col min="11022" max="11022" width="7" style="445" customWidth="1"/>
    <col min="11023" max="11023" width="5.28515625" style="445" customWidth="1"/>
    <col min="11024" max="11024" width="12.7109375" style="445" customWidth="1"/>
    <col min="11025" max="11025" width="0" style="445" hidden="1" customWidth="1"/>
    <col min="11026" max="11026" width="10" style="445" customWidth="1"/>
    <col min="11027" max="11027" width="5.140625" style="445" customWidth="1"/>
    <col min="11028" max="11264" width="9" style="445"/>
    <col min="11265" max="11265" width="1.7109375" style="445" customWidth="1"/>
    <col min="11266" max="11266" width="1.42578125" style="445" customWidth="1"/>
    <col min="11267" max="11267" width="7.7109375" style="445" customWidth="1"/>
    <col min="11268" max="11268" width="3.140625" style="445" customWidth="1"/>
    <col min="11269" max="11269" width="4.42578125" style="445" customWidth="1"/>
    <col min="11270" max="11270" width="2.85546875" style="445" customWidth="1"/>
    <col min="11271" max="11271" width="13.28515625" style="445" customWidth="1"/>
    <col min="11272" max="11272" width="2.42578125" style="445" customWidth="1"/>
    <col min="11273" max="11273" width="9.42578125" style="445" customWidth="1"/>
    <col min="11274" max="11274" width="12.42578125" style="445" customWidth="1"/>
    <col min="11275" max="11275" width="5" style="445" customWidth="1"/>
    <col min="11276" max="11276" width="9.42578125" style="445" customWidth="1"/>
    <col min="11277" max="11277" width="3.42578125" style="445" customWidth="1"/>
    <col min="11278" max="11278" width="7" style="445" customWidth="1"/>
    <col min="11279" max="11279" width="5.28515625" style="445" customWidth="1"/>
    <col min="11280" max="11280" width="12.7109375" style="445" customWidth="1"/>
    <col min="11281" max="11281" width="0" style="445" hidden="1" customWidth="1"/>
    <col min="11282" max="11282" width="10" style="445" customWidth="1"/>
    <col min="11283" max="11283" width="5.140625" style="445" customWidth="1"/>
    <col min="11284" max="11520" width="9" style="445"/>
    <col min="11521" max="11521" width="1.7109375" style="445" customWidth="1"/>
    <col min="11522" max="11522" width="1.42578125" style="445" customWidth="1"/>
    <col min="11523" max="11523" width="7.7109375" style="445" customWidth="1"/>
    <col min="11524" max="11524" width="3.140625" style="445" customWidth="1"/>
    <col min="11525" max="11525" width="4.42578125" style="445" customWidth="1"/>
    <col min="11526" max="11526" width="2.85546875" style="445" customWidth="1"/>
    <col min="11527" max="11527" width="13.28515625" style="445" customWidth="1"/>
    <col min="11528" max="11528" width="2.42578125" style="445" customWidth="1"/>
    <col min="11529" max="11529" width="9.42578125" style="445" customWidth="1"/>
    <col min="11530" max="11530" width="12.42578125" style="445" customWidth="1"/>
    <col min="11531" max="11531" width="5" style="445" customWidth="1"/>
    <col min="11532" max="11532" width="9.42578125" style="445" customWidth="1"/>
    <col min="11533" max="11533" width="3.42578125" style="445" customWidth="1"/>
    <col min="11534" max="11534" width="7" style="445" customWidth="1"/>
    <col min="11535" max="11535" width="5.28515625" style="445" customWidth="1"/>
    <col min="11536" max="11536" width="12.7109375" style="445" customWidth="1"/>
    <col min="11537" max="11537" width="0" style="445" hidden="1" customWidth="1"/>
    <col min="11538" max="11538" width="10" style="445" customWidth="1"/>
    <col min="11539" max="11539" width="5.140625" style="445" customWidth="1"/>
    <col min="11540" max="11776" width="9" style="445"/>
    <col min="11777" max="11777" width="1.7109375" style="445" customWidth="1"/>
    <col min="11778" max="11778" width="1.42578125" style="445" customWidth="1"/>
    <col min="11779" max="11779" width="7.7109375" style="445" customWidth="1"/>
    <col min="11780" max="11780" width="3.140625" style="445" customWidth="1"/>
    <col min="11781" max="11781" width="4.42578125" style="445" customWidth="1"/>
    <col min="11782" max="11782" width="2.85546875" style="445" customWidth="1"/>
    <col min="11783" max="11783" width="13.28515625" style="445" customWidth="1"/>
    <col min="11784" max="11784" width="2.42578125" style="445" customWidth="1"/>
    <col min="11785" max="11785" width="9.42578125" style="445" customWidth="1"/>
    <col min="11786" max="11786" width="12.42578125" style="445" customWidth="1"/>
    <col min="11787" max="11787" width="5" style="445" customWidth="1"/>
    <col min="11788" max="11788" width="9.42578125" style="445" customWidth="1"/>
    <col min="11789" max="11789" width="3.42578125" style="445" customWidth="1"/>
    <col min="11790" max="11790" width="7" style="445" customWidth="1"/>
    <col min="11791" max="11791" width="5.28515625" style="445" customWidth="1"/>
    <col min="11792" max="11792" width="12.7109375" style="445" customWidth="1"/>
    <col min="11793" max="11793" width="0" style="445" hidden="1" customWidth="1"/>
    <col min="11794" max="11794" width="10" style="445" customWidth="1"/>
    <col min="11795" max="11795" width="5.140625" style="445" customWidth="1"/>
    <col min="11796" max="12032" width="9" style="445"/>
    <col min="12033" max="12033" width="1.7109375" style="445" customWidth="1"/>
    <col min="12034" max="12034" width="1.42578125" style="445" customWidth="1"/>
    <col min="12035" max="12035" width="7.7109375" style="445" customWidth="1"/>
    <col min="12036" max="12036" width="3.140625" style="445" customWidth="1"/>
    <col min="12037" max="12037" width="4.42578125" style="445" customWidth="1"/>
    <col min="12038" max="12038" width="2.85546875" style="445" customWidth="1"/>
    <col min="12039" max="12039" width="13.28515625" style="445" customWidth="1"/>
    <col min="12040" max="12040" width="2.42578125" style="445" customWidth="1"/>
    <col min="12041" max="12041" width="9.42578125" style="445" customWidth="1"/>
    <col min="12042" max="12042" width="12.42578125" style="445" customWidth="1"/>
    <col min="12043" max="12043" width="5" style="445" customWidth="1"/>
    <col min="12044" max="12044" width="9.42578125" style="445" customWidth="1"/>
    <col min="12045" max="12045" width="3.42578125" style="445" customWidth="1"/>
    <col min="12046" max="12046" width="7" style="445" customWidth="1"/>
    <col min="12047" max="12047" width="5.28515625" style="445" customWidth="1"/>
    <col min="12048" max="12048" width="12.7109375" style="445" customWidth="1"/>
    <col min="12049" max="12049" width="0" style="445" hidden="1" customWidth="1"/>
    <col min="12050" max="12050" width="10" style="445" customWidth="1"/>
    <col min="12051" max="12051" width="5.140625" style="445" customWidth="1"/>
    <col min="12052" max="12288" width="9" style="445"/>
    <col min="12289" max="12289" width="1.7109375" style="445" customWidth="1"/>
    <col min="12290" max="12290" width="1.42578125" style="445" customWidth="1"/>
    <col min="12291" max="12291" width="7.7109375" style="445" customWidth="1"/>
    <col min="12292" max="12292" width="3.140625" style="445" customWidth="1"/>
    <col min="12293" max="12293" width="4.42578125" style="445" customWidth="1"/>
    <col min="12294" max="12294" width="2.85546875" style="445" customWidth="1"/>
    <col min="12295" max="12295" width="13.28515625" style="445" customWidth="1"/>
    <col min="12296" max="12296" width="2.42578125" style="445" customWidth="1"/>
    <col min="12297" max="12297" width="9.42578125" style="445" customWidth="1"/>
    <col min="12298" max="12298" width="12.42578125" style="445" customWidth="1"/>
    <col min="12299" max="12299" width="5" style="445" customWidth="1"/>
    <col min="12300" max="12300" width="9.42578125" style="445" customWidth="1"/>
    <col min="12301" max="12301" width="3.42578125" style="445" customWidth="1"/>
    <col min="12302" max="12302" width="7" style="445" customWidth="1"/>
    <col min="12303" max="12303" width="5.28515625" style="445" customWidth="1"/>
    <col min="12304" max="12304" width="12.7109375" style="445" customWidth="1"/>
    <col min="12305" max="12305" width="0" style="445" hidden="1" customWidth="1"/>
    <col min="12306" max="12306" width="10" style="445" customWidth="1"/>
    <col min="12307" max="12307" width="5.140625" style="445" customWidth="1"/>
    <col min="12308" max="12544" width="9" style="445"/>
    <col min="12545" max="12545" width="1.7109375" style="445" customWidth="1"/>
    <col min="12546" max="12546" width="1.42578125" style="445" customWidth="1"/>
    <col min="12547" max="12547" width="7.7109375" style="445" customWidth="1"/>
    <col min="12548" max="12548" width="3.140625" style="445" customWidth="1"/>
    <col min="12549" max="12549" width="4.42578125" style="445" customWidth="1"/>
    <col min="12550" max="12550" width="2.85546875" style="445" customWidth="1"/>
    <col min="12551" max="12551" width="13.28515625" style="445" customWidth="1"/>
    <col min="12552" max="12552" width="2.42578125" style="445" customWidth="1"/>
    <col min="12553" max="12553" width="9.42578125" style="445" customWidth="1"/>
    <col min="12554" max="12554" width="12.42578125" style="445" customWidth="1"/>
    <col min="12555" max="12555" width="5" style="445" customWidth="1"/>
    <col min="12556" max="12556" width="9.42578125" style="445" customWidth="1"/>
    <col min="12557" max="12557" width="3.42578125" style="445" customWidth="1"/>
    <col min="12558" max="12558" width="7" style="445" customWidth="1"/>
    <col min="12559" max="12559" width="5.28515625" style="445" customWidth="1"/>
    <col min="12560" max="12560" width="12.7109375" style="445" customWidth="1"/>
    <col min="12561" max="12561" width="0" style="445" hidden="1" customWidth="1"/>
    <col min="12562" max="12562" width="10" style="445" customWidth="1"/>
    <col min="12563" max="12563" width="5.140625" style="445" customWidth="1"/>
    <col min="12564" max="12800" width="9" style="445"/>
    <col min="12801" max="12801" width="1.7109375" style="445" customWidth="1"/>
    <col min="12802" max="12802" width="1.42578125" style="445" customWidth="1"/>
    <col min="12803" max="12803" width="7.7109375" style="445" customWidth="1"/>
    <col min="12804" max="12804" width="3.140625" style="445" customWidth="1"/>
    <col min="12805" max="12805" width="4.42578125" style="445" customWidth="1"/>
    <col min="12806" max="12806" width="2.85546875" style="445" customWidth="1"/>
    <col min="12807" max="12807" width="13.28515625" style="445" customWidth="1"/>
    <col min="12808" max="12808" width="2.42578125" style="445" customWidth="1"/>
    <col min="12809" max="12809" width="9.42578125" style="445" customWidth="1"/>
    <col min="12810" max="12810" width="12.42578125" style="445" customWidth="1"/>
    <col min="12811" max="12811" width="5" style="445" customWidth="1"/>
    <col min="12812" max="12812" width="9.42578125" style="445" customWidth="1"/>
    <col min="12813" max="12813" width="3.42578125" style="445" customWidth="1"/>
    <col min="12814" max="12814" width="7" style="445" customWidth="1"/>
    <col min="12815" max="12815" width="5.28515625" style="445" customWidth="1"/>
    <col min="12816" max="12816" width="12.7109375" style="445" customWidth="1"/>
    <col min="12817" max="12817" width="0" style="445" hidden="1" customWidth="1"/>
    <col min="12818" max="12818" width="10" style="445" customWidth="1"/>
    <col min="12819" max="12819" width="5.140625" style="445" customWidth="1"/>
    <col min="12820" max="13056" width="9" style="445"/>
    <col min="13057" max="13057" width="1.7109375" style="445" customWidth="1"/>
    <col min="13058" max="13058" width="1.42578125" style="445" customWidth="1"/>
    <col min="13059" max="13059" width="7.7109375" style="445" customWidth="1"/>
    <col min="13060" max="13060" width="3.140625" style="445" customWidth="1"/>
    <col min="13061" max="13061" width="4.42578125" style="445" customWidth="1"/>
    <col min="13062" max="13062" width="2.85546875" style="445" customWidth="1"/>
    <col min="13063" max="13063" width="13.28515625" style="445" customWidth="1"/>
    <col min="13064" max="13064" width="2.42578125" style="445" customWidth="1"/>
    <col min="13065" max="13065" width="9.42578125" style="445" customWidth="1"/>
    <col min="13066" max="13066" width="12.42578125" style="445" customWidth="1"/>
    <col min="13067" max="13067" width="5" style="445" customWidth="1"/>
    <col min="13068" max="13068" width="9.42578125" style="445" customWidth="1"/>
    <col min="13069" max="13069" width="3.42578125" style="445" customWidth="1"/>
    <col min="13070" max="13070" width="7" style="445" customWidth="1"/>
    <col min="13071" max="13071" width="5.28515625" style="445" customWidth="1"/>
    <col min="13072" max="13072" width="12.7109375" style="445" customWidth="1"/>
    <col min="13073" max="13073" width="0" style="445" hidden="1" customWidth="1"/>
    <col min="13074" max="13074" width="10" style="445" customWidth="1"/>
    <col min="13075" max="13075" width="5.140625" style="445" customWidth="1"/>
    <col min="13076" max="13312" width="9" style="445"/>
    <col min="13313" max="13313" width="1.7109375" style="445" customWidth="1"/>
    <col min="13314" max="13314" width="1.42578125" style="445" customWidth="1"/>
    <col min="13315" max="13315" width="7.7109375" style="445" customWidth="1"/>
    <col min="13316" max="13316" width="3.140625" style="445" customWidth="1"/>
    <col min="13317" max="13317" width="4.42578125" style="445" customWidth="1"/>
    <col min="13318" max="13318" width="2.85546875" style="445" customWidth="1"/>
    <col min="13319" max="13319" width="13.28515625" style="445" customWidth="1"/>
    <col min="13320" max="13320" width="2.42578125" style="445" customWidth="1"/>
    <col min="13321" max="13321" width="9.42578125" style="445" customWidth="1"/>
    <col min="13322" max="13322" width="12.42578125" style="445" customWidth="1"/>
    <col min="13323" max="13323" width="5" style="445" customWidth="1"/>
    <col min="13324" max="13324" width="9.42578125" style="445" customWidth="1"/>
    <col min="13325" max="13325" width="3.42578125" style="445" customWidth="1"/>
    <col min="13326" max="13326" width="7" style="445" customWidth="1"/>
    <col min="13327" max="13327" width="5.28515625" style="445" customWidth="1"/>
    <col min="13328" max="13328" width="12.7109375" style="445" customWidth="1"/>
    <col min="13329" max="13329" width="0" style="445" hidden="1" customWidth="1"/>
    <col min="13330" max="13330" width="10" style="445" customWidth="1"/>
    <col min="13331" max="13331" width="5.140625" style="445" customWidth="1"/>
    <col min="13332" max="13568" width="9" style="445"/>
    <col min="13569" max="13569" width="1.7109375" style="445" customWidth="1"/>
    <col min="13570" max="13570" width="1.42578125" style="445" customWidth="1"/>
    <col min="13571" max="13571" width="7.7109375" style="445" customWidth="1"/>
    <col min="13572" max="13572" width="3.140625" style="445" customWidth="1"/>
    <col min="13573" max="13573" width="4.42578125" style="445" customWidth="1"/>
    <col min="13574" max="13574" width="2.85546875" style="445" customWidth="1"/>
    <col min="13575" max="13575" width="13.28515625" style="445" customWidth="1"/>
    <col min="13576" max="13576" width="2.42578125" style="445" customWidth="1"/>
    <col min="13577" max="13577" width="9.42578125" style="445" customWidth="1"/>
    <col min="13578" max="13578" width="12.42578125" style="445" customWidth="1"/>
    <col min="13579" max="13579" width="5" style="445" customWidth="1"/>
    <col min="13580" max="13580" width="9.42578125" style="445" customWidth="1"/>
    <col min="13581" max="13581" width="3.42578125" style="445" customWidth="1"/>
    <col min="13582" max="13582" width="7" style="445" customWidth="1"/>
    <col min="13583" max="13583" width="5.28515625" style="445" customWidth="1"/>
    <col min="13584" max="13584" width="12.7109375" style="445" customWidth="1"/>
    <col min="13585" max="13585" width="0" style="445" hidden="1" customWidth="1"/>
    <col min="13586" max="13586" width="10" style="445" customWidth="1"/>
    <col min="13587" max="13587" width="5.140625" style="445" customWidth="1"/>
    <col min="13588" max="13824" width="9" style="445"/>
    <col min="13825" max="13825" width="1.7109375" style="445" customWidth="1"/>
    <col min="13826" max="13826" width="1.42578125" style="445" customWidth="1"/>
    <col min="13827" max="13827" width="7.7109375" style="445" customWidth="1"/>
    <col min="13828" max="13828" width="3.140625" style="445" customWidth="1"/>
    <col min="13829" max="13829" width="4.42578125" style="445" customWidth="1"/>
    <col min="13830" max="13830" width="2.85546875" style="445" customWidth="1"/>
    <col min="13831" max="13831" width="13.28515625" style="445" customWidth="1"/>
    <col min="13832" max="13832" width="2.42578125" style="445" customWidth="1"/>
    <col min="13833" max="13833" width="9.42578125" style="445" customWidth="1"/>
    <col min="13834" max="13834" width="12.42578125" style="445" customWidth="1"/>
    <col min="13835" max="13835" width="5" style="445" customWidth="1"/>
    <col min="13836" max="13836" width="9.42578125" style="445" customWidth="1"/>
    <col min="13837" max="13837" width="3.42578125" style="445" customWidth="1"/>
    <col min="13838" max="13838" width="7" style="445" customWidth="1"/>
    <col min="13839" max="13839" width="5.28515625" style="445" customWidth="1"/>
    <col min="13840" max="13840" width="12.7109375" style="445" customWidth="1"/>
    <col min="13841" max="13841" width="0" style="445" hidden="1" customWidth="1"/>
    <col min="13842" max="13842" width="10" style="445" customWidth="1"/>
    <col min="13843" max="13843" width="5.140625" style="445" customWidth="1"/>
    <col min="13844" max="14080" width="9" style="445"/>
    <col min="14081" max="14081" width="1.7109375" style="445" customWidth="1"/>
    <col min="14082" max="14082" width="1.42578125" style="445" customWidth="1"/>
    <col min="14083" max="14083" width="7.7109375" style="445" customWidth="1"/>
    <col min="14084" max="14084" width="3.140625" style="445" customWidth="1"/>
    <col min="14085" max="14085" width="4.42578125" style="445" customWidth="1"/>
    <col min="14086" max="14086" width="2.85546875" style="445" customWidth="1"/>
    <col min="14087" max="14087" width="13.28515625" style="445" customWidth="1"/>
    <col min="14088" max="14088" width="2.42578125" style="445" customWidth="1"/>
    <col min="14089" max="14089" width="9.42578125" style="445" customWidth="1"/>
    <col min="14090" max="14090" width="12.42578125" style="445" customWidth="1"/>
    <col min="14091" max="14091" width="5" style="445" customWidth="1"/>
    <col min="14092" max="14092" width="9.42578125" style="445" customWidth="1"/>
    <col min="14093" max="14093" width="3.42578125" style="445" customWidth="1"/>
    <col min="14094" max="14094" width="7" style="445" customWidth="1"/>
    <col min="14095" max="14095" width="5.28515625" style="445" customWidth="1"/>
    <col min="14096" max="14096" width="12.7109375" style="445" customWidth="1"/>
    <col min="14097" max="14097" width="0" style="445" hidden="1" customWidth="1"/>
    <col min="14098" max="14098" width="10" style="445" customWidth="1"/>
    <col min="14099" max="14099" width="5.140625" style="445" customWidth="1"/>
    <col min="14100" max="14336" width="9" style="445"/>
    <col min="14337" max="14337" width="1.7109375" style="445" customWidth="1"/>
    <col min="14338" max="14338" width="1.42578125" style="445" customWidth="1"/>
    <col min="14339" max="14339" width="7.7109375" style="445" customWidth="1"/>
    <col min="14340" max="14340" width="3.140625" style="445" customWidth="1"/>
    <col min="14341" max="14341" width="4.42578125" style="445" customWidth="1"/>
    <col min="14342" max="14342" width="2.85546875" style="445" customWidth="1"/>
    <col min="14343" max="14343" width="13.28515625" style="445" customWidth="1"/>
    <col min="14344" max="14344" width="2.42578125" style="445" customWidth="1"/>
    <col min="14345" max="14345" width="9.42578125" style="445" customWidth="1"/>
    <col min="14346" max="14346" width="12.42578125" style="445" customWidth="1"/>
    <col min="14347" max="14347" width="5" style="445" customWidth="1"/>
    <col min="14348" max="14348" width="9.42578125" style="445" customWidth="1"/>
    <col min="14349" max="14349" width="3.42578125" style="445" customWidth="1"/>
    <col min="14350" max="14350" width="7" style="445" customWidth="1"/>
    <col min="14351" max="14351" width="5.28515625" style="445" customWidth="1"/>
    <col min="14352" max="14352" width="12.7109375" style="445" customWidth="1"/>
    <col min="14353" max="14353" width="0" style="445" hidden="1" customWidth="1"/>
    <col min="14354" max="14354" width="10" style="445" customWidth="1"/>
    <col min="14355" max="14355" width="5.140625" style="445" customWidth="1"/>
    <col min="14356" max="14592" width="9" style="445"/>
    <col min="14593" max="14593" width="1.7109375" style="445" customWidth="1"/>
    <col min="14594" max="14594" width="1.42578125" style="445" customWidth="1"/>
    <col min="14595" max="14595" width="7.7109375" style="445" customWidth="1"/>
    <col min="14596" max="14596" width="3.140625" style="445" customWidth="1"/>
    <col min="14597" max="14597" width="4.42578125" style="445" customWidth="1"/>
    <col min="14598" max="14598" width="2.85546875" style="445" customWidth="1"/>
    <col min="14599" max="14599" width="13.28515625" style="445" customWidth="1"/>
    <col min="14600" max="14600" width="2.42578125" style="445" customWidth="1"/>
    <col min="14601" max="14601" width="9.42578125" style="445" customWidth="1"/>
    <col min="14602" max="14602" width="12.42578125" style="445" customWidth="1"/>
    <col min="14603" max="14603" width="5" style="445" customWidth="1"/>
    <col min="14604" max="14604" width="9.42578125" style="445" customWidth="1"/>
    <col min="14605" max="14605" width="3.42578125" style="445" customWidth="1"/>
    <col min="14606" max="14606" width="7" style="445" customWidth="1"/>
    <col min="14607" max="14607" width="5.28515625" style="445" customWidth="1"/>
    <col min="14608" max="14608" width="12.7109375" style="445" customWidth="1"/>
    <col min="14609" max="14609" width="0" style="445" hidden="1" customWidth="1"/>
    <col min="14610" max="14610" width="10" style="445" customWidth="1"/>
    <col min="14611" max="14611" width="5.140625" style="445" customWidth="1"/>
    <col min="14612" max="14848" width="9" style="445"/>
    <col min="14849" max="14849" width="1.7109375" style="445" customWidth="1"/>
    <col min="14850" max="14850" width="1.42578125" style="445" customWidth="1"/>
    <col min="14851" max="14851" width="7.7109375" style="445" customWidth="1"/>
    <col min="14852" max="14852" width="3.140625" style="445" customWidth="1"/>
    <col min="14853" max="14853" width="4.42578125" style="445" customWidth="1"/>
    <col min="14854" max="14854" width="2.85546875" style="445" customWidth="1"/>
    <col min="14855" max="14855" width="13.28515625" style="445" customWidth="1"/>
    <col min="14856" max="14856" width="2.42578125" style="445" customWidth="1"/>
    <col min="14857" max="14857" width="9.42578125" style="445" customWidth="1"/>
    <col min="14858" max="14858" width="12.42578125" style="445" customWidth="1"/>
    <col min="14859" max="14859" width="5" style="445" customWidth="1"/>
    <col min="14860" max="14860" width="9.42578125" style="445" customWidth="1"/>
    <col min="14861" max="14861" width="3.42578125" style="445" customWidth="1"/>
    <col min="14862" max="14862" width="7" style="445" customWidth="1"/>
    <col min="14863" max="14863" width="5.28515625" style="445" customWidth="1"/>
    <col min="14864" max="14864" width="12.7109375" style="445" customWidth="1"/>
    <col min="14865" max="14865" width="0" style="445" hidden="1" customWidth="1"/>
    <col min="14866" max="14866" width="10" style="445" customWidth="1"/>
    <col min="14867" max="14867" width="5.140625" style="445" customWidth="1"/>
    <col min="14868" max="15104" width="9" style="445"/>
    <col min="15105" max="15105" width="1.7109375" style="445" customWidth="1"/>
    <col min="15106" max="15106" width="1.42578125" style="445" customWidth="1"/>
    <col min="15107" max="15107" width="7.7109375" style="445" customWidth="1"/>
    <col min="15108" max="15108" width="3.140625" style="445" customWidth="1"/>
    <col min="15109" max="15109" width="4.42578125" style="445" customWidth="1"/>
    <col min="15110" max="15110" width="2.85546875" style="445" customWidth="1"/>
    <col min="15111" max="15111" width="13.28515625" style="445" customWidth="1"/>
    <col min="15112" max="15112" width="2.42578125" style="445" customWidth="1"/>
    <col min="15113" max="15113" width="9.42578125" style="445" customWidth="1"/>
    <col min="15114" max="15114" width="12.42578125" style="445" customWidth="1"/>
    <col min="15115" max="15115" width="5" style="445" customWidth="1"/>
    <col min="15116" max="15116" width="9.42578125" style="445" customWidth="1"/>
    <col min="15117" max="15117" width="3.42578125" style="445" customWidth="1"/>
    <col min="15118" max="15118" width="7" style="445" customWidth="1"/>
    <col min="15119" max="15119" width="5.28515625" style="445" customWidth="1"/>
    <col min="15120" max="15120" width="12.7109375" style="445" customWidth="1"/>
    <col min="15121" max="15121" width="0" style="445" hidden="1" customWidth="1"/>
    <col min="15122" max="15122" width="10" style="445" customWidth="1"/>
    <col min="15123" max="15123" width="5.140625" style="445" customWidth="1"/>
    <col min="15124" max="15360" width="9" style="445"/>
    <col min="15361" max="15361" width="1.7109375" style="445" customWidth="1"/>
    <col min="15362" max="15362" width="1.42578125" style="445" customWidth="1"/>
    <col min="15363" max="15363" width="7.7109375" style="445" customWidth="1"/>
    <col min="15364" max="15364" width="3.140625" style="445" customWidth="1"/>
    <col min="15365" max="15365" width="4.42578125" style="445" customWidth="1"/>
    <col min="15366" max="15366" width="2.85546875" style="445" customWidth="1"/>
    <col min="15367" max="15367" width="13.28515625" style="445" customWidth="1"/>
    <col min="15368" max="15368" width="2.42578125" style="445" customWidth="1"/>
    <col min="15369" max="15369" width="9.42578125" style="445" customWidth="1"/>
    <col min="15370" max="15370" width="12.42578125" style="445" customWidth="1"/>
    <col min="15371" max="15371" width="5" style="445" customWidth="1"/>
    <col min="15372" max="15372" width="9.42578125" style="445" customWidth="1"/>
    <col min="15373" max="15373" width="3.42578125" style="445" customWidth="1"/>
    <col min="15374" max="15374" width="7" style="445" customWidth="1"/>
    <col min="15375" max="15375" width="5.28515625" style="445" customWidth="1"/>
    <col min="15376" max="15376" width="12.7109375" style="445" customWidth="1"/>
    <col min="15377" max="15377" width="0" style="445" hidden="1" customWidth="1"/>
    <col min="15378" max="15378" width="10" style="445" customWidth="1"/>
    <col min="15379" max="15379" width="5.140625" style="445" customWidth="1"/>
    <col min="15380" max="15616" width="9" style="445"/>
    <col min="15617" max="15617" width="1.7109375" style="445" customWidth="1"/>
    <col min="15618" max="15618" width="1.42578125" style="445" customWidth="1"/>
    <col min="15619" max="15619" width="7.7109375" style="445" customWidth="1"/>
    <col min="15620" max="15620" width="3.140625" style="445" customWidth="1"/>
    <col min="15621" max="15621" width="4.42578125" style="445" customWidth="1"/>
    <col min="15622" max="15622" width="2.85546875" style="445" customWidth="1"/>
    <col min="15623" max="15623" width="13.28515625" style="445" customWidth="1"/>
    <col min="15624" max="15624" width="2.42578125" style="445" customWidth="1"/>
    <col min="15625" max="15625" width="9.42578125" style="445" customWidth="1"/>
    <col min="15626" max="15626" width="12.42578125" style="445" customWidth="1"/>
    <col min="15627" max="15627" width="5" style="445" customWidth="1"/>
    <col min="15628" max="15628" width="9.42578125" style="445" customWidth="1"/>
    <col min="15629" max="15629" width="3.42578125" style="445" customWidth="1"/>
    <col min="15630" max="15630" width="7" style="445" customWidth="1"/>
    <col min="15631" max="15631" width="5.28515625" style="445" customWidth="1"/>
    <col min="15632" max="15632" width="12.7109375" style="445" customWidth="1"/>
    <col min="15633" max="15633" width="0" style="445" hidden="1" customWidth="1"/>
    <col min="15634" max="15634" width="10" style="445" customWidth="1"/>
    <col min="15635" max="15635" width="5.140625" style="445" customWidth="1"/>
    <col min="15636" max="15872" width="9" style="445"/>
    <col min="15873" max="15873" width="1.7109375" style="445" customWidth="1"/>
    <col min="15874" max="15874" width="1.42578125" style="445" customWidth="1"/>
    <col min="15875" max="15875" width="7.7109375" style="445" customWidth="1"/>
    <col min="15876" max="15876" width="3.140625" style="445" customWidth="1"/>
    <col min="15877" max="15877" width="4.42578125" style="445" customWidth="1"/>
    <col min="15878" max="15878" width="2.85546875" style="445" customWidth="1"/>
    <col min="15879" max="15879" width="13.28515625" style="445" customWidth="1"/>
    <col min="15880" max="15880" width="2.42578125" style="445" customWidth="1"/>
    <col min="15881" max="15881" width="9.42578125" style="445" customWidth="1"/>
    <col min="15882" max="15882" width="12.42578125" style="445" customWidth="1"/>
    <col min="15883" max="15883" width="5" style="445" customWidth="1"/>
    <col min="15884" max="15884" width="9.42578125" style="445" customWidth="1"/>
    <col min="15885" max="15885" width="3.42578125" style="445" customWidth="1"/>
    <col min="15886" max="15886" width="7" style="445" customWidth="1"/>
    <col min="15887" max="15887" width="5.28515625" style="445" customWidth="1"/>
    <col min="15888" max="15888" width="12.7109375" style="445" customWidth="1"/>
    <col min="15889" max="15889" width="0" style="445" hidden="1" customWidth="1"/>
    <col min="15890" max="15890" width="10" style="445" customWidth="1"/>
    <col min="15891" max="15891" width="5.140625" style="445" customWidth="1"/>
    <col min="15892" max="16128" width="9" style="445"/>
    <col min="16129" max="16129" width="1.7109375" style="445" customWidth="1"/>
    <col min="16130" max="16130" width="1.42578125" style="445" customWidth="1"/>
    <col min="16131" max="16131" width="7.7109375" style="445" customWidth="1"/>
    <col min="16132" max="16132" width="3.140625" style="445" customWidth="1"/>
    <col min="16133" max="16133" width="4.42578125" style="445" customWidth="1"/>
    <col min="16134" max="16134" width="2.85546875" style="445" customWidth="1"/>
    <col min="16135" max="16135" width="13.28515625" style="445" customWidth="1"/>
    <col min="16136" max="16136" width="2.42578125" style="445" customWidth="1"/>
    <col min="16137" max="16137" width="9.42578125" style="445" customWidth="1"/>
    <col min="16138" max="16138" width="12.42578125" style="445" customWidth="1"/>
    <col min="16139" max="16139" width="5" style="445" customWidth="1"/>
    <col min="16140" max="16140" width="9.42578125" style="445" customWidth="1"/>
    <col min="16141" max="16141" width="3.42578125" style="445" customWidth="1"/>
    <col min="16142" max="16142" width="7" style="445" customWidth="1"/>
    <col min="16143" max="16143" width="5.28515625" style="445" customWidth="1"/>
    <col min="16144" max="16144" width="12.7109375" style="445" customWidth="1"/>
    <col min="16145" max="16145" width="0" style="445" hidden="1" customWidth="1"/>
    <col min="16146" max="16146" width="10" style="445" customWidth="1"/>
    <col min="16147" max="16147" width="5.140625" style="445" customWidth="1"/>
    <col min="16148" max="16384" width="9" style="445"/>
  </cols>
  <sheetData>
    <row r="1" spans="1:29" ht="35.1" customHeight="1" x14ac:dyDescent="0.25">
      <c r="A1" s="901"/>
      <c r="B1" s="902"/>
      <c r="C1" s="901"/>
      <c r="D1" s="901"/>
      <c r="E1" s="901"/>
      <c r="F1" s="901"/>
      <c r="G1" s="901"/>
      <c r="H1" s="901"/>
      <c r="I1" s="904"/>
      <c r="J1" s="904"/>
      <c r="K1" s="905"/>
      <c r="L1" s="1961" t="s">
        <v>677</v>
      </c>
      <c r="M1" s="1961"/>
      <c r="N1" s="1961"/>
      <c r="O1" s="1961"/>
      <c r="P1" s="1961"/>
      <c r="Q1" s="1961"/>
      <c r="R1" s="943" t="str">
        <f>C9</f>
        <v>Visita N°</v>
      </c>
      <c r="S1" s="944">
        <f>D9</f>
        <v>1</v>
      </c>
      <c r="T1" s="901"/>
      <c r="U1" s="901"/>
      <c r="V1" s="901"/>
      <c r="W1" s="901"/>
      <c r="X1" s="901"/>
      <c r="Y1" s="901"/>
      <c r="Z1" s="901"/>
      <c r="AA1" s="901"/>
      <c r="AB1" s="901"/>
      <c r="AC1" s="901"/>
    </row>
    <row r="2" spans="1:29" ht="7.5" customHeight="1" x14ac:dyDescent="0.25">
      <c r="A2" s="901"/>
      <c r="B2" s="902"/>
      <c r="C2" s="902"/>
      <c r="D2" s="901"/>
      <c r="E2" s="903"/>
      <c r="F2" s="902"/>
      <c r="G2" s="903"/>
      <c r="H2" s="901"/>
      <c r="I2" s="901"/>
      <c r="J2" s="906"/>
      <c r="K2" s="906"/>
      <c r="L2" s="901"/>
      <c r="M2" s="902"/>
      <c r="N2" s="903"/>
      <c r="O2" s="901"/>
      <c r="P2" s="901"/>
      <c r="Q2" s="902"/>
      <c r="R2" s="907"/>
      <c r="S2" s="908"/>
      <c r="T2" s="901"/>
      <c r="U2" s="901"/>
      <c r="V2" s="901"/>
      <c r="W2" s="901"/>
      <c r="X2" s="901"/>
      <c r="Y2" s="901"/>
      <c r="Z2" s="901"/>
      <c r="AA2" s="901"/>
      <c r="AB2" s="901"/>
      <c r="AC2" s="901"/>
    </row>
    <row r="3" spans="1:29" ht="16.350000000000001" hidden="1" customHeight="1" x14ac:dyDescent="0.25">
      <c r="A3" s="901"/>
      <c r="B3" s="902"/>
      <c r="C3" s="902"/>
      <c r="D3" s="901"/>
      <c r="E3" s="903"/>
      <c r="F3" s="902"/>
      <c r="G3" s="903"/>
      <c r="H3" s="901"/>
      <c r="I3" s="901"/>
      <c r="J3" s="906"/>
      <c r="K3" s="909" t="s">
        <v>678</v>
      </c>
      <c r="L3" s="910"/>
      <c r="M3" s="910"/>
      <c r="N3" s="911"/>
      <c r="O3" s="910"/>
      <c r="P3" s="910"/>
      <c r="Q3" s="912"/>
      <c r="R3" s="907"/>
      <c r="S3" s="908"/>
      <c r="T3" s="901"/>
      <c r="U3" s="901"/>
      <c r="V3" s="901"/>
      <c r="W3" s="901"/>
      <c r="X3" s="901"/>
      <c r="Y3" s="901"/>
      <c r="Z3" s="901"/>
      <c r="AA3" s="901"/>
      <c r="AB3" s="901"/>
      <c r="AC3" s="901"/>
    </row>
    <row r="4" spans="1:29" ht="8.25" customHeight="1" x14ac:dyDescent="0.25">
      <c r="A4" s="901"/>
      <c r="B4" s="902"/>
      <c r="C4" s="902"/>
      <c r="D4" s="902"/>
      <c r="E4" s="902"/>
      <c r="F4" s="902"/>
      <c r="G4" s="902"/>
      <c r="H4" s="902"/>
      <c r="I4" s="902"/>
      <c r="J4" s="902"/>
      <c r="K4" s="924"/>
      <c r="L4" s="902"/>
      <c r="M4" s="902"/>
      <c r="N4" s="902"/>
      <c r="O4" s="902"/>
      <c r="P4" s="902"/>
      <c r="Q4" s="902"/>
      <c r="R4" s="907"/>
      <c r="S4" s="908"/>
      <c r="T4" s="901"/>
      <c r="U4" s="901"/>
      <c r="V4" s="901"/>
      <c r="W4" s="901"/>
      <c r="X4" s="901"/>
      <c r="Y4" s="901"/>
      <c r="Z4" s="901"/>
      <c r="AA4" s="901"/>
      <c r="AB4" s="901"/>
      <c r="AC4" s="901"/>
    </row>
    <row r="5" spans="1:29" ht="17.850000000000001" customHeight="1" x14ac:dyDescent="0.25">
      <c r="A5" s="901"/>
      <c r="B5" s="928" t="s">
        <v>679</v>
      </c>
      <c r="C5" s="929"/>
      <c r="D5" s="929"/>
      <c r="E5" s="929"/>
      <c r="F5" s="929"/>
      <c r="G5" s="1962"/>
      <c r="H5" s="1962"/>
      <c r="I5" s="1962"/>
      <c r="J5" s="1962"/>
      <c r="K5" s="1962"/>
      <c r="L5" s="1962"/>
      <c r="M5" s="1962"/>
      <c r="N5" s="1962"/>
      <c r="O5" s="930" t="s">
        <v>680</v>
      </c>
      <c r="P5" s="1963"/>
      <c r="Q5" s="1964"/>
      <c r="R5" s="925"/>
      <c r="S5" s="908"/>
      <c r="T5" s="901"/>
      <c r="U5" s="901"/>
      <c r="V5" s="901"/>
      <c r="W5" s="901"/>
      <c r="X5" s="901"/>
      <c r="Y5" s="901"/>
      <c r="Z5" s="901"/>
      <c r="AA5" s="901"/>
      <c r="AB5" s="901"/>
      <c r="AC5" s="901"/>
    </row>
    <row r="6" spans="1:29" ht="17.850000000000001" customHeight="1" x14ac:dyDescent="0.25">
      <c r="A6" s="901"/>
      <c r="B6" s="931" t="s">
        <v>681</v>
      </c>
      <c r="C6" s="932"/>
      <c r="D6" s="932"/>
      <c r="E6" s="932"/>
      <c r="F6" s="1965"/>
      <c r="G6" s="1965"/>
      <c r="H6" s="1965"/>
      <c r="I6" s="1965"/>
      <c r="J6" s="1965"/>
      <c r="K6" s="933" t="s">
        <v>682</v>
      </c>
      <c r="L6" s="934"/>
      <c r="M6" s="1966"/>
      <c r="N6" s="1966"/>
      <c r="O6" s="1966"/>
      <c r="P6" s="1966"/>
      <c r="Q6" s="1967"/>
      <c r="R6" s="925"/>
      <c r="S6" s="908"/>
      <c r="T6" s="901"/>
      <c r="U6" s="901"/>
      <c r="V6" s="901"/>
      <c r="W6" s="901"/>
      <c r="X6" s="901"/>
      <c r="Y6" s="901"/>
      <c r="Z6" s="901"/>
      <c r="AA6" s="901"/>
      <c r="AB6" s="901"/>
      <c r="AC6" s="901"/>
    </row>
    <row r="7" spans="1:29" ht="17.850000000000001" customHeight="1" x14ac:dyDescent="0.25">
      <c r="A7" s="901"/>
      <c r="B7" s="935" t="s">
        <v>683</v>
      </c>
      <c r="C7" s="924"/>
      <c r="D7" s="924"/>
      <c r="E7" s="918"/>
      <c r="F7" s="918"/>
      <c r="G7" s="918"/>
      <c r="H7" s="918"/>
      <c r="I7" s="913"/>
      <c r="J7" s="914" t="s">
        <v>684</v>
      </c>
      <c r="K7" s="915"/>
      <c r="L7" s="916" t="s">
        <v>685</v>
      </c>
      <c r="M7" s="917"/>
      <c r="N7" s="918"/>
      <c r="O7" s="918"/>
      <c r="P7" s="918"/>
      <c r="Q7" s="926"/>
      <c r="R7" s="925"/>
      <c r="S7" s="908"/>
      <c r="T7" s="901"/>
      <c r="U7" s="901"/>
      <c r="V7" s="901"/>
      <c r="W7" s="901"/>
      <c r="X7" s="901"/>
      <c r="Y7" s="901"/>
      <c r="Z7" s="901"/>
      <c r="AA7" s="901"/>
      <c r="AB7" s="901"/>
      <c r="AC7" s="901"/>
    </row>
    <row r="8" spans="1:29" ht="17.850000000000001" customHeight="1" x14ac:dyDescent="0.25">
      <c r="A8" s="901"/>
      <c r="B8" s="936" t="s">
        <v>686</v>
      </c>
      <c r="C8" s="937"/>
      <c r="D8" s="937"/>
      <c r="E8" s="934"/>
      <c r="F8" s="934"/>
      <c r="G8" s="934"/>
      <c r="H8" s="934"/>
      <c r="I8" s="1966"/>
      <c r="J8" s="1966"/>
      <c r="K8" s="1966"/>
      <c r="L8" s="1966"/>
      <c r="M8" s="1966"/>
      <c r="N8" s="1966"/>
      <c r="O8" s="1966"/>
      <c r="P8" s="1966"/>
      <c r="Q8" s="1967"/>
      <c r="R8" s="925"/>
      <c r="S8" s="908"/>
      <c r="T8" s="906"/>
      <c r="U8" s="901"/>
      <c r="V8" s="901"/>
      <c r="W8" s="901"/>
      <c r="X8" s="901"/>
      <c r="Y8" s="901"/>
      <c r="Z8" s="901"/>
      <c r="AA8" s="901"/>
      <c r="AB8" s="901"/>
      <c r="AC8" s="901"/>
    </row>
    <row r="9" spans="1:29" ht="17.850000000000001" customHeight="1" x14ac:dyDescent="0.25">
      <c r="A9" s="902"/>
      <c r="B9" s="927"/>
      <c r="C9" s="919" t="s">
        <v>687</v>
      </c>
      <c r="D9" s="918">
        <v>1</v>
      </c>
      <c r="E9" s="918"/>
      <c r="F9" s="918"/>
      <c r="G9" s="938"/>
      <c r="H9" s="918"/>
      <c r="I9" s="1968"/>
      <c r="J9" s="1968"/>
      <c r="K9" s="1968"/>
      <c r="L9" s="1968"/>
      <c r="M9" s="1968"/>
      <c r="N9" s="1968"/>
      <c r="O9" s="1968"/>
      <c r="P9" s="1968"/>
      <c r="Q9" s="1969"/>
      <c r="R9" s="925"/>
      <c r="S9" s="908"/>
      <c r="T9" s="901"/>
      <c r="U9" s="901"/>
      <c r="V9" s="901"/>
      <c r="W9" s="901"/>
      <c r="X9" s="901"/>
      <c r="Y9" s="901"/>
      <c r="Z9" s="901"/>
      <c r="AA9" s="901"/>
      <c r="AB9" s="901"/>
      <c r="AC9" s="901"/>
    </row>
    <row r="10" spans="1:29" ht="17.850000000000001" customHeight="1" x14ac:dyDescent="0.25">
      <c r="A10" s="901"/>
      <c r="B10" s="936"/>
      <c r="C10" s="939"/>
      <c r="D10" s="939"/>
      <c r="E10" s="934"/>
      <c r="F10" s="934"/>
      <c r="G10" s="940" t="s">
        <v>688</v>
      </c>
      <c r="H10" s="934"/>
      <c r="I10" s="934"/>
      <c r="J10" s="934"/>
      <c r="K10" s="934"/>
      <c r="L10" s="939"/>
      <c r="M10" s="941"/>
      <c r="N10" s="940"/>
      <c r="O10" s="934"/>
      <c r="P10" s="934"/>
      <c r="Q10" s="942"/>
      <c r="R10" s="925"/>
      <c r="S10" s="908"/>
      <c r="T10" s="901"/>
      <c r="U10" s="901"/>
      <c r="V10" s="901"/>
      <c r="W10" s="901"/>
      <c r="X10" s="901"/>
      <c r="Y10" s="901"/>
      <c r="Z10" s="901"/>
      <c r="AA10" s="901"/>
      <c r="AB10" s="901"/>
      <c r="AC10" s="901"/>
    </row>
    <row r="11" spans="1:29" ht="17.850000000000001" customHeight="1" thickBot="1" x14ac:dyDescent="0.3">
      <c r="A11" s="901"/>
      <c r="B11" s="945"/>
      <c r="C11" s="1970"/>
      <c r="D11" s="1970"/>
      <c r="E11" s="1970"/>
      <c r="F11" s="1970"/>
      <c r="G11" s="1970"/>
      <c r="H11" s="1970"/>
      <c r="I11" s="1970"/>
      <c r="J11" s="1970"/>
      <c r="K11" s="1970"/>
      <c r="L11" s="1970"/>
      <c r="M11" s="1970"/>
      <c r="N11" s="1970"/>
      <c r="O11" s="1970"/>
      <c r="P11" s="1970"/>
      <c r="Q11" s="946"/>
      <c r="R11" s="907"/>
      <c r="S11" s="908"/>
      <c r="T11" s="901"/>
      <c r="U11" s="901"/>
      <c r="V11" s="901"/>
      <c r="W11" s="901"/>
      <c r="X11" s="901"/>
      <c r="Y11" s="901"/>
      <c r="Z11" s="901"/>
      <c r="AA11" s="901"/>
      <c r="AB11" s="901"/>
      <c r="AC11" s="901"/>
    </row>
    <row r="12" spans="1:29" ht="17.850000000000001" customHeight="1" thickTop="1" thickBot="1" x14ac:dyDescent="0.3">
      <c r="A12" s="901"/>
      <c r="B12" s="947"/>
      <c r="C12" s="1971"/>
      <c r="D12" s="1971"/>
      <c r="E12" s="1971"/>
      <c r="F12" s="1971"/>
      <c r="G12" s="1971"/>
      <c r="H12" s="1971"/>
      <c r="I12" s="1971"/>
      <c r="J12" s="1971"/>
      <c r="K12" s="1971"/>
      <c r="L12" s="1971"/>
      <c r="M12" s="1971"/>
      <c r="N12" s="1971"/>
      <c r="O12" s="1971"/>
      <c r="P12" s="1971"/>
      <c r="Q12" s="948"/>
      <c r="R12" s="907"/>
      <c r="S12" s="908"/>
      <c r="T12" s="901"/>
      <c r="U12" s="901"/>
      <c r="V12" s="901"/>
      <c r="W12" s="901"/>
      <c r="X12" s="901"/>
      <c r="Y12" s="901"/>
      <c r="Z12" s="901"/>
      <c r="AA12" s="901"/>
      <c r="AB12" s="901"/>
      <c r="AC12" s="901"/>
    </row>
    <row r="13" spans="1:29" ht="17.850000000000001" customHeight="1" thickTop="1" thickBot="1" x14ac:dyDescent="0.3">
      <c r="A13" s="901"/>
      <c r="B13" s="947"/>
      <c r="C13" s="1971"/>
      <c r="D13" s="1971"/>
      <c r="E13" s="1971"/>
      <c r="F13" s="1971"/>
      <c r="G13" s="1971"/>
      <c r="H13" s="1971"/>
      <c r="I13" s="1971"/>
      <c r="J13" s="1971"/>
      <c r="K13" s="1971"/>
      <c r="L13" s="1971"/>
      <c r="M13" s="1971"/>
      <c r="N13" s="1971"/>
      <c r="O13" s="1971"/>
      <c r="P13" s="1971"/>
      <c r="Q13" s="948"/>
      <c r="R13" s="907"/>
      <c r="S13" s="908"/>
      <c r="T13" s="901"/>
      <c r="U13" s="901"/>
      <c r="V13" s="901"/>
      <c r="W13" s="901"/>
      <c r="X13" s="901"/>
      <c r="Y13" s="901"/>
      <c r="Z13" s="901"/>
      <c r="AA13" s="901"/>
      <c r="AB13" s="901"/>
      <c r="AC13" s="901"/>
    </row>
    <row r="14" spans="1:29" ht="17.850000000000001" customHeight="1" thickTop="1" thickBot="1" x14ac:dyDescent="0.3">
      <c r="A14" s="901"/>
      <c r="B14" s="947"/>
      <c r="C14" s="1971"/>
      <c r="D14" s="1971"/>
      <c r="E14" s="1971"/>
      <c r="F14" s="1971"/>
      <c r="G14" s="1971"/>
      <c r="H14" s="1971"/>
      <c r="I14" s="1971"/>
      <c r="J14" s="1971"/>
      <c r="K14" s="1971"/>
      <c r="L14" s="1971"/>
      <c r="M14" s="1971"/>
      <c r="N14" s="1971"/>
      <c r="O14" s="1971"/>
      <c r="P14" s="1971"/>
      <c r="Q14" s="948"/>
      <c r="R14" s="907"/>
      <c r="S14" s="908"/>
      <c r="T14" s="901"/>
      <c r="U14" s="901"/>
      <c r="V14" s="901"/>
      <c r="W14" s="901"/>
      <c r="X14" s="901"/>
      <c r="Y14" s="901"/>
      <c r="Z14" s="901"/>
      <c r="AA14" s="901"/>
      <c r="AB14" s="901"/>
      <c r="AC14" s="901"/>
    </row>
    <row r="15" spans="1:29" ht="17.850000000000001" customHeight="1" thickTop="1" thickBot="1" x14ac:dyDescent="0.3">
      <c r="A15" s="901"/>
      <c r="B15" s="947"/>
      <c r="C15" s="1971"/>
      <c r="D15" s="1971"/>
      <c r="E15" s="1971"/>
      <c r="F15" s="1971"/>
      <c r="G15" s="1971"/>
      <c r="H15" s="1971"/>
      <c r="I15" s="1971"/>
      <c r="J15" s="1971"/>
      <c r="K15" s="1971"/>
      <c r="L15" s="1971"/>
      <c r="M15" s="1971"/>
      <c r="N15" s="1971"/>
      <c r="O15" s="1971"/>
      <c r="P15" s="1971"/>
      <c r="Q15" s="948"/>
      <c r="R15" s="907"/>
      <c r="S15" s="908"/>
      <c r="T15" s="901"/>
      <c r="U15" s="901"/>
      <c r="V15" s="901"/>
      <c r="W15" s="901"/>
      <c r="X15" s="901"/>
      <c r="Y15" s="901"/>
      <c r="Z15" s="901"/>
      <c r="AA15" s="901"/>
      <c r="AB15" s="901"/>
      <c r="AC15" s="901"/>
    </row>
    <row r="16" spans="1:29" ht="17.850000000000001" customHeight="1" thickTop="1" thickBot="1" x14ac:dyDescent="0.3">
      <c r="A16" s="901"/>
      <c r="B16" s="947"/>
      <c r="C16" s="1971"/>
      <c r="D16" s="1971"/>
      <c r="E16" s="1971"/>
      <c r="F16" s="1971"/>
      <c r="G16" s="1971"/>
      <c r="H16" s="1971"/>
      <c r="I16" s="1971"/>
      <c r="J16" s="1971"/>
      <c r="K16" s="1971"/>
      <c r="L16" s="1971"/>
      <c r="M16" s="1971"/>
      <c r="N16" s="1971"/>
      <c r="O16" s="1971"/>
      <c r="P16" s="1971"/>
      <c r="Q16" s="948"/>
      <c r="R16" s="907"/>
      <c r="S16" s="908"/>
      <c r="T16" s="901"/>
      <c r="U16" s="901"/>
      <c r="V16" s="901"/>
      <c r="W16" s="901"/>
      <c r="X16" s="901"/>
      <c r="Y16" s="901"/>
      <c r="Z16" s="901"/>
      <c r="AA16" s="901"/>
      <c r="AB16" s="901"/>
      <c r="AC16" s="901"/>
    </row>
    <row r="17" spans="1:29" ht="17.850000000000001" customHeight="1" thickTop="1" thickBot="1" x14ac:dyDescent="0.3">
      <c r="A17" s="901"/>
      <c r="B17" s="947"/>
      <c r="C17" s="1971"/>
      <c r="D17" s="1971"/>
      <c r="E17" s="1971"/>
      <c r="F17" s="1971"/>
      <c r="G17" s="1971"/>
      <c r="H17" s="1971"/>
      <c r="I17" s="1971"/>
      <c r="J17" s="1971"/>
      <c r="K17" s="1971"/>
      <c r="L17" s="1971"/>
      <c r="M17" s="1971"/>
      <c r="N17" s="1971"/>
      <c r="O17" s="1971"/>
      <c r="P17" s="1971"/>
      <c r="Q17" s="948"/>
      <c r="R17" s="907"/>
      <c r="S17" s="908"/>
      <c r="T17" s="901"/>
      <c r="U17" s="901"/>
      <c r="V17" s="901"/>
      <c r="W17" s="901"/>
      <c r="X17" s="901"/>
      <c r="Y17" s="901"/>
      <c r="Z17" s="901"/>
      <c r="AA17" s="901"/>
      <c r="AB17" s="901"/>
      <c r="AC17" s="901"/>
    </row>
    <row r="18" spans="1:29" ht="17.850000000000001" customHeight="1" thickTop="1" thickBot="1" x14ac:dyDescent="0.3">
      <c r="A18" s="901"/>
      <c r="B18" s="947"/>
      <c r="C18" s="1971"/>
      <c r="D18" s="1971"/>
      <c r="E18" s="1971"/>
      <c r="F18" s="1971"/>
      <c r="G18" s="1971"/>
      <c r="H18" s="1971"/>
      <c r="I18" s="1971"/>
      <c r="J18" s="1971"/>
      <c r="K18" s="1971"/>
      <c r="L18" s="1971"/>
      <c r="M18" s="1971"/>
      <c r="N18" s="1971"/>
      <c r="O18" s="1971"/>
      <c r="P18" s="1971"/>
      <c r="Q18" s="948"/>
      <c r="R18" s="907"/>
      <c r="S18" s="908"/>
      <c r="T18" s="901"/>
      <c r="U18" s="901"/>
      <c r="V18" s="901"/>
      <c r="W18" s="901"/>
      <c r="X18" s="901"/>
      <c r="Y18" s="901"/>
      <c r="Z18" s="901"/>
      <c r="AA18" s="901"/>
      <c r="AB18" s="901"/>
      <c r="AC18" s="901"/>
    </row>
    <row r="19" spans="1:29" ht="17.850000000000001" customHeight="1" thickTop="1" thickBot="1" x14ac:dyDescent="0.3">
      <c r="A19" s="901"/>
      <c r="B19" s="947"/>
      <c r="C19" s="1971"/>
      <c r="D19" s="1971"/>
      <c r="E19" s="1971"/>
      <c r="F19" s="1971"/>
      <c r="G19" s="1971"/>
      <c r="H19" s="1971"/>
      <c r="I19" s="1971"/>
      <c r="J19" s="1971"/>
      <c r="K19" s="1971"/>
      <c r="L19" s="1971"/>
      <c r="M19" s="1971"/>
      <c r="N19" s="1971"/>
      <c r="O19" s="1971"/>
      <c r="P19" s="1971"/>
      <c r="Q19" s="948"/>
      <c r="R19" s="907"/>
      <c r="S19" s="908"/>
      <c r="T19" s="901"/>
      <c r="U19" s="901"/>
      <c r="V19" s="901"/>
      <c r="W19" s="901"/>
      <c r="X19" s="901"/>
      <c r="Y19" s="901"/>
      <c r="Z19" s="901"/>
      <c r="AA19" s="901"/>
      <c r="AB19" s="901"/>
      <c r="AC19" s="901"/>
    </row>
    <row r="20" spans="1:29" ht="17.850000000000001" customHeight="1" thickTop="1" thickBot="1" x14ac:dyDescent="0.3">
      <c r="A20" s="901"/>
      <c r="B20" s="947"/>
      <c r="C20" s="1971"/>
      <c r="D20" s="1971"/>
      <c r="E20" s="1971"/>
      <c r="F20" s="1971"/>
      <c r="G20" s="1971"/>
      <c r="H20" s="1971"/>
      <c r="I20" s="1971"/>
      <c r="J20" s="1971"/>
      <c r="K20" s="1971"/>
      <c r="L20" s="1971"/>
      <c r="M20" s="1971"/>
      <c r="N20" s="1971"/>
      <c r="O20" s="1971"/>
      <c r="P20" s="1971"/>
      <c r="Q20" s="948"/>
      <c r="R20" s="907"/>
      <c r="S20" s="908"/>
      <c r="T20" s="901"/>
      <c r="U20" s="901"/>
      <c r="V20" s="901"/>
      <c r="W20" s="901"/>
      <c r="X20" s="901"/>
      <c r="Y20" s="901"/>
      <c r="Z20" s="901"/>
      <c r="AA20" s="901"/>
      <c r="AB20" s="901"/>
      <c r="AC20" s="901"/>
    </row>
    <row r="21" spans="1:29" ht="17.850000000000001" customHeight="1" thickTop="1" thickBot="1" x14ac:dyDescent="0.3">
      <c r="A21" s="901"/>
      <c r="B21" s="947"/>
      <c r="C21" s="1971"/>
      <c r="D21" s="1971"/>
      <c r="E21" s="1971"/>
      <c r="F21" s="1971"/>
      <c r="G21" s="1971"/>
      <c r="H21" s="1971"/>
      <c r="I21" s="1971"/>
      <c r="J21" s="1971"/>
      <c r="K21" s="1971"/>
      <c r="L21" s="1971"/>
      <c r="M21" s="1971"/>
      <c r="N21" s="1971"/>
      <c r="O21" s="1971"/>
      <c r="P21" s="1971"/>
      <c r="Q21" s="948"/>
      <c r="R21" s="907"/>
      <c r="S21" s="908"/>
      <c r="T21" s="901"/>
      <c r="U21" s="901"/>
      <c r="V21" s="901"/>
      <c r="W21" s="901"/>
      <c r="X21" s="901"/>
      <c r="Y21" s="901"/>
      <c r="Z21" s="901"/>
      <c r="AA21" s="901"/>
      <c r="AB21" s="901"/>
      <c r="AC21" s="901"/>
    </row>
    <row r="22" spans="1:29" ht="17.850000000000001" customHeight="1" thickTop="1" thickBot="1" x14ac:dyDescent="0.3">
      <c r="A22" s="901"/>
      <c r="B22" s="947"/>
      <c r="C22" s="1971"/>
      <c r="D22" s="1971"/>
      <c r="E22" s="1971"/>
      <c r="F22" s="1971"/>
      <c r="G22" s="1971"/>
      <c r="H22" s="1971"/>
      <c r="I22" s="1971"/>
      <c r="J22" s="1971"/>
      <c r="K22" s="1971"/>
      <c r="L22" s="1971"/>
      <c r="M22" s="1971"/>
      <c r="N22" s="1971"/>
      <c r="O22" s="1971"/>
      <c r="P22" s="1971"/>
      <c r="Q22" s="948"/>
      <c r="R22" s="907"/>
      <c r="S22" s="908"/>
      <c r="T22" s="901"/>
      <c r="U22" s="901"/>
      <c r="V22" s="901"/>
      <c r="W22" s="901"/>
      <c r="X22" s="901"/>
      <c r="Y22" s="901"/>
      <c r="Z22" s="901"/>
      <c r="AA22" s="901"/>
      <c r="AB22" s="901"/>
      <c r="AC22" s="901"/>
    </row>
    <row r="23" spans="1:29" ht="17.850000000000001" customHeight="1" thickTop="1" thickBot="1" x14ac:dyDescent="0.3">
      <c r="A23" s="901"/>
      <c r="B23" s="947"/>
      <c r="C23" s="1971"/>
      <c r="D23" s="1971"/>
      <c r="E23" s="1971"/>
      <c r="F23" s="1971"/>
      <c r="G23" s="1971"/>
      <c r="H23" s="1971"/>
      <c r="I23" s="1971"/>
      <c r="J23" s="1971"/>
      <c r="K23" s="1971"/>
      <c r="L23" s="1971"/>
      <c r="M23" s="1971"/>
      <c r="N23" s="1971"/>
      <c r="O23" s="1971"/>
      <c r="P23" s="1971"/>
      <c r="Q23" s="948"/>
      <c r="R23" s="907"/>
      <c r="S23" s="908"/>
      <c r="T23" s="901"/>
      <c r="U23" s="901"/>
      <c r="V23" s="901"/>
      <c r="W23" s="901"/>
      <c r="X23" s="901"/>
      <c r="Y23" s="901"/>
      <c r="Z23" s="901"/>
      <c r="AA23" s="901"/>
      <c r="AB23" s="901"/>
      <c r="AC23" s="901"/>
    </row>
    <row r="24" spans="1:29" ht="17.850000000000001" customHeight="1" thickTop="1" thickBot="1" x14ac:dyDescent="0.3">
      <c r="A24" s="901"/>
      <c r="B24" s="947"/>
      <c r="C24" s="1971"/>
      <c r="D24" s="1971"/>
      <c r="E24" s="1971"/>
      <c r="F24" s="1971"/>
      <c r="G24" s="1971"/>
      <c r="H24" s="1971"/>
      <c r="I24" s="1971"/>
      <c r="J24" s="1971"/>
      <c r="K24" s="1971"/>
      <c r="L24" s="1971"/>
      <c r="M24" s="1971"/>
      <c r="N24" s="1971"/>
      <c r="O24" s="1971"/>
      <c r="P24" s="1971"/>
      <c r="Q24" s="948"/>
      <c r="R24" s="907"/>
      <c r="S24" s="908"/>
      <c r="T24" s="901"/>
      <c r="U24" s="901"/>
      <c r="V24" s="901"/>
      <c r="W24" s="901"/>
      <c r="X24" s="901"/>
      <c r="Y24" s="901"/>
      <c r="Z24" s="901"/>
      <c r="AA24" s="901"/>
      <c r="AB24" s="901"/>
      <c r="AC24" s="901"/>
    </row>
    <row r="25" spans="1:29" ht="17.850000000000001" customHeight="1" thickTop="1" thickBot="1" x14ac:dyDescent="0.3">
      <c r="A25" s="901"/>
      <c r="B25" s="947"/>
      <c r="C25" s="1971"/>
      <c r="D25" s="1971"/>
      <c r="E25" s="1971"/>
      <c r="F25" s="1971"/>
      <c r="G25" s="1971"/>
      <c r="H25" s="1971"/>
      <c r="I25" s="1971"/>
      <c r="J25" s="1971"/>
      <c r="K25" s="1971"/>
      <c r="L25" s="1971"/>
      <c r="M25" s="1971"/>
      <c r="N25" s="1971"/>
      <c r="O25" s="1971"/>
      <c r="P25" s="1971"/>
      <c r="Q25" s="948"/>
      <c r="R25" s="907"/>
      <c r="S25" s="908"/>
      <c r="T25" s="901"/>
      <c r="U25" s="901"/>
      <c r="V25" s="901"/>
      <c r="W25" s="901"/>
      <c r="X25" s="901"/>
      <c r="Y25" s="901"/>
      <c r="Z25" s="901"/>
      <c r="AA25" s="901"/>
      <c r="AB25" s="901"/>
      <c r="AC25" s="901"/>
    </row>
    <row r="26" spans="1:29" ht="17.850000000000001" customHeight="1" thickTop="1" thickBot="1" x14ac:dyDescent="0.3">
      <c r="A26" s="901"/>
      <c r="B26" s="947"/>
      <c r="C26" s="1971"/>
      <c r="D26" s="1971"/>
      <c r="E26" s="1971"/>
      <c r="F26" s="1971"/>
      <c r="G26" s="1971"/>
      <c r="H26" s="1971"/>
      <c r="I26" s="1971"/>
      <c r="J26" s="1971"/>
      <c r="K26" s="1971"/>
      <c r="L26" s="1971"/>
      <c r="M26" s="1971"/>
      <c r="N26" s="1971"/>
      <c r="O26" s="1971"/>
      <c r="P26" s="1971"/>
      <c r="Q26" s="948"/>
      <c r="R26" s="907"/>
      <c r="S26" s="908"/>
      <c r="T26" s="901"/>
      <c r="U26" s="901"/>
      <c r="V26" s="901"/>
      <c r="W26" s="901"/>
      <c r="X26" s="901"/>
      <c r="Y26" s="901"/>
      <c r="Z26" s="901"/>
      <c r="AA26" s="901"/>
      <c r="AB26" s="901"/>
      <c r="AC26" s="901"/>
    </row>
    <row r="27" spans="1:29" ht="17.850000000000001" customHeight="1" thickTop="1" thickBot="1" x14ac:dyDescent="0.3">
      <c r="A27" s="901"/>
      <c r="B27" s="947"/>
      <c r="C27" s="1971"/>
      <c r="D27" s="1971"/>
      <c r="E27" s="1971"/>
      <c r="F27" s="1971"/>
      <c r="G27" s="1971"/>
      <c r="H27" s="1971"/>
      <c r="I27" s="1971"/>
      <c r="J27" s="1971"/>
      <c r="K27" s="1971"/>
      <c r="L27" s="1971"/>
      <c r="M27" s="1971"/>
      <c r="N27" s="1971"/>
      <c r="O27" s="1971"/>
      <c r="P27" s="1971"/>
      <c r="Q27" s="948"/>
      <c r="R27" s="907"/>
      <c r="S27" s="908"/>
      <c r="T27" s="901"/>
      <c r="U27" s="901"/>
      <c r="V27" s="901"/>
      <c r="W27" s="901"/>
      <c r="X27" s="901"/>
      <c r="Y27" s="901"/>
      <c r="Z27" s="901"/>
      <c r="AA27" s="901"/>
      <c r="AB27" s="901"/>
      <c r="AC27" s="901"/>
    </row>
    <row r="28" spans="1:29" ht="17.850000000000001" customHeight="1" thickTop="1" thickBot="1" x14ac:dyDescent="0.3">
      <c r="A28" s="901"/>
      <c r="B28" s="947"/>
      <c r="C28" s="1971"/>
      <c r="D28" s="1971"/>
      <c r="E28" s="1971"/>
      <c r="F28" s="1971"/>
      <c r="G28" s="1971"/>
      <c r="H28" s="1971"/>
      <c r="I28" s="1971"/>
      <c r="J28" s="1971"/>
      <c r="K28" s="1971"/>
      <c r="L28" s="1971"/>
      <c r="M28" s="1971"/>
      <c r="N28" s="1971"/>
      <c r="O28" s="1971"/>
      <c r="P28" s="1971"/>
      <c r="Q28" s="948"/>
      <c r="R28" s="907"/>
      <c r="S28" s="908"/>
      <c r="T28" s="901"/>
      <c r="U28" s="901"/>
      <c r="V28" s="901"/>
      <c r="W28" s="901"/>
      <c r="X28" s="901"/>
      <c r="Y28" s="901"/>
      <c r="Z28" s="901"/>
      <c r="AA28" s="901"/>
      <c r="AB28" s="901"/>
      <c r="AC28" s="901"/>
    </row>
    <row r="29" spans="1:29" ht="17.850000000000001" customHeight="1" thickTop="1" thickBot="1" x14ac:dyDescent="0.3">
      <c r="A29" s="901"/>
      <c r="B29" s="947"/>
      <c r="C29" s="1971"/>
      <c r="D29" s="1971"/>
      <c r="E29" s="1971"/>
      <c r="F29" s="1971"/>
      <c r="G29" s="1971"/>
      <c r="H29" s="1971"/>
      <c r="I29" s="1971"/>
      <c r="J29" s="1971"/>
      <c r="K29" s="1971"/>
      <c r="L29" s="1971"/>
      <c r="M29" s="1971"/>
      <c r="N29" s="1971"/>
      <c r="O29" s="1971"/>
      <c r="P29" s="1971"/>
      <c r="Q29" s="948"/>
      <c r="R29" s="907"/>
      <c r="S29" s="908"/>
      <c r="T29" s="901"/>
      <c r="U29" s="901"/>
      <c r="V29" s="901"/>
      <c r="W29" s="901"/>
      <c r="X29" s="901"/>
      <c r="Y29" s="901"/>
      <c r="Z29" s="901"/>
      <c r="AA29" s="901"/>
      <c r="AB29" s="901"/>
      <c r="AC29" s="901"/>
    </row>
    <row r="30" spans="1:29" ht="17.850000000000001" customHeight="1" thickTop="1" thickBot="1" x14ac:dyDescent="0.3">
      <c r="A30" s="901"/>
      <c r="B30" s="947"/>
      <c r="C30" s="1971"/>
      <c r="D30" s="1971"/>
      <c r="E30" s="1971"/>
      <c r="F30" s="1971"/>
      <c r="G30" s="1971"/>
      <c r="H30" s="1971"/>
      <c r="I30" s="1971"/>
      <c r="J30" s="1971"/>
      <c r="K30" s="1971"/>
      <c r="L30" s="1971"/>
      <c r="M30" s="1971"/>
      <c r="N30" s="1971"/>
      <c r="O30" s="1971"/>
      <c r="P30" s="1971"/>
      <c r="Q30" s="948"/>
      <c r="R30" s="907"/>
      <c r="S30" s="908"/>
      <c r="T30" s="901"/>
      <c r="U30" s="901"/>
      <c r="V30" s="901"/>
      <c r="W30" s="901"/>
      <c r="X30" s="901"/>
      <c r="Y30" s="901"/>
      <c r="Z30" s="901"/>
      <c r="AA30" s="901"/>
      <c r="AB30" s="901"/>
      <c r="AC30" s="901"/>
    </row>
    <row r="31" spans="1:29" ht="17.850000000000001" customHeight="1" thickTop="1" thickBot="1" x14ac:dyDescent="0.3">
      <c r="A31" s="901"/>
      <c r="B31" s="947"/>
      <c r="C31" s="1971"/>
      <c r="D31" s="1971"/>
      <c r="E31" s="1971"/>
      <c r="F31" s="1971"/>
      <c r="G31" s="1971"/>
      <c r="H31" s="1971"/>
      <c r="I31" s="1971"/>
      <c r="J31" s="1971"/>
      <c r="K31" s="1971"/>
      <c r="L31" s="1971"/>
      <c r="M31" s="1971"/>
      <c r="N31" s="1971"/>
      <c r="O31" s="1971"/>
      <c r="P31" s="1971"/>
      <c r="Q31" s="948"/>
      <c r="R31" s="907"/>
      <c r="S31" s="908"/>
      <c r="T31" s="901"/>
      <c r="U31" s="901"/>
      <c r="V31" s="901"/>
      <c r="W31" s="901"/>
      <c r="X31" s="901"/>
      <c r="Y31" s="901"/>
      <c r="Z31" s="901"/>
      <c r="AA31" s="901"/>
      <c r="AB31" s="901"/>
      <c r="AC31" s="901"/>
    </row>
    <row r="32" spans="1:29" ht="17.850000000000001" customHeight="1" thickTop="1" thickBot="1" x14ac:dyDescent="0.3">
      <c r="A32" s="901"/>
      <c r="B32" s="947"/>
      <c r="C32" s="1971"/>
      <c r="D32" s="1971"/>
      <c r="E32" s="1971"/>
      <c r="F32" s="1971"/>
      <c r="G32" s="1971"/>
      <c r="H32" s="1971"/>
      <c r="I32" s="1971"/>
      <c r="J32" s="1971"/>
      <c r="K32" s="1971"/>
      <c r="L32" s="1971"/>
      <c r="M32" s="1971"/>
      <c r="N32" s="1971"/>
      <c r="O32" s="1971"/>
      <c r="P32" s="1971"/>
      <c r="Q32" s="948"/>
      <c r="R32" s="907"/>
      <c r="S32" s="908"/>
      <c r="T32" s="901"/>
      <c r="U32" s="901"/>
      <c r="V32" s="901"/>
      <c r="W32" s="901"/>
      <c r="X32" s="901"/>
      <c r="Y32" s="901"/>
      <c r="Z32" s="901"/>
      <c r="AA32" s="901"/>
      <c r="AB32" s="901"/>
      <c r="AC32" s="901"/>
    </row>
    <row r="33" spans="1:256" ht="17.850000000000001" customHeight="1" thickTop="1" thickBot="1" x14ac:dyDescent="0.3">
      <c r="A33" s="901"/>
      <c r="B33" s="947"/>
      <c r="C33" s="1971"/>
      <c r="D33" s="1971"/>
      <c r="E33" s="1971"/>
      <c r="F33" s="1971"/>
      <c r="G33" s="1971"/>
      <c r="H33" s="1971"/>
      <c r="I33" s="1971"/>
      <c r="J33" s="1971"/>
      <c r="K33" s="1971"/>
      <c r="L33" s="1971"/>
      <c r="M33" s="1971"/>
      <c r="N33" s="1971"/>
      <c r="O33" s="1971"/>
      <c r="P33" s="1971"/>
      <c r="Q33" s="948"/>
      <c r="R33" s="907"/>
      <c r="S33" s="908"/>
      <c r="T33" s="901"/>
      <c r="U33" s="901"/>
      <c r="V33" s="901"/>
      <c r="W33" s="901"/>
      <c r="X33" s="901"/>
      <c r="Y33" s="901"/>
      <c r="Z33" s="901"/>
      <c r="AA33" s="901"/>
      <c r="AB33" s="901"/>
      <c r="AC33" s="901"/>
    </row>
    <row r="34" spans="1:256" ht="17.850000000000001" customHeight="1" thickTop="1" thickBot="1" x14ac:dyDescent="0.3">
      <c r="A34" s="901"/>
      <c r="B34" s="947"/>
      <c r="C34" s="1971"/>
      <c r="D34" s="1971"/>
      <c r="E34" s="1971"/>
      <c r="F34" s="1971"/>
      <c r="G34" s="1971"/>
      <c r="H34" s="1971"/>
      <c r="I34" s="1971"/>
      <c r="J34" s="1971"/>
      <c r="K34" s="1971"/>
      <c r="L34" s="1971"/>
      <c r="M34" s="1971"/>
      <c r="N34" s="1971"/>
      <c r="O34" s="1971"/>
      <c r="P34" s="1971"/>
      <c r="Q34" s="948"/>
      <c r="R34" s="907"/>
      <c r="S34" s="908"/>
      <c r="T34" s="901"/>
      <c r="U34" s="901"/>
      <c r="V34" s="901"/>
      <c r="W34" s="901"/>
      <c r="X34" s="901"/>
      <c r="Y34" s="901"/>
      <c r="Z34" s="901"/>
      <c r="AA34" s="901"/>
      <c r="AB34" s="901"/>
      <c r="AC34" s="901"/>
    </row>
    <row r="35" spans="1:256" ht="17.850000000000001" customHeight="1" thickTop="1" thickBot="1" x14ac:dyDescent="0.3">
      <c r="A35" s="901"/>
      <c r="B35" s="947"/>
      <c r="C35" s="1971"/>
      <c r="D35" s="1971"/>
      <c r="E35" s="1971"/>
      <c r="F35" s="1971"/>
      <c r="G35" s="1971"/>
      <c r="H35" s="1971"/>
      <c r="I35" s="1971"/>
      <c r="J35" s="1971"/>
      <c r="K35" s="1971"/>
      <c r="L35" s="1971"/>
      <c r="M35" s="1971"/>
      <c r="N35" s="1971"/>
      <c r="O35" s="1971"/>
      <c r="P35" s="1971"/>
      <c r="Q35" s="948"/>
      <c r="R35" s="907"/>
      <c r="S35" s="908"/>
      <c r="T35" s="901"/>
      <c r="U35" s="901"/>
      <c r="V35" s="901"/>
      <c r="W35" s="901"/>
      <c r="X35" s="901"/>
      <c r="Y35" s="901"/>
      <c r="Z35" s="901"/>
      <c r="AA35" s="901"/>
      <c r="AB35" s="901"/>
      <c r="AC35" s="901"/>
    </row>
    <row r="36" spans="1:256" ht="17.850000000000001" customHeight="1" thickTop="1" thickBot="1" x14ac:dyDescent="0.3">
      <c r="A36" s="901"/>
      <c r="B36" s="947"/>
      <c r="C36" s="1971"/>
      <c r="D36" s="1971"/>
      <c r="E36" s="1971"/>
      <c r="F36" s="1971"/>
      <c r="G36" s="1971"/>
      <c r="H36" s="1971"/>
      <c r="I36" s="1971"/>
      <c r="J36" s="1971"/>
      <c r="K36" s="1971"/>
      <c r="L36" s="1971"/>
      <c r="M36" s="1971"/>
      <c r="N36" s="1971"/>
      <c r="O36" s="1971"/>
      <c r="P36" s="1971"/>
      <c r="Q36" s="948"/>
      <c r="R36" s="907"/>
      <c r="S36" s="908"/>
      <c r="T36" s="901"/>
      <c r="U36" s="901"/>
      <c r="V36" s="901"/>
      <c r="W36" s="901"/>
      <c r="X36" s="901"/>
      <c r="Y36" s="901"/>
      <c r="Z36" s="901"/>
      <c r="AA36" s="901"/>
      <c r="AB36" s="901"/>
      <c r="AC36" s="901"/>
    </row>
    <row r="37" spans="1:256" ht="17.850000000000001" customHeight="1" thickTop="1" thickBot="1" x14ac:dyDescent="0.3">
      <c r="A37" s="901"/>
      <c r="B37" s="947"/>
      <c r="C37" s="1971"/>
      <c r="D37" s="1971"/>
      <c r="E37" s="1971"/>
      <c r="F37" s="1971"/>
      <c r="G37" s="1971"/>
      <c r="H37" s="1971"/>
      <c r="I37" s="1971"/>
      <c r="J37" s="1971"/>
      <c r="K37" s="1971"/>
      <c r="L37" s="1971"/>
      <c r="M37" s="1971"/>
      <c r="N37" s="1971"/>
      <c r="O37" s="1971"/>
      <c r="P37" s="1971"/>
      <c r="Q37" s="948"/>
      <c r="R37" s="907"/>
      <c r="S37" s="908"/>
      <c r="T37" s="901"/>
      <c r="U37" s="901"/>
      <c r="V37" s="901"/>
      <c r="W37" s="901"/>
      <c r="X37" s="901"/>
      <c r="Y37" s="901"/>
      <c r="Z37" s="901"/>
      <c r="AA37" s="901"/>
      <c r="AB37" s="901"/>
      <c r="AC37" s="901"/>
    </row>
    <row r="38" spans="1:256" ht="17.850000000000001" customHeight="1" thickTop="1" x14ac:dyDescent="0.25">
      <c r="A38" s="901"/>
      <c r="B38" s="947"/>
      <c r="C38" s="1972"/>
      <c r="D38" s="1972"/>
      <c r="E38" s="1972"/>
      <c r="F38" s="1972"/>
      <c r="G38" s="1972"/>
      <c r="H38" s="1972"/>
      <c r="I38" s="1972"/>
      <c r="J38" s="1972"/>
      <c r="K38" s="1972"/>
      <c r="L38" s="1972"/>
      <c r="M38" s="1972"/>
      <c r="N38" s="1972"/>
      <c r="O38" s="1972"/>
      <c r="P38" s="1972"/>
      <c r="Q38" s="948"/>
      <c r="R38" s="907"/>
      <c r="S38" s="908"/>
      <c r="T38" s="901"/>
      <c r="U38" s="901"/>
      <c r="V38" s="901"/>
      <c r="W38" s="901"/>
      <c r="X38" s="901"/>
      <c r="Y38" s="901"/>
      <c r="Z38" s="901"/>
      <c r="AA38" s="901"/>
      <c r="AB38" s="901"/>
      <c r="AC38" s="901"/>
    </row>
    <row r="39" spans="1:256" ht="17.850000000000001" hidden="1" customHeight="1" x14ac:dyDescent="0.25">
      <c r="A39" s="901"/>
      <c r="B39" s="947"/>
      <c r="C39" s="1973"/>
      <c r="D39" s="1973"/>
      <c r="E39" s="1973"/>
      <c r="F39" s="1973"/>
      <c r="G39" s="1973"/>
      <c r="H39" s="1973"/>
      <c r="I39" s="1973"/>
      <c r="J39" s="1973"/>
      <c r="K39" s="1973"/>
      <c r="L39" s="1973"/>
      <c r="M39" s="1973"/>
      <c r="N39" s="1973"/>
      <c r="O39" s="1973"/>
      <c r="P39" s="1973"/>
      <c r="Q39" s="948"/>
      <c r="R39" s="907"/>
      <c r="S39" s="908"/>
      <c r="T39" s="901"/>
      <c r="U39" s="901"/>
      <c r="V39" s="901"/>
      <c r="W39" s="901"/>
      <c r="X39" s="901"/>
      <c r="Y39" s="901"/>
      <c r="Z39" s="901"/>
      <c r="AA39" s="901"/>
      <c r="AB39" s="901"/>
      <c r="AC39" s="901"/>
    </row>
    <row r="40" spans="1:256" ht="17.850000000000001" hidden="1" customHeight="1" x14ac:dyDescent="0.25">
      <c r="A40" s="901"/>
      <c r="B40" s="947"/>
      <c r="C40" s="1974"/>
      <c r="D40" s="1974"/>
      <c r="E40" s="1974"/>
      <c r="F40" s="1974"/>
      <c r="G40" s="1974"/>
      <c r="H40" s="1974"/>
      <c r="I40" s="1974"/>
      <c r="J40" s="1974"/>
      <c r="K40" s="1974"/>
      <c r="L40" s="1974"/>
      <c r="M40" s="1974"/>
      <c r="N40" s="1974"/>
      <c r="O40" s="1974"/>
      <c r="P40" s="1974"/>
      <c r="Q40" s="948"/>
      <c r="R40" s="907"/>
      <c r="S40" s="908"/>
      <c r="T40" s="901"/>
      <c r="U40" s="901"/>
      <c r="V40" s="901"/>
      <c r="W40" s="901"/>
      <c r="X40" s="901"/>
      <c r="Y40" s="901"/>
      <c r="Z40" s="901"/>
      <c r="AA40" s="901"/>
      <c r="AB40" s="901"/>
      <c r="AC40" s="901"/>
    </row>
    <row r="41" spans="1:256" ht="17.850000000000001" hidden="1" customHeight="1" x14ac:dyDescent="0.25">
      <c r="A41" s="901"/>
      <c r="B41" s="961"/>
      <c r="C41" s="1974"/>
      <c r="D41" s="1974"/>
      <c r="E41" s="1974"/>
      <c r="F41" s="1974"/>
      <c r="G41" s="1974"/>
      <c r="H41" s="1974"/>
      <c r="I41" s="1974"/>
      <c r="J41" s="1974"/>
      <c r="K41" s="1974"/>
      <c r="L41" s="1974"/>
      <c r="M41" s="1974"/>
      <c r="N41" s="1974"/>
      <c r="O41" s="1974"/>
      <c r="P41" s="1974"/>
      <c r="Q41" s="962"/>
      <c r="R41" s="907"/>
      <c r="S41" s="908"/>
      <c r="T41" s="901"/>
      <c r="U41" s="901"/>
      <c r="V41" s="901"/>
      <c r="W41" s="901"/>
      <c r="X41" s="901"/>
      <c r="Y41" s="901"/>
      <c r="Z41" s="901"/>
      <c r="AA41" s="901"/>
      <c r="AB41" s="901"/>
      <c r="AC41" s="901"/>
    </row>
    <row r="42" spans="1:256" ht="6" customHeight="1" x14ac:dyDescent="0.25">
      <c r="A42" s="901"/>
      <c r="B42" s="949"/>
      <c r="C42" s="955"/>
      <c r="D42" s="955"/>
      <c r="E42" s="955"/>
      <c r="F42" s="955"/>
      <c r="G42" s="955"/>
      <c r="H42" s="955"/>
      <c r="I42" s="955"/>
      <c r="J42" s="955"/>
      <c r="K42" s="955"/>
      <c r="L42" s="955"/>
      <c r="M42" s="955"/>
      <c r="N42" s="955"/>
      <c r="O42" s="955"/>
      <c r="P42" s="955"/>
      <c r="Q42" s="950"/>
      <c r="R42" s="907"/>
      <c r="S42" s="908"/>
      <c r="T42" s="901"/>
      <c r="U42" s="901"/>
      <c r="V42" s="901"/>
      <c r="W42" s="901"/>
      <c r="X42" s="901"/>
      <c r="Y42" s="901"/>
      <c r="Z42" s="901"/>
      <c r="AA42" s="901"/>
      <c r="AB42" s="901"/>
      <c r="AC42" s="901"/>
    </row>
    <row r="43" spans="1:256" x14ac:dyDescent="0.25">
      <c r="A43" s="901"/>
      <c r="B43" s="1958" t="s">
        <v>689</v>
      </c>
      <c r="C43" s="1959"/>
      <c r="D43" s="1959"/>
      <c r="E43" s="1959"/>
      <c r="F43" s="1959"/>
      <c r="G43" s="1959"/>
      <c r="H43" s="1959"/>
      <c r="I43" s="1959"/>
      <c r="J43" s="1959"/>
      <c r="K43" s="1959"/>
      <c r="L43" s="1959"/>
      <c r="M43" s="1959"/>
      <c r="N43" s="1959"/>
      <c r="O43" s="1959"/>
      <c r="P43" s="1959"/>
      <c r="Q43" s="1960"/>
      <c r="R43" s="907"/>
      <c r="S43" s="908"/>
      <c r="T43" s="901"/>
      <c r="U43" s="901"/>
      <c r="V43" s="901"/>
      <c r="W43" s="901"/>
      <c r="X43" s="901"/>
      <c r="Y43" s="901"/>
      <c r="Z43" s="901"/>
      <c r="AA43" s="901"/>
      <c r="AB43" s="901"/>
      <c r="AC43" s="901"/>
    </row>
    <row r="44" spans="1:256" ht="27.6" customHeight="1" x14ac:dyDescent="0.25">
      <c r="A44" s="901"/>
      <c r="B44" s="945"/>
      <c r="C44" s="956"/>
      <c r="D44" s="957"/>
      <c r="E44" s="957"/>
      <c r="F44" s="951"/>
      <c r="G44" s="958"/>
      <c r="H44" s="952"/>
      <c r="I44" s="959"/>
      <c r="J44" s="959"/>
      <c r="K44" s="953"/>
      <c r="L44" s="960"/>
      <c r="M44" s="952"/>
      <c r="N44" s="941"/>
      <c r="O44" s="941"/>
      <c r="P44" s="941"/>
      <c r="Q44" s="946"/>
      <c r="R44" s="907"/>
      <c r="S44" s="908"/>
      <c r="T44" s="901"/>
      <c r="U44" s="901"/>
      <c r="V44" s="901"/>
      <c r="W44" s="901"/>
      <c r="X44" s="901"/>
      <c r="Y44" s="901"/>
      <c r="Z44" s="901"/>
      <c r="AA44" s="901"/>
      <c r="AB44" s="901"/>
      <c r="AC44" s="901"/>
    </row>
    <row r="45" spans="1:256" x14ac:dyDescent="0.25">
      <c r="A45" s="901"/>
      <c r="B45" s="947"/>
      <c r="C45" s="902"/>
      <c r="D45" s="902"/>
      <c r="E45" s="902"/>
      <c r="F45" s="902"/>
      <c r="G45" s="902"/>
      <c r="H45" s="902"/>
      <c r="I45" s="902"/>
      <c r="J45" s="902"/>
      <c r="K45" s="902"/>
      <c r="L45" s="902"/>
      <c r="M45" s="902"/>
      <c r="N45" s="902"/>
      <c r="O45" s="902"/>
      <c r="P45" s="902"/>
      <c r="Q45" s="948"/>
      <c r="R45" s="907"/>
      <c r="S45" s="908"/>
      <c r="T45" s="901"/>
      <c r="U45" s="901"/>
      <c r="V45" s="901"/>
      <c r="W45" s="901"/>
      <c r="X45" s="901"/>
      <c r="Y45" s="901"/>
      <c r="Z45" s="901"/>
      <c r="AA45" s="901"/>
      <c r="AB45" s="901"/>
      <c r="AC45" s="901"/>
      <c r="IV45" s="532"/>
    </row>
    <row r="46" spans="1:256" ht="27.6" customHeight="1" x14ac:dyDescent="0.25">
      <c r="A46" s="901"/>
      <c r="B46" s="947"/>
      <c r="C46" s="1954"/>
      <c r="D46" s="1954"/>
      <c r="E46" s="1954"/>
      <c r="F46" s="920"/>
      <c r="G46" s="1955"/>
      <c r="H46" s="1955"/>
      <c r="I46" s="1955"/>
      <c r="J46" s="1955"/>
      <c r="K46" s="921"/>
      <c r="L46" s="1956"/>
      <c r="M46" s="1956"/>
      <c r="N46" s="1956"/>
      <c r="O46" s="1956"/>
      <c r="P46" s="1956"/>
      <c r="Q46" s="948"/>
      <c r="R46" s="907"/>
      <c r="S46" s="908"/>
      <c r="T46" s="901"/>
      <c r="U46" s="901"/>
      <c r="V46" s="901"/>
      <c r="W46" s="901"/>
      <c r="X46" s="901"/>
      <c r="Y46" s="901"/>
      <c r="Z46" s="901"/>
      <c r="AA46" s="901"/>
      <c r="AB46" s="901"/>
      <c r="AC46" s="901"/>
    </row>
    <row r="47" spans="1:256" x14ac:dyDescent="0.25">
      <c r="A47" s="901"/>
      <c r="B47" s="949"/>
      <c r="C47" s="1957" t="s">
        <v>690</v>
      </c>
      <c r="D47" s="1957"/>
      <c r="E47" s="1957"/>
      <c r="F47" s="954"/>
      <c r="G47" s="955"/>
      <c r="H47" s="955"/>
      <c r="I47" s="954" t="s">
        <v>691</v>
      </c>
      <c r="J47" s="954"/>
      <c r="K47" s="954"/>
      <c r="L47" s="1957" t="s">
        <v>692</v>
      </c>
      <c r="M47" s="1957"/>
      <c r="N47" s="1957"/>
      <c r="O47" s="1957"/>
      <c r="P47" s="1957"/>
      <c r="Q47" s="950"/>
      <c r="R47" s="907"/>
      <c r="S47" s="908"/>
      <c r="T47" s="901"/>
      <c r="U47" s="901"/>
      <c r="V47" s="901"/>
      <c r="W47" s="901"/>
      <c r="X47" s="901"/>
      <c r="Y47" s="901"/>
      <c r="Z47" s="901"/>
      <c r="AA47" s="901"/>
      <c r="AB47" s="901"/>
      <c r="AC47" s="901"/>
    </row>
    <row r="48" spans="1:256" x14ac:dyDescent="0.25">
      <c r="A48" s="901"/>
      <c r="B48" s="922" t="s">
        <v>693</v>
      </c>
      <c r="C48" s="42"/>
      <c r="D48" s="42"/>
      <c r="E48" s="42"/>
      <c r="F48" s="42"/>
      <c r="G48" s="902"/>
      <c r="H48" s="902"/>
      <c r="I48" s="42"/>
      <c r="J48" s="42"/>
      <c r="K48" s="42"/>
      <c r="L48" s="923" t="s">
        <v>694</v>
      </c>
      <c r="M48" s="902"/>
      <c r="N48" s="42"/>
      <c r="O48" s="42"/>
      <c r="P48" s="42"/>
      <c r="Q48" s="902"/>
      <c r="R48" s="907"/>
      <c r="S48" s="908"/>
      <c r="T48" s="901"/>
      <c r="U48" s="901"/>
      <c r="V48" s="901"/>
      <c r="W48" s="901"/>
      <c r="X48" s="901"/>
      <c r="Y48" s="901"/>
      <c r="Z48" s="901"/>
      <c r="AA48" s="901"/>
      <c r="AB48" s="901"/>
      <c r="AC48" s="901"/>
    </row>
    <row r="49" spans="1:29" x14ac:dyDescent="0.25">
      <c r="A49" s="901"/>
      <c r="B49" s="901"/>
      <c r="C49" s="901"/>
      <c r="D49" s="901"/>
      <c r="E49" s="901"/>
      <c r="F49" s="901"/>
      <c r="G49" s="901"/>
      <c r="H49" s="901"/>
      <c r="I49" s="901"/>
      <c r="J49" s="901"/>
      <c r="K49" s="901"/>
      <c r="L49" s="901"/>
      <c r="M49" s="901"/>
      <c r="N49" s="901"/>
      <c r="O49" s="901"/>
      <c r="P49" s="901"/>
      <c r="Q49" s="901"/>
      <c r="R49" s="907"/>
      <c r="S49" s="908"/>
      <c r="T49" s="901"/>
      <c r="U49" s="901"/>
      <c r="V49" s="901"/>
      <c r="W49" s="901"/>
      <c r="X49" s="901"/>
      <c r="Y49" s="901"/>
      <c r="Z49" s="901"/>
      <c r="AA49" s="901"/>
      <c r="AB49" s="901"/>
      <c r="AC49" s="901"/>
    </row>
    <row r="50" spans="1:29" x14ac:dyDescent="0.25">
      <c r="A50" s="901"/>
      <c r="B50" s="901"/>
      <c r="C50" s="901"/>
      <c r="D50" s="901"/>
      <c r="E50" s="901"/>
      <c r="F50" s="901"/>
      <c r="G50" s="901"/>
      <c r="H50" s="901"/>
      <c r="I50" s="901"/>
      <c r="J50" s="901"/>
      <c r="K50" s="901"/>
      <c r="L50" s="901"/>
      <c r="M50" s="901"/>
      <c r="N50" s="901"/>
      <c r="O50" s="901"/>
      <c r="P50" s="901"/>
      <c r="Q50" s="901"/>
      <c r="R50" s="907"/>
      <c r="S50" s="908"/>
      <c r="T50" s="901"/>
      <c r="U50" s="901"/>
      <c r="V50" s="901"/>
      <c r="W50" s="901"/>
      <c r="X50" s="901"/>
      <c r="Y50" s="901"/>
      <c r="Z50" s="901"/>
      <c r="AA50" s="901"/>
      <c r="AB50" s="901"/>
      <c r="AC50" s="901"/>
    </row>
    <row r="51" spans="1:29" x14ac:dyDescent="0.25">
      <c r="A51" s="901"/>
      <c r="B51" s="901"/>
      <c r="C51" s="901"/>
      <c r="D51" s="901"/>
      <c r="E51" s="901"/>
      <c r="F51" s="901"/>
      <c r="G51" s="901"/>
      <c r="H51" s="901"/>
      <c r="I51" s="901"/>
      <c r="J51" s="901"/>
      <c r="K51" s="901"/>
      <c r="L51" s="901"/>
      <c r="M51" s="901"/>
      <c r="N51" s="901"/>
      <c r="O51" s="901"/>
      <c r="P51" s="901"/>
      <c r="Q51" s="901"/>
      <c r="R51" s="907"/>
      <c r="S51" s="908"/>
      <c r="T51" s="901"/>
      <c r="U51" s="901"/>
      <c r="V51" s="901"/>
      <c r="W51" s="901"/>
      <c r="X51" s="901"/>
      <c r="Y51" s="901"/>
      <c r="Z51" s="901"/>
      <c r="AA51" s="901"/>
      <c r="AB51" s="901"/>
      <c r="AC51" s="901"/>
    </row>
    <row r="52" spans="1:29" x14ac:dyDescent="0.25">
      <c r="A52" s="901"/>
      <c r="B52" s="901"/>
      <c r="C52" s="901"/>
      <c r="D52" s="901"/>
      <c r="E52" s="901"/>
      <c r="F52" s="901"/>
      <c r="G52" s="901"/>
      <c r="H52" s="901"/>
      <c r="I52" s="901"/>
      <c r="J52" s="901"/>
      <c r="K52" s="901"/>
      <c r="L52" s="901"/>
      <c r="M52" s="901"/>
      <c r="N52" s="901"/>
      <c r="O52" s="901"/>
      <c r="P52" s="901"/>
      <c r="Q52" s="901"/>
      <c r="R52" s="907"/>
      <c r="S52" s="908"/>
      <c r="T52" s="901"/>
      <c r="U52" s="901"/>
      <c r="V52" s="901"/>
      <c r="W52" s="901"/>
      <c r="X52" s="901"/>
      <c r="Y52" s="901"/>
      <c r="Z52" s="901"/>
      <c r="AA52" s="901"/>
      <c r="AB52" s="901"/>
      <c r="AC52" s="901"/>
    </row>
    <row r="53" spans="1:29" x14ac:dyDescent="0.25">
      <c r="A53" s="901"/>
      <c r="B53" s="901"/>
      <c r="C53" s="901"/>
      <c r="D53" s="901"/>
      <c r="E53" s="901"/>
      <c r="F53" s="901"/>
      <c r="G53" s="901"/>
      <c r="H53" s="901"/>
      <c r="I53" s="901"/>
      <c r="J53" s="901"/>
      <c r="K53" s="901"/>
      <c r="L53" s="901"/>
      <c r="M53" s="901"/>
      <c r="N53" s="901"/>
      <c r="O53" s="901"/>
      <c r="P53" s="901"/>
      <c r="Q53" s="901"/>
      <c r="R53" s="907"/>
      <c r="S53" s="908"/>
      <c r="T53" s="901"/>
      <c r="U53" s="901"/>
      <c r="V53" s="901"/>
      <c r="W53" s="901"/>
      <c r="X53" s="901"/>
      <c r="Y53" s="901"/>
      <c r="Z53" s="901"/>
      <c r="AA53" s="901"/>
      <c r="AB53" s="901"/>
      <c r="AC53" s="901"/>
    </row>
    <row r="54" spans="1:29" x14ac:dyDescent="0.25">
      <c r="A54" s="901"/>
      <c r="B54" s="901"/>
      <c r="C54" s="901"/>
      <c r="D54" s="901"/>
      <c r="E54" s="901"/>
      <c r="F54" s="901"/>
      <c r="G54" s="901"/>
      <c r="H54" s="901"/>
      <c r="I54" s="901"/>
      <c r="J54" s="901"/>
      <c r="K54" s="901"/>
      <c r="L54" s="901"/>
      <c r="M54" s="901"/>
      <c r="N54" s="901"/>
      <c r="O54" s="901"/>
      <c r="P54" s="901"/>
      <c r="Q54" s="901"/>
      <c r="R54" s="907"/>
      <c r="S54" s="908"/>
      <c r="T54" s="901"/>
      <c r="U54" s="901"/>
      <c r="V54" s="901"/>
      <c r="W54" s="901"/>
      <c r="X54" s="901"/>
      <c r="Y54" s="901"/>
      <c r="Z54" s="901"/>
      <c r="AA54" s="901"/>
      <c r="AB54" s="901"/>
      <c r="AC54" s="901"/>
    </row>
    <row r="55" spans="1:29" x14ac:dyDescent="0.25">
      <c r="A55" s="901"/>
      <c r="B55" s="901"/>
      <c r="C55" s="901"/>
      <c r="D55" s="901"/>
      <c r="E55" s="901"/>
      <c r="F55" s="901"/>
      <c r="G55" s="901"/>
      <c r="H55" s="901"/>
      <c r="I55" s="901"/>
      <c r="J55" s="901"/>
      <c r="K55" s="901"/>
      <c r="L55" s="901"/>
      <c r="M55" s="901"/>
      <c r="N55" s="901"/>
      <c r="O55" s="901"/>
      <c r="P55" s="901"/>
      <c r="Q55" s="901"/>
      <c r="R55" s="907"/>
      <c r="S55" s="908"/>
      <c r="T55" s="901"/>
      <c r="U55" s="901"/>
      <c r="V55" s="901"/>
      <c r="W55" s="901"/>
      <c r="X55" s="901"/>
      <c r="Y55" s="901"/>
      <c r="Z55" s="901"/>
      <c r="AA55" s="901"/>
      <c r="AB55" s="901"/>
      <c r="AC55" s="901"/>
    </row>
    <row r="56" spans="1:29" x14ac:dyDescent="0.25">
      <c r="A56" s="901"/>
      <c r="B56" s="901"/>
      <c r="C56" s="901"/>
      <c r="D56" s="901"/>
      <c r="E56" s="901"/>
      <c r="F56" s="901"/>
      <c r="G56" s="901"/>
      <c r="H56" s="901"/>
      <c r="I56" s="901"/>
      <c r="J56" s="901"/>
      <c r="K56" s="901"/>
      <c r="L56" s="901"/>
      <c r="M56" s="901"/>
      <c r="N56" s="901"/>
      <c r="O56" s="901"/>
      <c r="P56" s="901"/>
      <c r="Q56" s="901"/>
      <c r="R56" s="907"/>
      <c r="S56" s="908"/>
      <c r="T56" s="901"/>
      <c r="U56" s="901"/>
      <c r="V56" s="901"/>
      <c r="W56" s="901"/>
      <c r="X56" s="901"/>
      <c r="Y56" s="901"/>
      <c r="Z56" s="901"/>
      <c r="AA56" s="901"/>
      <c r="AB56" s="901"/>
      <c r="AC56" s="901"/>
    </row>
    <row r="57" spans="1:29" x14ac:dyDescent="0.25">
      <c r="A57" s="901"/>
      <c r="B57" s="901"/>
      <c r="C57" s="901"/>
      <c r="D57" s="901"/>
      <c r="E57" s="901"/>
      <c r="F57" s="901"/>
      <c r="G57" s="901"/>
      <c r="H57" s="901"/>
      <c r="I57" s="901"/>
      <c r="J57" s="901"/>
      <c r="K57" s="901"/>
      <c r="L57" s="901"/>
      <c r="M57" s="901"/>
      <c r="N57" s="901"/>
      <c r="O57" s="901"/>
      <c r="P57" s="901"/>
      <c r="Q57" s="901"/>
      <c r="R57" s="907"/>
      <c r="S57" s="908"/>
      <c r="T57" s="901"/>
      <c r="U57" s="901"/>
      <c r="V57" s="901"/>
      <c r="W57" s="901"/>
      <c r="X57" s="901"/>
      <c r="Y57" s="901"/>
      <c r="Z57" s="901"/>
      <c r="AA57" s="901"/>
      <c r="AB57" s="901"/>
      <c r="AC57" s="901"/>
    </row>
    <row r="58" spans="1:29" x14ac:dyDescent="0.25">
      <c r="A58" s="901"/>
      <c r="B58" s="901"/>
      <c r="C58" s="901"/>
      <c r="D58" s="901"/>
      <c r="E58" s="901"/>
      <c r="F58" s="901"/>
      <c r="G58" s="901"/>
      <c r="H58" s="901"/>
      <c r="I58" s="901"/>
      <c r="J58" s="901"/>
      <c r="K58" s="901"/>
      <c r="L58" s="901"/>
      <c r="M58" s="901"/>
      <c r="N58" s="901"/>
      <c r="O58" s="901"/>
      <c r="P58" s="901"/>
      <c r="Q58" s="901"/>
      <c r="R58" s="907"/>
      <c r="S58" s="908"/>
      <c r="T58" s="901"/>
      <c r="U58" s="901"/>
      <c r="V58" s="901"/>
      <c r="W58" s="901"/>
      <c r="X58" s="901"/>
      <c r="Y58" s="901"/>
      <c r="Z58" s="901"/>
      <c r="AA58" s="901"/>
      <c r="AB58" s="901"/>
      <c r="AC58" s="901"/>
    </row>
    <row r="59" spans="1:29" x14ac:dyDescent="0.25">
      <c r="A59" s="901"/>
      <c r="B59" s="901"/>
      <c r="C59" s="901"/>
      <c r="D59" s="901"/>
      <c r="E59" s="901"/>
      <c r="F59" s="901"/>
      <c r="G59" s="901"/>
      <c r="H59" s="901"/>
      <c r="I59" s="901"/>
      <c r="J59" s="901"/>
      <c r="K59" s="901"/>
      <c r="L59" s="901"/>
      <c r="M59" s="901"/>
      <c r="N59" s="901"/>
      <c r="O59" s="901"/>
      <c r="P59" s="901"/>
      <c r="Q59" s="901"/>
      <c r="R59" s="907"/>
      <c r="S59" s="908"/>
      <c r="T59" s="901"/>
      <c r="U59" s="901"/>
      <c r="V59" s="901"/>
      <c r="W59" s="901"/>
      <c r="X59" s="901"/>
      <c r="Y59" s="901"/>
      <c r="Z59" s="901"/>
      <c r="AA59" s="901"/>
      <c r="AB59" s="901"/>
      <c r="AC59" s="901"/>
    </row>
    <row r="60" spans="1:29" x14ac:dyDescent="0.25">
      <c r="A60" s="901"/>
      <c r="B60" s="901"/>
      <c r="C60" s="901"/>
      <c r="D60" s="901"/>
      <c r="E60" s="901"/>
      <c r="F60" s="901"/>
      <c r="G60" s="901"/>
      <c r="H60" s="901"/>
      <c r="I60" s="901"/>
      <c r="J60" s="901"/>
      <c r="K60" s="901"/>
      <c r="L60" s="901"/>
      <c r="M60" s="901"/>
      <c r="N60" s="901"/>
      <c r="O60" s="901"/>
      <c r="P60" s="901"/>
      <c r="Q60" s="901"/>
      <c r="R60" s="907"/>
      <c r="S60" s="908"/>
      <c r="T60" s="901"/>
      <c r="U60" s="901"/>
      <c r="V60" s="901"/>
      <c r="W60" s="901"/>
      <c r="X60" s="901"/>
      <c r="Y60" s="901"/>
      <c r="Z60" s="901"/>
      <c r="AA60" s="901"/>
      <c r="AB60" s="901"/>
      <c r="AC60" s="901"/>
    </row>
    <row r="61" spans="1:29" x14ac:dyDescent="0.25">
      <c r="A61" s="901"/>
      <c r="B61" s="901"/>
      <c r="C61" s="901"/>
      <c r="D61" s="901"/>
      <c r="E61" s="901"/>
      <c r="F61" s="901"/>
      <c r="G61" s="901"/>
      <c r="H61" s="901"/>
      <c r="I61" s="901"/>
      <c r="J61" s="901"/>
      <c r="K61" s="901"/>
      <c r="L61" s="901"/>
      <c r="M61" s="901"/>
      <c r="N61" s="901"/>
      <c r="O61" s="901"/>
      <c r="P61" s="901"/>
      <c r="Q61" s="901"/>
      <c r="R61" s="907"/>
      <c r="S61" s="908"/>
      <c r="T61" s="901"/>
      <c r="U61" s="901"/>
      <c r="V61" s="901"/>
      <c r="W61" s="901"/>
      <c r="X61" s="901"/>
      <c r="Y61" s="901"/>
      <c r="Z61" s="901"/>
      <c r="AA61" s="901"/>
      <c r="AB61" s="901"/>
      <c r="AC61" s="901"/>
    </row>
    <row r="62" spans="1:29" x14ac:dyDescent="0.25">
      <c r="A62" s="901"/>
      <c r="B62" s="901"/>
      <c r="C62" s="901"/>
      <c r="D62" s="901"/>
      <c r="E62" s="901"/>
      <c r="F62" s="901"/>
      <c r="G62" s="901"/>
      <c r="H62" s="901"/>
      <c r="I62" s="901"/>
      <c r="J62" s="901"/>
      <c r="K62" s="901"/>
      <c r="L62" s="901"/>
      <c r="M62" s="901"/>
      <c r="N62" s="901"/>
      <c r="O62" s="901"/>
      <c r="P62" s="901"/>
      <c r="Q62" s="901"/>
      <c r="R62" s="907"/>
      <c r="S62" s="908"/>
      <c r="T62" s="901"/>
      <c r="U62" s="901"/>
      <c r="V62" s="901"/>
      <c r="W62" s="901"/>
      <c r="X62" s="901"/>
      <c r="Y62" s="901"/>
      <c r="Z62" s="901"/>
      <c r="AA62" s="901"/>
      <c r="AB62" s="901"/>
      <c r="AC62" s="901"/>
    </row>
    <row r="63" spans="1:29" x14ac:dyDescent="0.25">
      <c r="A63" s="901"/>
      <c r="B63" s="901"/>
      <c r="C63" s="901"/>
      <c r="D63" s="901"/>
      <c r="E63" s="901"/>
      <c r="F63" s="901"/>
      <c r="G63" s="901"/>
      <c r="H63" s="901"/>
      <c r="I63" s="901"/>
      <c r="J63" s="901"/>
      <c r="K63" s="901"/>
      <c r="L63" s="901"/>
      <c r="M63" s="901"/>
      <c r="N63" s="901"/>
      <c r="O63" s="901"/>
      <c r="P63" s="901"/>
      <c r="Q63" s="901"/>
      <c r="R63" s="907"/>
      <c r="S63" s="908"/>
      <c r="T63" s="901"/>
      <c r="U63" s="901"/>
      <c r="V63" s="901"/>
      <c r="W63" s="901"/>
      <c r="X63" s="901"/>
      <c r="Y63" s="901"/>
      <c r="Z63" s="901"/>
      <c r="AA63" s="901"/>
      <c r="AB63" s="901"/>
      <c r="AC63" s="901"/>
    </row>
    <row r="64" spans="1:29" x14ac:dyDescent="0.25">
      <c r="A64" s="901"/>
      <c r="B64" s="901"/>
      <c r="C64" s="901"/>
      <c r="D64" s="901"/>
      <c r="E64" s="901"/>
      <c r="F64" s="901"/>
      <c r="G64" s="901"/>
      <c r="H64" s="901"/>
      <c r="I64" s="901"/>
      <c r="J64" s="901"/>
      <c r="K64" s="901"/>
      <c r="L64" s="901"/>
      <c r="M64" s="901"/>
      <c r="N64" s="901"/>
      <c r="O64" s="901"/>
      <c r="P64" s="901"/>
      <c r="Q64" s="901"/>
      <c r="R64" s="907"/>
      <c r="S64" s="908"/>
      <c r="T64" s="901"/>
      <c r="U64" s="901"/>
      <c r="V64" s="901"/>
      <c r="W64" s="901"/>
      <c r="X64" s="901"/>
      <c r="Y64" s="901"/>
      <c r="Z64" s="901"/>
      <c r="AA64" s="901"/>
      <c r="AB64" s="901"/>
      <c r="AC64" s="901"/>
    </row>
    <row r="65" spans="1:29" x14ac:dyDescent="0.25">
      <c r="A65" s="901"/>
      <c r="B65" s="901"/>
      <c r="C65" s="901"/>
      <c r="D65" s="901"/>
      <c r="E65" s="901"/>
      <c r="F65" s="901"/>
      <c r="G65" s="901"/>
      <c r="H65" s="901"/>
      <c r="I65" s="901"/>
      <c r="J65" s="901"/>
      <c r="K65" s="901"/>
      <c r="L65" s="901"/>
      <c r="M65" s="901"/>
      <c r="N65" s="901"/>
      <c r="O65" s="901"/>
      <c r="P65" s="901"/>
      <c r="Q65" s="901"/>
      <c r="R65" s="907"/>
      <c r="S65" s="908"/>
      <c r="T65" s="901"/>
      <c r="U65" s="901"/>
      <c r="V65" s="901"/>
      <c r="W65" s="901"/>
      <c r="X65" s="901"/>
      <c r="Y65" s="901"/>
      <c r="Z65" s="901"/>
      <c r="AA65" s="901"/>
      <c r="AB65" s="901"/>
      <c r="AC65" s="901"/>
    </row>
    <row r="66" spans="1:29" x14ac:dyDescent="0.25">
      <c r="A66" s="901"/>
      <c r="B66" s="901"/>
      <c r="C66" s="901"/>
      <c r="D66" s="901"/>
      <c r="E66" s="901"/>
      <c r="F66" s="901"/>
      <c r="G66" s="901"/>
      <c r="H66" s="901"/>
      <c r="I66" s="901"/>
      <c r="J66" s="901"/>
      <c r="K66" s="901"/>
      <c r="L66" s="901"/>
      <c r="M66" s="901"/>
      <c r="N66" s="901"/>
      <c r="O66" s="901"/>
      <c r="P66" s="901"/>
      <c r="Q66" s="901"/>
      <c r="R66" s="907"/>
      <c r="S66" s="908"/>
      <c r="T66" s="901"/>
      <c r="U66" s="901"/>
      <c r="V66" s="901"/>
      <c r="W66" s="901"/>
      <c r="X66" s="901"/>
      <c r="Y66" s="901"/>
      <c r="Z66" s="901"/>
      <c r="AA66" s="901"/>
      <c r="AB66" s="901"/>
      <c r="AC66" s="901"/>
    </row>
    <row r="67" spans="1:29" x14ac:dyDescent="0.25">
      <c r="A67" s="901"/>
      <c r="B67" s="901"/>
      <c r="C67" s="901"/>
      <c r="D67" s="901"/>
      <c r="E67" s="901"/>
      <c r="F67" s="901"/>
      <c r="G67" s="901"/>
      <c r="H67" s="901"/>
      <c r="I67" s="901"/>
      <c r="J67" s="901"/>
      <c r="K67" s="901"/>
      <c r="L67" s="901"/>
      <c r="M67" s="901"/>
      <c r="N67" s="901"/>
      <c r="O67" s="901"/>
      <c r="P67" s="901"/>
      <c r="Q67" s="901"/>
      <c r="R67" s="907"/>
      <c r="S67" s="908"/>
      <c r="T67" s="901"/>
      <c r="U67" s="901"/>
      <c r="V67" s="901"/>
      <c r="W67" s="901"/>
      <c r="X67" s="901"/>
      <c r="Y67" s="901"/>
      <c r="Z67" s="901"/>
      <c r="AA67" s="901"/>
      <c r="AB67" s="901"/>
      <c r="AC67" s="901"/>
    </row>
    <row r="68" spans="1:29" x14ac:dyDescent="0.25">
      <c r="A68" s="901"/>
      <c r="B68" s="901"/>
      <c r="C68" s="901"/>
      <c r="D68" s="901"/>
      <c r="E68" s="901"/>
      <c r="F68" s="901"/>
      <c r="G68" s="901"/>
      <c r="H68" s="901"/>
      <c r="I68" s="901"/>
      <c r="J68" s="901"/>
      <c r="K68" s="901"/>
      <c r="L68" s="901"/>
      <c r="M68" s="901"/>
      <c r="N68" s="901"/>
      <c r="O68" s="901"/>
      <c r="P68" s="901"/>
      <c r="Q68" s="901"/>
      <c r="R68" s="907"/>
      <c r="S68" s="908"/>
      <c r="T68" s="901"/>
      <c r="U68" s="901"/>
      <c r="V68" s="901"/>
      <c r="W68" s="901"/>
      <c r="X68" s="901"/>
      <c r="Y68" s="901"/>
      <c r="Z68" s="901"/>
      <c r="AA68" s="901"/>
      <c r="AB68" s="901"/>
      <c r="AC68" s="901"/>
    </row>
    <row r="69" spans="1:29" x14ac:dyDescent="0.25">
      <c r="A69" s="901"/>
      <c r="B69" s="901"/>
      <c r="C69" s="901"/>
      <c r="D69" s="901"/>
      <c r="E69" s="901"/>
      <c r="F69" s="901"/>
      <c r="G69" s="901"/>
      <c r="H69" s="901"/>
      <c r="I69" s="901"/>
      <c r="J69" s="901"/>
      <c r="K69" s="901"/>
      <c r="L69" s="901"/>
      <c r="M69" s="901"/>
      <c r="N69" s="901"/>
      <c r="O69" s="901"/>
      <c r="P69" s="901"/>
      <c r="Q69" s="901"/>
      <c r="R69" s="907"/>
      <c r="S69" s="908"/>
      <c r="T69" s="901"/>
      <c r="U69" s="901"/>
      <c r="V69" s="901"/>
      <c r="W69" s="901"/>
      <c r="X69" s="901"/>
      <c r="Y69" s="901"/>
      <c r="Z69" s="901"/>
      <c r="AA69" s="901"/>
      <c r="AB69" s="901"/>
      <c r="AC69" s="901"/>
    </row>
    <row r="70" spans="1:29" x14ac:dyDescent="0.25">
      <c r="A70" s="901"/>
      <c r="B70" s="901"/>
      <c r="C70" s="901"/>
      <c r="D70" s="901"/>
      <c r="E70" s="901"/>
      <c r="F70" s="901"/>
      <c r="G70" s="901"/>
      <c r="H70" s="901"/>
      <c r="I70" s="901"/>
      <c r="J70" s="901"/>
      <c r="K70" s="901"/>
      <c r="L70" s="901"/>
      <c r="M70" s="901"/>
      <c r="N70" s="901"/>
      <c r="O70" s="901"/>
      <c r="P70" s="901"/>
      <c r="Q70" s="901"/>
      <c r="R70" s="907"/>
      <c r="S70" s="908"/>
      <c r="T70" s="901"/>
      <c r="U70" s="901"/>
      <c r="V70" s="901"/>
      <c r="W70" s="901"/>
      <c r="X70" s="901"/>
      <c r="Y70" s="901"/>
      <c r="Z70" s="901"/>
      <c r="AA70" s="901"/>
      <c r="AB70" s="901"/>
      <c r="AC70" s="901"/>
    </row>
    <row r="71" spans="1:29" x14ac:dyDescent="0.25">
      <c r="A71" s="901"/>
      <c r="B71" s="901"/>
      <c r="C71" s="901"/>
      <c r="D71" s="901"/>
      <c r="E71" s="901"/>
      <c r="F71" s="901"/>
      <c r="G71" s="901"/>
      <c r="H71" s="901"/>
      <c r="I71" s="901"/>
      <c r="J71" s="901"/>
      <c r="K71" s="901"/>
      <c r="L71" s="901"/>
      <c r="M71" s="901"/>
      <c r="N71" s="901"/>
      <c r="O71" s="901"/>
      <c r="P71" s="901"/>
      <c r="Q71" s="901"/>
      <c r="R71" s="907"/>
      <c r="S71" s="908"/>
      <c r="T71" s="901"/>
      <c r="U71" s="901"/>
      <c r="V71" s="901"/>
      <c r="W71" s="901"/>
      <c r="X71" s="901"/>
      <c r="Y71" s="901"/>
      <c r="Z71" s="901"/>
      <c r="AA71" s="901"/>
      <c r="AB71" s="901"/>
      <c r="AC71" s="901"/>
    </row>
    <row r="72" spans="1:29" x14ac:dyDescent="0.25">
      <c r="A72" s="901"/>
      <c r="B72" s="901"/>
      <c r="C72" s="901"/>
      <c r="D72" s="901"/>
      <c r="E72" s="901"/>
      <c r="F72" s="901"/>
      <c r="G72" s="901"/>
      <c r="H72" s="901"/>
      <c r="I72" s="901"/>
      <c r="J72" s="901"/>
      <c r="K72" s="901"/>
      <c r="L72" s="901"/>
      <c r="M72" s="901"/>
      <c r="N72" s="901"/>
      <c r="O72" s="901"/>
      <c r="P72" s="901"/>
      <c r="Q72" s="901"/>
      <c r="R72" s="907"/>
      <c r="S72" s="908"/>
      <c r="T72" s="901"/>
      <c r="U72" s="901"/>
      <c r="V72" s="901"/>
      <c r="W72" s="901"/>
      <c r="X72" s="901"/>
      <c r="Y72" s="901"/>
      <c r="Z72" s="901"/>
      <c r="AA72" s="901"/>
      <c r="AB72" s="901"/>
      <c r="AC72" s="901"/>
    </row>
    <row r="73" spans="1:29" x14ac:dyDescent="0.25">
      <c r="A73" s="901"/>
      <c r="B73" s="901"/>
      <c r="C73" s="901"/>
      <c r="D73" s="901"/>
      <c r="E73" s="901"/>
      <c r="F73" s="901"/>
      <c r="G73" s="901"/>
      <c r="H73" s="901"/>
      <c r="I73" s="901"/>
      <c r="J73" s="901"/>
      <c r="K73" s="901"/>
      <c r="L73" s="901"/>
      <c r="M73" s="901"/>
      <c r="N73" s="901"/>
      <c r="O73" s="901"/>
      <c r="P73" s="901"/>
      <c r="Q73" s="901"/>
      <c r="R73" s="907"/>
      <c r="S73" s="908"/>
      <c r="T73" s="901"/>
      <c r="U73" s="901"/>
      <c r="V73" s="901"/>
      <c r="W73" s="901"/>
      <c r="X73" s="901"/>
      <c r="Y73" s="901"/>
      <c r="Z73" s="901"/>
      <c r="AA73" s="901"/>
      <c r="AB73" s="901"/>
      <c r="AC73" s="901"/>
    </row>
    <row r="74" spans="1:29" x14ac:dyDescent="0.25">
      <c r="A74" s="901"/>
      <c r="B74" s="901"/>
      <c r="C74" s="901"/>
      <c r="D74" s="901"/>
      <c r="E74" s="901"/>
      <c r="F74" s="901"/>
      <c r="G74" s="901"/>
      <c r="H74" s="901"/>
      <c r="I74" s="901"/>
      <c r="J74" s="901"/>
      <c r="K74" s="901"/>
      <c r="L74" s="901"/>
      <c r="M74" s="901"/>
      <c r="N74" s="901"/>
      <c r="O74" s="901"/>
      <c r="P74" s="901"/>
      <c r="Q74" s="901"/>
      <c r="R74" s="907"/>
      <c r="S74" s="908"/>
      <c r="T74" s="901"/>
      <c r="U74" s="901"/>
      <c r="V74" s="901"/>
      <c r="W74" s="901"/>
      <c r="X74" s="901"/>
      <c r="Y74" s="901"/>
      <c r="Z74" s="901"/>
      <c r="AA74" s="901"/>
      <c r="AB74" s="901"/>
      <c r="AC74" s="901"/>
    </row>
    <row r="75" spans="1:29" x14ac:dyDescent="0.25">
      <c r="A75" s="901"/>
      <c r="B75" s="901"/>
      <c r="C75" s="901"/>
      <c r="D75" s="901"/>
      <c r="E75" s="901"/>
      <c r="F75" s="901"/>
      <c r="G75" s="901"/>
      <c r="H75" s="901"/>
      <c r="I75" s="901"/>
      <c r="J75" s="901"/>
      <c r="K75" s="901"/>
      <c r="L75" s="901"/>
      <c r="M75" s="901"/>
      <c r="N75" s="901"/>
      <c r="O75" s="901"/>
      <c r="P75" s="901"/>
      <c r="Q75" s="901"/>
      <c r="R75" s="907"/>
      <c r="S75" s="908"/>
      <c r="T75" s="901"/>
      <c r="U75" s="901"/>
      <c r="V75" s="901"/>
      <c r="W75" s="901"/>
      <c r="X75" s="901"/>
      <c r="Y75" s="901"/>
      <c r="Z75" s="901"/>
      <c r="AA75" s="901"/>
      <c r="AB75" s="901"/>
      <c r="AC75" s="901"/>
    </row>
    <row r="76" spans="1:29" x14ac:dyDescent="0.25">
      <c r="A76" s="901"/>
      <c r="B76" s="901"/>
      <c r="C76" s="901"/>
      <c r="D76" s="901"/>
      <c r="E76" s="901"/>
      <c r="F76" s="901"/>
      <c r="G76" s="901"/>
      <c r="H76" s="901"/>
      <c r="I76" s="901"/>
      <c r="J76" s="901"/>
      <c r="K76" s="901"/>
      <c r="L76" s="901"/>
      <c r="M76" s="901"/>
      <c r="N76" s="901"/>
      <c r="O76" s="901"/>
      <c r="P76" s="901"/>
      <c r="Q76" s="901"/>
      <c r="R76" s="907"/>
      <c r="S76" s="908"/>
      <c r="T76" s="901"/>
      <c r="U76" s="901"/>
      <c r="V76" s="901"/>
      <c r="W76" s="901"/>
      <c r="X76" s="901"/>
      <c r="Y76" s="901"/>
      <c r="Z76" s="901"/>
      <c r="AA76" s="901"/>
      <c r="AB76" s="901"/>
      <c r="AC76" s="901"/>
    </row>
    <row r="77" spans="1:29" x14ac:dyDescent="0.25">
      <c r="A77" s="901"/>
      <c r="B77" s="901"/>
      <c r="C77" s="901"/>
      <c r="D77" s="901"/>
      <c r="E77" s="901"/>
      <c r="F77" s="901"/>
      <c r="G77" s="901"/>
      <c r="H77" s="901"/>
      <c r="I77" s="901"/>
      <c r="J77" s="901"/>
      <c r="K77" s="901"/>
      <c r="L77" s="901"/>
      <c r="M77" s="901"/>
      <c r="N77" s="901"/>
      <c r="O77" s="901"/>
      <c r="P77" s="901"/>
      <c r="Q77" s="901"/>
      <c r="R77" s="907"/>
      <c r="S77" s="908"/>
      <c r="T77" s="901"/>
      <c r="U77" s="901"/>
      <c r="V77" s="901"/>
      <c r="W77" s="901"/>
      <c r="X77" s="901"/>
      <c r="Y77" s="901"/>
      <c r="Z77" s="901"/>
      <c r="AA77" s="901"/>
      <c r="AB77" s="901"/>
      <c r="AC77" s="901"/>
    </row>
    <row r="78" spans="1:29" x14ac:dyDescent="0.25">
      <c r="A78" s="901"/>
      <c r="B78" s="901"/>
      <c r="C78" s="901"/>
      <c r="D78" s="901"/>
      <c r="E78" s="901"/>
      <c r="F78" s="901"/>
      <c r="G78" s="901"/>
      <c r="H78" s="901"/>
      <c r="I78" s="901"/>
      <c r="J78" s="901"/>
      <c r="K78" s="901"/>
      <c r="L78" s="901"/>
      <c r="M78" s="901"/>
      <c r="N78" s="901"/>
      <c r="O78" s="901"/>
      <c r="P78" s="901"/>
      <c r="Q78" s="901"/>
      <c r="R78" s="907"/>
      <c r="S78" s="908"/>
      <c r="T78" s="901"/>
      <c r="U78" s="901"/>
      <c r="V78" s="901"/>
      <c r="W78" s="901"/>
      <c r="X78" s="901"/>
      <c r="Y78" s="901"/>
      <c r="Z78" s="901"/>
      <c r="AA78" s="901"/>
      <c r="AB78" s="901"/>
      <c r="AC78" s="901"/>
    </row>
    <row r="79" spans="1:29" x14ac:dyDescent="0.25">
      <c r="A79" s="901"/>
      <c r="B79" s="901"/>
      <c r="C79" s="901"/>
      <c r="D79" s="901"/>
      <c r="E79" s="901"/>
      <c r="F79" s="901"/>
      <c r="G79" s="901"/>
      <c r="H79" s="901"/>
      <c r="I79" s="901"/>
      <c r="J79" s="901"/>
      <c r="K79" s="901"/>
      <c r="L79" s="901"/>
      <c r="M79" s="901"/>
      <c r="N79" s="901"/>
      <c r="O79" s="901"/>
      <c r="P79" s="901"/>
      <c r="Q79" s="901"/>
      <c r="R79" s="907"/>
      <c r="S79" s="908"/>
      <c r="T79" s="901"/>
      <c r="U79" s="901"/>
      <c r="V79" s="901"/>
      <c r="W79" s="901"/>
      <c r="X79" s="901"/>
      <c r="Y79" s="901"/>
      <c r="Z79" s="901"/>
      <c r="AA79" s="901"/>
      <c r="AB79" s="901"/>
      <c r="AC79" s="901"/>
    </row>
    <row r="80" spans="1:29" x14ac:dyDescent="0.25">
      <c r="A80" s="901"/>
      <c r="B80" s="901"/>
      <c r="C80" s="901"/>
      <c r="D80" s="901"/>
      <c r="E80" s="901"/>
      <c r="F80" s="901"/>
      <c r="G80" s="901"/>
      <c r="H80" s="901"/>
      <c r="I80" s="901"/>
      <c r="J80" s="901"/>
      <c r="K80" s="901"/>
      <c r="L80" s="901"/>
      <c r="M80" s="901"/>
      <c r="N80" s="901"/>
      <c r="O80" s="901"/>
      <c r="P80" s="901"/>
      <c r="Q80" s="901"/>
      <c r="R80" s="907"/>
      <c r="S80" s="908"/>
      <c r="T80" s="901"/>
      <c r="U80" s="901"/>
      <c r="V80" s="901"/>
      <c r="W80" s="901"/>
      <c r="X80" s="901"/>
      <c r="Y80" s="901"/>
      <c r="Z80" s="901"/>
      <c r="AA80" s="901"/>
      <c r="AB80" s="901"/>
      <c r="AC80" s="901"/>
    </row>
    <row r="81" spans="1:29" x14ac:dyDescent="0.25">
      <c r="A81" s="901"/>
      <c r="B81" s="901"/>
      <c r="C81" s="901"/>
      <c r="D81" s="901"/>
      <c r="E81" s="901"/>
      <c r="F81" s="901"/>
      <c r="G81" s="901"/>
      <c r="H81" s="901"/>
      <c r="I81" s="901"/>
      <c r="J81" s="901"/>
      <c r="K81" s="901"/>
      <c r="L81" s="901"/>
      <c r="M81" s="901"/>
      <c r="N81" s="901"/>
      <c r="O81" s="901"/>
      <c r="P81" s="901"/>
      <c r="Q81" s="901"/>
      <c r="R81" s="907"/>
      <c r="S81" s="908"/>
      <c r="T81" s="901"/>
      <c r="U81" s="901"/>
      <c r="V81" s="901"/>
      <c r="W81" s="901"/>
      <c r="X81" s="901"/>
      <c r="Y81" s="901"/>
      <c r="Z81" s="901"/>
      <c r="AA81" s="901"/>
      <c r="AB81" s="901"/>
      <c r="AC81" s="901"/>
    </row>
    <row r="82" spans="1:29" x14ac:dyDescent="0.25">
      <c r="A82" s="901"/>
      <c r="B82" s="901"/>
      <c r="C82" s="901"/>
      <c r="D82" s="901"/>
      <c r="E82" s="901"/>
      <c r="F82" s="901"/>
      <c r="G82" s="901"/>
      <c r="H82" s="901"/>
      <c r="I82" s="901"/>
      <c r="J82" s="901"/>
      <c r="K82" s="901"/>
      <c r="L82" s="901"/>
      <c r="M82" s="901"/>
      <c r="N82" s="901"/>
      <c r="O82" s="901"/>
      <c r="P82" s="901"/>
      <c r="Q82" s="901"/>
      <c r="R82" s="907"/>
      <c r="S82" s="908"/>
      <c r="T82" s="901"/>
      <c r="U82" s="901"/>
      <c r="V82" s="901"/>
      <c r="W82" s="901"/>
      <c r="X82" s="901"/>
      <c r="Y82" s="901"/>
      <c r="Z82" s="901"/>
      <c r="AA82" s="901"/>
      <c r="AB82" s="901"/>
      <c r="AC82" s="901"/>
    </row>
    <row r="83" spans="1:29" x14ac:dyDescent="0.25">
      <c r="A83" s="901"/>
      <c r="B83" s="901"/>
      <c r="C83" s="901"/>
      <c r="D83" s="901"/>
      <c r="E83" s="901"/>
      <c r="F83" s="901"/>
      <c r="G83" s="901"/>
      <c r="H83" s="901"/>
      <c r="I83" s="901"/>
      <c r="J83" s="901"/>
      <c r="K83" s="901"/>
      <c r="L83" s="901"/>
      <c r="M83" s="901"/>
      <c r="N83" s="901"/>
      <c r="O83" s="901"/>
      <c r="P83" s="901"/>
      <c r="Q83" s="901"/>
      <c r="R83" s="907"/>
      <c r="S83" s="908"/>
      <c r="T83" s="901"/>
      <c r="U83" s="901"/>
      <c r="V83" s="901"/>
      <c r="W83" s="901"/>
      <c r="X83" s="901"/>
      <c r="Y83" s="901"/>
      <c r="Z83" s="901"/>
      <c r="AA83" s="901"/>
      <c r="AB83" s="901"/>
      <c r="AC83" s="901"/>
    </row>
    <row r="84" spans="1:29" x14ac:dyDescent="0.25">
      <c r="A84" s="901"/>
      <c r="B84" s="901"/>
      <c r="C84" s="901"/>
      <c r="D84" s="901"/>
      <c r="E84" s="901"/>
      <c r="F84" s="901"/>
      <c r="G84" s="901"/>
      <c r="H84" s="901"/>
      <c r="I84" s="901"/>
      <c r="J84" s="901"/>
      <c r="K84" s="901"/>
      <c r="L84" s="901"/>
      <c r="M84" s="901"/>
      <c r="N84" s="901"/>
      <c r="O84" s="901"/>
      <c r="P84" s="901"/>
      <c r="Q84" s="901"/>
      <c r="R84" s="907"/>
      <c r="S84" s="908"/>
      <c r="T84" s="901"/>
      <c r="U84" s="901"/>
      <c r="V84" s="901"/>
      <c r="W84" s="901"/>
      <c r="X84" s="901"/>
      <c r="Y84" s="901"/>
      <c r="Z84" s="901"/>
      <c r="AA84" s="901"/>
      <c r="AB84" s="901"/>
      <c r="AC84" s="901"/>
    </row>
    <row r="85" spans="1:29" x14ac:dyDescent="0.25">
      <c r="A85" s="901"/>
      <c r="B85" s="901"/>
      <c r="C85" s="901"/>
      <c r="D85" s="901"/>
      <c r="E85" s="901"/>
      <c r="F85" s="901"/>
      <c r="G85" s="901"/>
      <c r="H85" s="901"/>
      <c r="I85" s="901"/>
      <c r="J85" s="901"/>
      <c r="K85" s="901"/>
      <c r="L85" s="901"/>
      <c r="M85" s="901"/>
      <c r="N85" s="901"/>
      <c r="O85" s="901"/>
      <c r="P85" s="901"/>
      <c r="Q85" s="901"/>
      <c r="R85" s="907"/>
      <c r="S85" s="908"/>
      <c r="T85" s="901"/>
      <c r="U85" s="901"/>
      <c r="V85" s="901"/>
      <c r="W85" s="901"/>
      <c r="X85" s="901"/>
      <c r="Y85" s="901"/>
      <c r="Z85" s="901"/>
      <c r="AA85" s="901"/>
      <c r="AB85" s="901"/>
      <c r="AC85" s="901"/>
    </row>
    <row r="86" spans="1:29" x14ac:dyDescent="0.25">
      <c r="A86" s="901"/>
      <c r="B86" s="901"/>
      <c r="C86" s="901"/>
      <c r="D86" s="901"/>
      <c r="E86" s="901"/>
      <c r="F86" s="901"/>
      <c r="G86" s="901"/>
      <c r="H86" s="901"/>
      <c r="I86" s="901"/>
      <c r="J86" s="901"/>
      <c r="K86" s="901"/>
      <c r="L86" s="901"/>
      <c r="M86" s="901"/>
      <c r="N86" s="901"/>
      <c r="O86" s="901"/>
      <c r="P86" s="901"/>
      <c r="Q86" s="901"/>
      <c r="R86" s="907"/>
      <c r="S86" s="908"/>
      <c r="T86" s="901"/>
      <c r="U86" s="901"/>
      <c r="V86" s="901"/>
      <c r="W86" s="901"/>
      <c r="X86" s="901"/>
      <c r="Y86" s="901"/>
      <c r="Z86" s="901"/>
      <c r="AA86" s="901"/>
      <c r="AB86" s="901"/>
      <c r="AC86" s="901"/>
    </row>
    <row r="87" spans="1:29" x14ac:dyDescent="0.25">
      <c r="A87" s="901"/>
      <c r="B87" s="901"/>
      <c r="C87" s="901"/>
      <c r="D87" s="901"/>
      <c r="E87" s="901"/>
      <c r="F87" s="901"/>
      <c r="G87" s="901"/>
      <c r="H87" s="901"/>
      <c r="I87" s="901"/>
      <c r="J87" s="901"/>
      <c r="K87" s="901"/>
      <c r="L87" s="901"/>
      <c r="M87" s="901"/>
      <c r="N87" s="901"/>
      <c r="O87" s="901"/>
      <c r="P87" s="901"/>
      <c r="Q87" s="901"/>
      <c r="R87" s="907"/>
      <c r="S87" s="908"/>
      <c r="T87" s="901"/>
      <c r="U87" s="901"/>
      <c r="V87" s="901"/>
      <c r="W87" s="901"/>
      <c r="X87" s="901"/>
      <c r="Y87" s="901"/>
      <c r="Z87" s="901"/>
      <c r="AA87" s="901"/>
      <c r="AB87" s="901"/>
      <c r="AC87" s="901"/>
    </row>
    <row r="88" spans="1:29" x14ac:dyDescent="0.25">
      <c r="A88" s="901"/>
      <c r="B88" s="901"/>
      <c r="C88" s="901"/>
      <c r="D88" s="901"/>
      <c r="E88" s="901"/>
      <c r="F88" s="901"/>
      <c r="G88" s="901"/>
      <c r="H88" s="901"/>
      <c r="I88" s="901"/>
      <c r="J88" s="901"/>
      <c r="K88" s="901"/>
      <c r="L88" s="901"/>
      <c r="M88" s="901"/>
      <c r="N88" s="901"/>
      <c r="O88" s="901"/>
      <c r="P88" s="901"/>
      <c r="Q88" s="901"/>
      <c r="R88" s="907"/>
      <c r="S88" s="908"/>
      <c r="T88" s="901"/>
      <c r="U88" s="901"/>
      <c r="V88" s="901"/>
      <c r="W88" s="901"/>
      <c r="X88" s="901"/>
      <c r="Y88" s="901"/>
      <c r="Z88" s="901"/>
      <c r="AA88" s="901"/>
      <c r="AB88" s="901"/>
      <c r="AC88" s="901"/>
    </row>
    <row r="89" spans="1:29" x14ac:dyDescent="0.25">
      <c r="A89" s="901"/>
      <c r="B89" s="901"/>
      <c r="C89" s="901"/>
      <c r="D89" s="901"/>
      <c r="E89" s="901"/>
      <c r="F89" s="901"/>
      <c r="G89" s="901"/>
      <c r="H89" s="901"/>
      <c r="I89" s="901"/>
      <c r="J89" s="901"/>
      <c r="K89" s="901"/>
      <c r="L89" s="901"/>
      <c r="M89" s="901"/>
      <c r="N89" s="901"/>
      <c r="O89" s="901"/>
      <c r="P89" s="901"/>
      <c r="Q89" s="901"/>
      <c r="R89" s="907"/>
      <c r="S89" s="908"/>
      <c r="T89" s="901"/>
      <c r="U89" s="901"/>
      <c r="V89" s="901"/>
      <c r="W89" s="901"/>
      <c r="X89" s="901"/>
      <c r="Y89" s="901"/>
      <c r="Z89" s="901"/>
      <c r="AA89" s="901"/>
      <c r="AB89" s="901"/>
      <c r="AC89" s="901"/>
    </row>
    <row r="90" spans="1:29" x14ac:dyDescent="0.25">
      <c r="A90" s="901"/>
      <c r="B90" s="901"/>
      <c r="C90" s="901"/>
      <c r="D90" s="901"/>
      <c r="E90" s="901"/>
      <c r="F90" s="901"/>
      <c r="G90" s="901"/>
      <c r="H90" s="901"/>
      <c r="I90" s="901"/>
      <c r="J90" s="901"/>
      <c r="K90" s="901"/>
      <c r="L90" s="901"/>
      <c r="M90" s="901"/>
      <c r="N90" s="901"/>
      <c r="O90" s="901"/>
      <c r="P90" s="901"/>
      <c r="Q90" s="901"/>
      <c r="R90" s="907"/>
      <c r="S90" s="908"/>
      <c r="T90" s="901"/>
      <c r="U90" s="901"/>
      <c r="V90" s="901"/>
      <c r="W90" s="901"/>
      <c r="X90" s="901"/>
      <c r="Y90" s="901"/>
      <c r="Z90" s="901"/>
      <c r="AA90" s="901"/>
      <c r="AB90" s="901"/>
      <c r="AC90" s="901"/>
    </row>
    <row r="91" spans="1:29" x14ac:dyDescent="0.25">
      <c r="A91" s="901"/>
      <c r="B91" s="901"/>
      <c r="C91" s="901"/>
      <c r="D91" s="901"/>
      <c r="E91" s="901"/>
      <c r="F91" s="901"/>
      <c r="G91" s="901"/>
      <c r="H91" s="901"/>
      <c r="I91" s="901"/>
      <c r="J91" s="901"/>
      <c r="K91" s="901"/>
      <c r="L91" s="901"/>
      <c r="M91" s="901"/>
      <c r="N91" s="901"/>
      <c r="O91" s="901"/>
      <c r="P91" s="901"/>
      <c r="Q91" s="901"/>
      <c r="R91" s="907"/>
      <c r="S91" s="908"/>
      <c r="T91" s="901"/>
      <c r="U91" s="901"/>
      <c r="V91" s="901"/>
      <c r="W91" s="901"/>
      <c r="X91" s="901"/>
      <c r="Y91" s="901"/>
      <c r="Z91" s="901"/>
      <c r="AA91" s="901"/>
      <c r="AB91" s="901"/>
      <c r="AC91" s="901"/>
    </row>
    <row r="92" spans="1:29" x14ac:dyDescent="0.25">
      <c r="A92" s="901"/>
      <c r="B92" s="901"/>
      <c r="C92" s="901"/>
      <c r="D92" s="901"/>
      <c r="E92" s="901"/>
      <c r="F92" s="901"/>
      <c r="G92" s="901"/>
      <c r="H92" s="901"/>
      <c r="I92" s="901"/>
      <c r="J92" s="901"/>
      <c r="K92" s="901"/>
      <c r="L92" s="901"/>
      <c r="M92" s="901"/>
      <c r="N92" s="901"/>
      <c r="O92" s="901"/>
      <c r="P92" s="901"/>
      <c r="Q92" s="901"/>
      <c r="R92" s="907"/>
      <c r="S92" s="908"/>
      <c r="T92" s="901"/>
      <c r="U92" s="901"/>
      <c r="V92" s="901"/>
      <c r="W92" s="901"/>
      <c r="X92" s="901"/>
      <c r="Y92" s="901"/>
      <c r="Z92" s="901"/>
      <c r="AA92" s="901"/>
      <c r="AB92" s="901"/>
      <c r="AC92" s="901"/>
    </row>
    <row r="93" spans="1:29" x14ac:dyDescent="0.25">
      <c r="A93" s="901"/>
      <c r="B93" s="901"/>
      <c r="C93" s="901"/>
      <c r="D93" s="901"/>
      <c r="E93" s="901"/>
      <c r="F93" s="901"/>
      <c r="G93" s="901"/>
      <c r="H93" s="901"/>
      <c r="I93" s="901"/>
      <c r="J93" s="901"/>
      <c r="K93" s="901"/>
      <c r="L93" s="901"/>
      <c r="M93" s="901"/>
      <c r="N93" s="901"/>
      <c r="O93" s="901"/>
      <c r="P93" s="901"/>
      <c r="Q93" s="901"/>
      <c r="R93" s="907"/>
      <c r="S93" s="908"/>
      <c r="T93" s="901"/>
      <c r="U93" s="901"/>
      <c r="V93" s="901"/>
      <c r="W93" s="901"/>
      <c r="X93" s="901"/>
      <c r="Y93" s="901"/>
      <c r="Z93" s="901"/>
      <c r="AA93" s="901"/>
      <c r="AB93" s="901"/>
      <c r="AC93" s="901"/>
    </row>
    <row r="94" spans="1:29" x14ac:dyDescent="0.25">
      <c r="A94" s="901"/>
      <c r="B94" s="901"/>
      <c r="C94" s="901"/>
      <c r="D94" s="901"/>
      <c r="E94" s="901"/>
      <c r="F94" s="901"/>
      <c r="G94" s="901"/>
      <c r="H94" s="901"/>
      <c r="I94" s="901"/>
      <c r="J94" s="901"/>
      <c r="K94" s="901"/>
      <c r="L94" s="901"/>
      <c r="M94" s="901"/>
      <c r="N94" s="901"/>
      <c r="O94" s="901"/>
      <c r="P94" s="901"/>
      <c r="Q94" s="901"/>
      <c r="R94" s="907"/>
      <c r="S94" s="908"/>
      <c r="T94" s="901"/>
      <c r="U94" s="901"/>
      <c r="V94" s="901"/>
      <c r="W94" s="901"/>
      <c r="X94" s="901"/>
      <c r="Y94" s="901"/>
      <c r="Z94" s="901"/>
      <c r="AA94" s="901"/>
      <c r="AB94" s="901"/>
      <c r="AC94" s="901"/>
    </row>
    <row r="95" spans="1:29" x14ac:dyDescent="0.25">
      <c r="A95" s="901"/>
      <c r="B95" s="901"/>
      <c r="C95" s="901"/>
      <c r="D95" s="901"/>
      <c r="E95" s="901"/>
      <c r="F95" s="901"/>
      <c r="G95" s="901"/>
      <c r="H95" s="901"/>
      <c r="I95" s="901"/>
      <c r="J95" s="901"/>
      <c r="K95" s="901"/>
      <c r="L95" s="901"/>
      <c r="M95" s="901"/>
      <c r="N95" s="901"/>
      <c r="O95" s="901"/>
      <c r="P95" s="901"/>
      <c r="Q95" s="901"/>
      <c r="R95" s="907"/>
      <c r="S95" s="908"/>
      <c r="T95" s="901"/>
      <c r="U95" s="901"/>
      <c r="V95" s="901"/>
      <c r="W95" s="901"/>
      <c r="X95" s="901"/>
      <c r="Y95" s="901"/>
      <c r="Z95" s="901"/>
      <c r="AA95" s="901"/>
      <c r="AB95" s="901"/>
      <c r="AC95" s="901"/>
    </row>
    <row r="96" spans="1:29" x14ac:dyDescent="0.25">
      <c r="A96" s="901"/>
      <c r="B96" s="901"/>
      <c r="C96" s="901"/>
      <c r="D96" s="901"/>
      <c r="E96" s="901"/>
      <c r="F96" s="901"/>
      <c r="G96" s="901"/>
      <c r="H96" s="901"/>
      <c r="I96" s="901"/>
      <c r="J96" s="901"/>
      <c r="K96" s="901"/>
      <c r="L96" s="901"/>
      <c r="M96" s="901"/>
      <c r="N96" s="901"/>
      <c r="O96" s="901"/>
      <c r="P96" s="901"/>
      <c r="Q96" s="901"/>
      <c r="R96" s="907"/>
      <c r="S96" s="908"/>
      <c r="T96" s="901"/>
      <c r="U96" s="901"/>
      <c r="V96" s="901"/>
      <c r="W96" s="901"/>
      <c r="X96" s="901"/>
      <c r="Y96" s="901"/>
      <c r="Z96" s="901"/>
      <c r="AA96" s="901"/>
      <c r="AB96" s="901"/>
      <c r="AC96" s="901"/>
    </row>
    <row r="97" spans="1:29" x14ac:dyDescent="0.25">
      <c r="A97" s="901"/>
      <c r="B97" s="901"/>
      <c r="C97" s="901"/>
      <c r="D97" s="901"/>
      <c r="E97" s="901"/>
      <c r="F97" s="901"/>
      <c r="G97" s="901"/>
      <c r="H97" s="901"/>
      <c r="I97" s="901"/>
      <c r="J97" s="901"/>
      <c r="K97" s="901"/>
      <c r="L97" s="901"/>
      <c r="M97" s="901"/>
      <c r="N97" s="901"/>
      <c r="O97" s="901"/>
      <c r="P97" s="901"/>
      <c r="Q97" s="901"/>
      <c r="R97" s="907"/>
      <c r="S97" s="908"/>
      <c r="T97" s="901"/>
      <c r="U97" s="901"/>
      <c r="V97" s="901"/>
      <c r="W97" s="901"/>
      <c r="X97" s="901"/>
      <c r="Y97" s="901"/>
      <c r="Z97" s="901"/>
      <c r="AA97" s="901"/>
      <c r="AB97" s="901"/>
      <c r="AC97" s="901"/>
    </row>
    <row r="98" spans="1:29" x14ac:dyDescent="0.25">
      <c r="A98" s="901"/>
      <c r="B98" s="901"/>
      <c r="C98" s="901"/>
      <c r="D98" s="901"/>
      <c r="E98" s="901"/>
      <c r="F98" s="901"/>
      <c r="G98" s="901"/>
      <c r="H98" s="901"/>
      <c r="I98" s="901"/>
      <c r="J98" s="901"/>
      <c r="K98" s="901"/>
      <c r="L98" s="901"/>
      <c r="M98" s="901"/>
      <c r="N98" s="901"/>
      <c r="O98" s="901"/>
      <c r="P98" s="901"/>
      <c r="Q98" s="901"/>
      <c r="R98" s="907"/>
      <c r="S98" s="908"/>
      <c r="T98" s="901"/>
      <c r="U98" s="901"/>
      <c r="V98" s="901"/>
      <c r="W98" s="901"/>
      <c r="X98" s="901"/>
      <c r="Y98" s="901"/>
      <c r="Z98" s="901"/>
      <c r="AA98" s="901"/>
      <c r="AB98" s="901"/>
      <c r="AC98" s="901"/>
    </row>
    <row r="99" spans="1:29" x14ac:dyDescent="0.25">
      <c r="A99" s="901"/>
      <c r="B99" s="901"/>
      <c r="C99" s="901"/>
      <c r="D99" s="901"/>
      <c r="E99" s="901"/>
      <c r="F99" s="901"/>
      <c r="G99" s="901"/>
      <c r="H99" s="901"/>
      <c r="I99" s="901"/>
      <c r="J99" s="901"/>
      <c r="K99" s="901"/>
      <c r="L99" s="901"/>
      <c r="M99" s="901"/>
      <c r="N99" s="901"/>
      <c r="O99" s="901"/>
      <c r="P99" s="901"/>
      <c r="Q99" s="901"/>
      <c r="R99" s="907"/>
      <c r="S99" s="908"/>
      <c r="T99" s="901"/>
      <c r="U99" s="901"/>
      <c r="V99" s="901"/>
      <c r="W99" s="901"/>
      <c r="X99" s="901"/>
      <c r="Y99" s="901"/>
      <c r="Z99" s="901"/>
      <c r="AA99" s="901"/>
      <c r="AB99" s="901"/>
      <c r="AC99" s="901"/>
    </row>
    <row r="100" spans="1:29" x14ac:dyDescent="0.25">
      <c r="A100" s="901"/>
      <c r="B100" s="901"/>
      <c r="C100" s="901"/>
      <c r="D100" s="901"/>
      <c r="E100" s="901"/>
      <c r="F100" s="901"/>
      <c r="G100" s="901"/>
      <c r="H100" s="901"/>
      <c r="I100" s="901"/>
      <c r="J100" s="901"/>
      <c r="K100" s="901"/>
      <c r="L100" s="901"/>
      <c r="M100" s="901"/>
      <c r="N100" s="901"/>
      <c r="O100" s="901"/>
      <c r="P100" s="901"/>
      <c r="Q100" s="901"/>
      <c r="R100" s="907"/>
      <c r="S100" s="908"/>
      <c r="T100" s="901"/>
      <c r="U100" s="901"/>
      <c r="V100" s="901"/>
      <c r="W100" s="901"/>
      <c r="X100" s="901"/>
      <c r="Y100" s="901"/>
      <c r="Z100" s="901"/>
      <c r="AA100" s="901"/>
      <c r="AB100" s="901"/>
      <c r="AC100" s="901"/>
    </row>
    <row r="101" spans="1:29" x14ac:dyDescent="0.25">
      <c r="A101" s="901"/>
      <c r="B101" s="901"/>
      <c r="C101" s="901"/>
      <c r="D101" s="901"/>
      <c r="E101" s="901"/>
      <c r="F101" s="901"/>
      <c r="G101" s="901"/>
      <c r="H101" s="901"/>
      <c r="I101" s="901"/>
      <c r="J101" s="901"/>
      <c r="K101" s="901"/>
      <c r="L101" s="901"/>
      <c r="M101" s="901"/>
      <c r="N101" s="901"/>
      <c r="O101" s="901"/>
      <c r="P101" s="901"/>
      <c r="Q101" s="901"/>
      <c r="R101" s="907"/>
      <c r="S101" s="908"/>
      <c r="T101" s="901"/>
      <c r="U101" s="901"/>
      <c r="V101" s="901"/>
      <c r="W101" s="901"/>
      <c r="X101" s="901"/>
      <c r="Y101" s="901"/>
      <c r="Z101" s="901"/>
      <c r="AA101" s="901"/>
      <c r="AB101" s="901"/>
      <c r="AC101" s="901"/>
    </row>
    <row r="102" spans="1:29" x14ac:dyDescent="0.25">
      <c r="A102" s="901"/>
      <c r="B102" s="901"/>
      <c r="C102" s="901"/>
      <c r="D102" s="901"/>
      <c r="E102" s="901"/>
      <c r="F102" s="901"/>
      <c r="G102" s="901"/>
      <c r="H102" s="901"/>
      <c r="I102" s="901"/>
      <c r="J102" s="901"/>
      <c r="K102" s="901"/>
      <c r="L102" s="901"/>
      <c r="M102" s="901"/>
      <c r="N102" s="901"/>
      <c r="O102" s="901"/>
      <c r="P102" s="901"/>
      <c r="Q102" s="901"/>
      <c r="R102" s="907"/>
      <c r="S102" s="908"/>
      <c r="T102" s="901"/>
      <c r="U102" s="901"/>
      <c r="V102" s="901"/>
      <c r="W102" s="901"/>
      <c r="X102" s="901"/>
      <c r="Y102" s="901"/>
      <c r="Z102" s="901"/>
      <c r="AA102" s="901"/>
      <c r="AB102" s="901"/>
      <c r="AC102" s="901"/>
    </row>
    <row r="103" spans="1:29" x14ac:dyDescent="0.25">
      <c r="A103" s="901"/>
      <c r="B103" s="901"/>
      <c r="C103" s="901"/>
      <c r="D103" s="901"/>
      <c r="E103" s="901"/>
      <c r="F103" s="901"/>
      <c r="G103" s="901"/>
      <c r="H103" s="901"/>
      <c r="I103" s="901"/>
      <c r="J103" s="901"/>
      <c r="K103" s="901"/>
      <c r="L103" s="901"/>
      <c r="M103" s="901"/>
      <c r="N103" s="901"/>
      <c r="O103" s="901"/>
      <c r="P103" s="901"/>
      <c r="Q103" s="901"/>
      <c r="R103" s="907"/>
      <c r="S103" s="908"/>
      <c r="T103" s="901"/>
      <c r="U103" s="901"/>
      <c r="V103" s="901"/>
      <c r="W103" s="901"/>
      <c r="X103" s="901"/>
      <c r="Y103" s="901"/>
      <c r="Z103" s="901"/>
      <c r="AA103" s="901"/>
      <c r="AB103" s="901"/>
      <c r="AC103" s="901"/>
    </row>
    <row r="104" spans="1:29" x14ac:dyDescent="0.25">
      <c r="A104" s="901"/>
      <c r="B104" s="901"/>
      <c r="C104" s="901"/>
      <c r="D104" s="901"/>
      <c r="E104" s="901"/>
      <c r="F104" s="901"/>
      <c r="G104" s="901"/>
      <c r="H104" s="901"/>
      <c r="I104" s="901"/>
      <c r="J104" s="901"/>
      <c r="K104" s="901"/>
      <c r="L104" s="901"/>
      <c r="M104" s="901"/>
      <c r="N104" s="901"/>
      <c r="O104" s="901"/>
      <c r="P104" s="901"/>
      <c r="Q104" s="901"/>
      <c r="R104" s="907"/>
      <c r="S104" s="908"/>
      <c r="T104" s="901"/>
      <c r="U104" s="901"/>
      <c r="V104" s="901"/>
      <c r="W104" s="901"/>
      <c r="X104" s="901"/>
      <c r="Y104" s="901"/>
      <c r="Z104" s="901"/>
      <c r="AA104" s="901"/>
      <c r="AB104" s="901"/>
      <c r="AC104" s="901"/>
    </row>
    <row r="105" spans="1:29" x14ac:dyDescent="0.25">
      <c r="A105" s="901"/>
      <c r="B105" s="901"/>
      <c r="C105" s="901"/>
      <c r="D105" s="901"/>
      <c r="E105" s="901"/>
      <c r="F105" s="901"/>
      <c r="G105" s="901"/>
      <c r="H105" s="901"/>
      <c r="I105" s="901"/>
      <c r="J105" s="901"/>
      <c r="K105" s="901"/>
      <c r="L105" s="901"/>
      <c r="M105" s="901"/>
      <c r="N105" s="901"/>
      <c r="O105" s="901"/>
      <c r="P105" s="901"/>
      <c r="Q105" s="901"/>
      <c r="R105" s="907"/>
      <c r="S105" s="908"/>
      <c r="T105" s="901"/>
      <c r="U105" s="901"/>
      <c r="V105" s="901"/>
      <c r="W105" s="901"/>
      <c r="X105" s="901"/>
      <c r="Y105" s="901"/>
      <c r="Z105" s="901"/>
      <c r="AA105" s="901"/>
      <c r="AB105" s="901"/>
      <c r="AC105" s="901"/>
    </row>
    <row r="106" spans="1:29" x14ac:dyDescent="0.25">
      <c r="A106" s="901"/>
      <c r="B106" s="901"/>
      <c r="C106" s="901"/>
      <c r="D106" s="901"/>
      <c r="E106" s="901"/>
      <c r="F106" s="901"/>
      <c r="G106" s="901"/>
      <c r="H106" s="901"/>
      <c r="I106" s="901"/>
      <c r="J106" s="901"/>
      <c r="K106" s="901"/>
      <c r="L106" s="901"/>
      <c r="M106" s="901"/>
      <c r="N106" s="901"/>
      <c r="O106" s="901"/>
      <c r="P106" s="901"/>
      <c r="Q106" s="901"/>
      <c r="R106" s="907"/>
      <c r="S106" s="908"/>
      <c r="T106" s="901"/>
      <c r="U106" s="901"/>
      <c r="V106" s="901"/>
      <c r="W106" s="901"/>
      <c r="X106" s="901"/>
      <c r="Y106" s="901"/>
      <c r="Z106" s="901"/>
      <c r="AA106" s="901"/>
      <c r="AB106" s="901"/>
      <c r="AC106" s="901"/>
    </row>
    <row r="107" spans="1:29" x14ac:dyDescent="0.25">
      <c r="A107" s="901"/>
      <c r="B107" s="901"/>
      <c r="C107" s="901"/>
      <c r="D107" s="901"/>
      <c r="E107" s="901"/>
      <c r="F107" s="901"/>
      <c r="G107" s="901"/>
      <c r="H107" s="901"/>
      <c r="I107" s="901"/>
      <c r="J107" s="901"/>
      <c r="K107" s="901"/>
      <c r="L107" s="901"/>
      <c r="M107" s="901"/>
      <c r="N107" s="901"/>
      <c r="O107" s="901"/>
      <c r="P107" s="901"/>
      <c r="Q107" s="901"/>
      <c r="R107" s="907"/>
      <c r="S107" s="908"/>
      <c r="T107" s="901"/>
      <c r="U107" s="901"/>
      <c r="V107" s="901"/>
      <c r="W107" s="901"/>
      <c r="X107" s="901"/>
      <c r="Y107" s="901"/>
      <c r="Z107" s="901"/>
      <c r="AA107" s="901"/>
      <c r="AB107" s="901"/>
      <c r="AC107" s="901"/>
    </row>
    <row r="108" spans="1:29" x14ac:dyDescent="0.25">
      <c r="A108" s="901"/>
      <c r="B108" s="901"/>
      <c r="C108" s="901"/>
      <c r="D108" s="901"/>
      <c r="E108" s="901"/>
      <c r="F108" s="901"/>
      <c r="G108" s="901"/>
      <c r="H108" s="901"/>
      <c r="I108" s="901"/>
      <c r="J108" s="901"/>
      <c r="K108" s="901"/>
      <c r="L108" s="901"/>
      <c r="M108" s="901"/>
      <c r="N108" s="901"/>
      <c r="O108" s="901"/>
      <c r="P108" s="901"/>
      <c r="Q108" s="901"/>
      <c r="R108" s="907"/>
      <c r="S108" s="908"/>
      <c r="T108" s="901"/>
      <c r="U108" s="901"/>
      <c r="V108" s="901"/>
      <c r="W108" s="901"/>
      <c r="X108" s="901"/>
      <c r="Y108" s="901"/>
      <c r="Z108" s="901"/>
      <c r="AA108" s="901"/>
      <c r="AB108" s="901"/>
      <c r="AC108" s="901"/>
    </row>
    <row r="109" spans="1:29" x14ac:dyDescent="0.25">
      <c r="A109" s="901"/>
      <c r="B109" s="901"/>
      <c r="C109" s="901"/>
      <c r="D109" s="901"/>
      <c r="E109" s="901"/>
      <c r="F109" s="901"/>
      <c r="G109" s="901"/>
      <c r="H109" s="901"/>
      <c r="I109" s="901"/>
      <c r="J109" s="901"/>
      <c r="K109" s="901"/>
      <c r="L109" s="901"/>
      <c r="M109" s="901"/>
      <c r="N109" s="901"/>
      <c r="O109" s="901"/>
      <c r="P109" s="901"/>
      <c r="Q109" s="901"/>
      <c r="R109" s="907"/>
      <c r="S109" s="908"/>
      <c r="T109" s="901"/>
      <c r="U109" s="901"/>
      <c r="V109" s="901"/>
      <c r="W109" s="901"/>
      <c r="X109" s="901"/>
      <c r="Y109" s="901"/>
      <c r="Z109" s="901"/>
      <c r="AA109" s="901"/>
      <c r="AB109" s="901"/>
      <c r="AC109" s="901"/>
    </row>
    <row r="110" spans="1:29" x14ac:dyDescent="0.25">
      <c r="A110" s="901"/>
      <c r="B110" s="901"/>
      <c r="C110" s="901"/>
      <c r="D110" s="901"/>
      <c r="E110" s="901"/>
      <c r="F110" s="901"/>
      <c r="G110" s="901"/>
      <c r="H110" s="901"/>
      <c r="I110" s="901"/>
      <c r="J110" s="901"/>
      <c r="K110" s="901"/>
      <c r="L110" s="901"/>
      <c r="M110" s="901"/>
      <c r="N110" s="901"/>
      <c r="O110" s="901"/>
      <c r="P110" s="901"/>
      <c r="Q110" s="901"/>
      <c r="R110" s="907"/>
      <c r="S110" s="908"/>
      <c r="T110" s="901"/>
      <c r="U110" s="901"/>
      <c r="V110" s="901"/>
      <c r="W110" s="901"/>
      <c r="X110" s="901"/>
      <c r="Y110" s="901"/>
      <c r="Z110" s="901"/>
      <c r="AA110" s="901"/>
      <c r="AB110" s="901"/>
      <c r="AC110" s="901"/>
    </row>
    <row r="111" spans="1:29" x14ac:dyDescent="0.25">
      <c r="A111" s="901"/>
      <c r="B111" s="901"/>
      <c r="C111" s="901"/>
      <c r="D111" s="901"/>
      <c r="E111" s="901"/>
      <c r="F111" s="901"/>
      <c r="G111" s="901"/>
      <c r="H111" s="901"/>
      <c r="I111" s="901"/>
      <c r="J111" s="901"/>
      <c r="K111" s="901"/>
      <c r="L111" s="901"/>
      <c r="M111" s="901"/>
      <c r="N111" s="901"/>
      <c r="O111" s="901"/>
      <c r="P111" s="901"/>
      <c r="Q111" s="901"/>
      <c r="R111" s="907"/>
      <c r="S111" s="908"/>
      <c r="T111" s="901"/>
      <c r="U111" s="901"/>
      <c r="V111" s="901"/>
      <c r="W111" s="901"/>
      <c r="X111" s="901"/>
      <c r="Y111" s="901"/>
      <c r="Z111" s="901"/>
      <c r="AA111" s="901"/>
      <c r="AB111" s="901"/>
      <c r="AC111" s="901"/>
    </row>
    <row r="112" spans="1:29" x14ac:dyDescent="0.25">
      <c r="A112" s="901"/>
      <c r="B112" s="901"/>
      <c r="C112" s="901"/>
      <c r="D112" s="901"/>
      <c r="E112" s="901"/>
      <c r="F112" s="901"/>
      <c r="G112" s="901"/>
      <c r="H112" s="901"/>
      <c r="I112" s="901"/>
      <c r="J112" s="901"/>
      <c r="K112" s="901"/>
      <c r="L112" s="901"/>
      <c r="M112" s="901"/>
      <c r="N112" s="901"/>
      <c r="O112" s="901"/>
      <c r="P112" s="901"/>
      <c r="Q112" s="901"/>
      <c r="R112" s="907"/>
      <c r="S112" s="908"/>
      <c r="T112" s="901"/>
      <c r="U112" s="901"/>
      <c r="V112" s="901"/>
      <c r="W112" s="901"/>
      <c r="X112" s="901"/>
      <c r="Y112" s="901"/>
      <c r="Z112" s="901"/>
      <c r="AA112" s="901"/>
      <c r="AB112" s="901"/>
      <c r="AC112" s="901"/>
    </row>
    <row r="113" spans="1:29" x14ac:dyDescent="0.25">
      <c r="A113" s="901"/>
      <c r="B113" s="901"/>
      <c r="C113" s="901"/>
      <c r="D113" s="901"/>
      <c r="E113" s="901"/>
      <c r="F113" s="901"/>
      <c r="G113" s="901"/>
      <c r="H113" s="901"/>
      <c r="I113" s="901"/>
      <c r="J113" s="901"/>
      <c r="K113" s="901"/>
      <c r="L113" s="901"/>
      <c r="M113" s="901"/>
      <c r="N113" s="901"/>
      <c r="O113" s="901"/>
      <c r="P113" s="901"/>
      <c r="Q113" s="901"/>
      <c r="R113" s="907"/>
      <c r="S113" s="908"/>
      <c r="T113" s="901"/>
      <c r="U113" s="901"/>
      <c r="V113" s="901"/>
      <c r="W113" s="901"/>
      <c r="X113" s="901"/>
      <c r="Y113" s="901"/>
      <c r="Z113" s="901"/>
      <c r="AA113" s="901"/>
      <c r="AB113" s="901"/>
      <c r="AC113" s="901"/>
    </row>
    <row r="114" spans="1:29" x14ac:dyDescent="0.25">
      <c r="A114" s="901"/>
      <c r="B114" s="901"/>
      <c r="C114" s="901"/>
      <c r="D114" s="901"/>
      <c r="E114" s="901"/>
      <c r="F114" s="901"/>
      <c r="G114" s="901"/>
      <c r="H114" s="901"/>
      <c r="I114" s="901"/>
      <c r="J114" s="901"/>
      <c r="K114" s="901"/>
      <c r="L114" s="901"/>
      <c r="M114" s="901"/>
      <c r="N114" s="901"/>
      <c r="O114" s="901"/>
      <c r="P114" s="901"/>
      <c r="Q114" s="901"/>
      <c r="R114" s="907"/>
      <c r="S114" s="908"/>
      <c r="T114" s="901"/>
      <c r="U114" s="901"/>
      <c r="V114" s="901"/>
      <c r="W114" s="901"/>
      <c r="X114" s="901"/>
      <c r="Y114" s="901"/>
      <c r="Z114" s="901"/>
      <c r="AA114" s="901"/>
      <c r="AB114" s="901"/>
      <c r="AC114" s="901"/>
    </row>
    <row r="115" spans="1:29" x14ac:dyDescent="0.25">
      <c r="A115" s="901"/>
      <c r="B115" s="901"/>
      <c r="C115" s="901"/>
      <c r="D115" s="901"/>
      <c r="E115" s="901"/>
      <c r="F115" s="901"/>
      <c r="G115" s="901"/>
      <c r="H115" s="901"/>
      <c r="I115" s="901"/>
      <c r="J115" s="901"/>
      <c r="K115" s="901"/>
      <c r="L115" s="901"/>
      <c r="M115" s="901"/>
      <c r="N115" s="901"/>
      <c r="O115" s="901"/>
      <c r="P115" s="901"/>
      <c r="Q115" s="901"/>
      <c r="R115" s="907"/>
      <c r="S115" s="908"/>
      <c r="T115" s="901"/>
      <c r="U115" s="901"/>
      <c r="V115" s="901"/>
      <c r="W115" s="901"/>
      <c r="X115" s="901"/>
      <c r="Y115" s="901"/>
      <c r="Z115" s="901"/>
      <c r="AA115" s="901"/>
      <c r="AB115" s="901"/>
      <c r="AC115" s="901"/>
    </row>
    <row r="116" spans="1:29" x14ac:dyDescent="0.25">
      <c r="A116" s="901"/>
      <c r="B116" s="901"/>
      <c r="C116" s="901"/>
      <c r="D116" s="901"/>
      <c r="E116" s="901"/>
      <c r="F116" s="901"/>
      <c r="G116" s="901"/>
      <c r="H116" s="901"/>
      <c r="I116" s="901"/>
      <c r="J116" s="901"/>
      <c r="K116" s="901"/>
      <c r="L116" s="901"/>
      <c r="M116" s="901"/>
      <c r="N116" s="901"/>
      <c r="O116" s="901"/>
      <c r="P116" s="901"/>
      <c r="Q116" s="901"/>
      <c r="R116" s="907"/>
      <c r="S116" s="908"/>
      <c r="T116" s="901"/>
      <c r="U116" s="901"/>
      <c r="V116" s="901"/>
      <c r="W116" s="901"/>
      <c r="X116" s="901"/>
      <c r="Y116" s="901"/>
      <c r="Z116" s="901"/>
      <c r="AA116" s="901"/>
      <c r="AB116" s="901"/>
      <c r="AC116" s="901"/>
    </row>
    <row r="117" spans="1:29" x14ac:dyDescent="0.25">
      <c r="A117" s="901"/>
      <c r="B117" s="901"/>
      <c r="C117" s="901"/>
      <c r="D117" s="901"/>
      <c r="E117" s="901"/>
      <c r="F117" s="901"/>
      <c r="G117" s="901"/>
      <c r="H117" s="901"/>
      <c r="I117" s="901"/>
      <c r="J117" s="901"/>
      <c r="K117" s="901"/>
      <c r="L117" s="901"/>
      <c r="M117" s="901"/>
      <c r="N117" s="901"/>
      <c r="O117" s="901"/>
      <c r="P117" s="901"/>
      <c r="Q117" s="901"/>
      <c r="R117" s="907"/>
      <c r="S117" s="908"/>
      <c r="T117" s="901"/>
      <c r="U117" s="901"/>
      <c r="V117" s="901"/>
      <c r="W117" s="901"/>
      <c r="X117" s="901"/>
      <c r="Y117" s="901"/>
      <c r="Z117" s="901"/>
      <c r="AA117" s="901"/>
      <c r="AB117" s="901"/>
      <c r="AC117" s="901"/>
    </row>
    <row r="118" spans="1:29" x14ac:dyDescent="0.25">
      <c r="A118" s="901"/>
      <c r="B118" s="901"/>
      <c r="C118" s="901"/>
      <c r="D118" s="901"/>
      <c r="E118" s="901"/>
      <c r="F118" s="901"/>
      <c r="G118" s="901"/>
      <c r="H118" s="901"/>
      <c r="I118" s="901"/>
      <c r="J118" s="901"/>
      <c r="K118" s="901"/>
      <c r="L118" s="901"/>
      <c r="M118" s="901"/>
      <c r="N118" s="901"/>
      <c r="O118" s="901"/>
      <c r="P118" s="901"/>
      <c r="Q118" s="901"/>
      <c r="R118" s="907"/>
      <c r="S118" s="908"/>
      <c r="T118" s="901"/>
      <c r="U118" s="901"/>
      <c r="V118" s="901"/>
      <c r="W118" s="901"/>
      <c r="X118" s="901"/>
      <c r="Y118" s="901"/>
      <c r="Z118" s="901"/>
      <c r="AA118" s="901"/>
      <c r="AB118" s="901"/>
      <c r="AC118" s="901"/>
    </row>
    <row r="119" spans="1:29" x14ac:dyDescent="0.25">
      <c r="A119" s="901"/>
      <c r="B119" s="901"/>
      <c r="C119" s="901"/>
      <c r="D119" s="901"/>
      <c r="E119" s="901"/>
      <c r="F119" s="901"/>
      <c r="G119" s="901"/>
      <c r="H119" s="901"/>
      <c r="I119" s="901"/>
      <c r="J119" s="901"/>
      <c r="K119" s="901"/>
      <c r="L119" s="901"/>
      <c r="M119" s="901"/>
      <c r="N119" s="901"/>
      <c r="O119" s="901"/>
      <c r="P119" s="901"/>
      <c r="Q119" s="901"/>
      <c r="R119" s="907"/>
      <c r="S119" s="908"/>
      <c r="T119" s="901"/>
      <c r="U119" s="901"/>
      <c r="V119" s="901"/>
      <c r="W119" s="901"/>
      <c r="X119" s="901"/>
      <c r="Y119" s="901"/>
      <c r="Z119" s="901"/>
      <c r="AA119" s="901"/>
      <c r="AB119" s="901"/>
      <c r="AC119" s="901"/>
    </row>
    <row r="120" spans="1:29" x14ac:dyDescent="0.25">
      <c r="A120" s="901"/>
      <c r="B120" s="901"/>
      <c r="C120" s="901"/>
      <c r="D120" s="901"/>
      <c r="E120" s="901"/>
      <c r="F120" s="901"/>
      <c r="G120" s="901"/>
      <c r="H120" s="901"/>
      <c r="I120" s="901"/>
      <c r="J120" s="901"/>
      <c r="K120" s="901"/>
      <c r="L120" s="901"/>
      <c r="M120" s="901"/>
      <c r="N120" s="901"/>
      <c r="O120" s="901"/>
      <c r="P120" s="901"/>
      <c r="Q120" s="901"/>
      <c r="R120" s="907"/>
      <c r="S120" s="908"/>
      <c r="T120" s="901"/>
      <c r="U120" s="901"/>
      <c r="V120" s="901"/>
      <c r="W120" s="901"/>
      <c r="X120" s="901"/>
      <c r="Y120" s="901"/>
      <c r="Z120" s="901"/>
      <c r="AA120" s="901"/>
      <c r="AB120" s="901"/>
      <c r="AC120" s="901"/>
    </row>
    <row r="121" spans="1:29" x14ac:dyDescent="0.25">
      <c r="A121" s="901"/>
      <c r="B121" s="901"/>
      <c r="C121" s="901"/>
      <c r="D121" s="901"/>
      <c r="E121" s="901"/>
      <c r="F121" s="901"/>
      <c r="G121" s="901"/>
      <c r="H121" s="901"/>
      <c r="I121" s="901"/>
      <c r="J121" s="901"/>
      <c r="K121" s="901"/>
      <c r="L121" s="901"/>
      <c r="M121" s="901"/>
      <c r="N121" s="901"/>
      <c r="O121" s="901"/>
      <c r="P121" s="901"/>
      <c r="Q121" s="901"/>
      <c r="R121" s="907"/>
      <c r="S121" s="908"/>
      <c r="T121" s="901"/>
      <c r="U121" s="901"/>
      <c r="V121" s="901"/>
      <c r="W121" s="901"/>
      <c r="X121" s="901"/>
      <c r="Y121" s="901"/>
      <c r="Z121" s="901"/>
      <c r="AA121" s="901"/>
      <c r="AB121" s="901"/>
      <c r="AC121" s="901"/>
    </row>
    <row r="122" spans="1:29" x14ac:dyDescent="0.25">
      <c r="A122" s="901"/>
      <c r="B122" s="901"/>
      <c r="C122" s="901"/>
      <c r="D122" s="901"/>
      <c r="E122" s="901"/>
      <c r="F122" s="901"/>
      <c r="G122" s="901"/>
      <c r="H122" s="901"/>
      <c r="I122" s="901"/>
      <c r="J122" s="901"/>
      <c r="K122" s="901"/>
      <c r="L122" s="901"/>
      <c r="M122" s="901"/>
      <c r="N122" s="901"/>
      <c r="O122" s="901"/>
      <c r="P122" s="901"/>
      <c r="Q122" s="901"/>
      <c r="R122" s="907"/>
      <c r="S122" s="908"/>
      <c r="T122" s="901"/>
      <c r="U122" s="901"/>
      <c r="V122" s="901"/>
      <c r="W122" s="901"/>
      <c r="X122" s="901"/>
      <c r="Y122" s="901"/>
      <c r="Z122" s="901"/>
      <c r="AA122" s="901"/>
      <c r="AB122" s="901"/>
      <c r="AC122" s="901"/>
    </row>
    <row r="123" spans="1:29" x14ac:dyDescent="0.25">
      <c r="A123" s="901"/>
      <c r="B123" s="901"/>
      <c r="C123" s="901"/>
      <c r="D123" s="901"/>
      <c r="E123" s="901"/>
      <c r="F123" s="901"/>
      <c r="G123" s="901"/>
      <c r="H123" s="901"/>
      <c r="I123" s="901"/>
      <c r="J123" s="901"/>
      <c r="K123" s="901"/>
      <c r="L123" s="901"/>
      <c r="M123" s="901"/>
      <c r="N123" s="901"/>
      <c r="O123" s="901"/>
      <c r="P123" s="901"/>
      <c r="Q123" s="901"/>
      <c r="R123" s="907"/>
      <c r="S123" s="908"/>
      <c r="T123" s="901"/>
      <c r="U123" s="901"/>
      <c r="V123" s="901"/>
      <c r="W123" s="901"/>
      <c r="X123" s="901"/>
      <c r="Y123" s="901"/>
      <c r="Z123" s="901"/>
      <c r="AA123" s="901"/>
      <c r="AB123" s="901"/>
      <c r="AC123" s="901"/>
    </row>
    <row r="124" spans="1:29" x14ac:dyDescent="0.25">
      <c r="A124" s="901"/>
      <c r="B124" s="901"/>
      <c r="C124" s="901"/>
      <c r="D124" s="901"/>
      <c r="E124" s="901"/>
      <c r="F124" s="901"/>
      <c r="G124" s="901"/>
      <c r="H124" s="901"/>
      <c r="I124" s="901"/>
      <c r="J124" s="901"/>
      <c r="K124" s="901"/>
      <c r="L124" s="901"/>
      <c r="M124" s="901"/>
      <c r="N124" s="901"/>
      <c r="O124" s="901"/>
      <c r="P124" s="901"/>
      <c r="Q124" s="901"/>
      <c r="R124" s="907"/>
      <c r="S124" s="908"/>
      <c r="T124" s="901"/>
      <c r="U124" s="901"/>
      <c r="V124" s="901"/>
      <c r="W124" s="901"/>
      <c r="X124" s="901"/>
      <c r="Y124" s="901"/>
      <c r="Z124" s="901"/>
      <c r="AA124" s="901"/>
      <c r="AB124" s="901"/>
      <c r="AC124" s="901"/>
    </row>
    <row r="125" spans="1:29" x14ac:dyDescent="0.25">
      <c r="A125" s="901"/>
      <c r="B125" s="901"/>
      <c r="C125" s="901"/>
      <c r="D125" s="901"/>
      <c r="E125" s="901"/>
      <c r="F125" s="901"/>
      <c r="G125" s="901"/>
      <c r="H125" s="901"/>
      <c r="I125" s="901"/>
      <c r="J125" s="901"/>
      <c r="K125" s="901"/>
      <c r="L125" s="901"/>
      <c r="M125" s="901"/>
      <c r="N125" s="901"/>
      <c r="O125" s="901"/>
      <c r="P125" s="901"/>
      <c r="Q125" s="901"/>
      <c r="R125" s="907"/>
      <c r="S125" s="908"/>
      <c r="T125" s="901"/>
      <c r="U125" s="901"/>
      <c r="V125" s="901"/>
      <c r="W125" s="901"/>
      <c r="X125" s="901"/>
      <c r="Y125" s="901"/>
      <c r="Z125" s="901"/>
      <c r="AA125" s="901"/>
      <c r="AB125" s="901"/>
      <c r="AC125" s="901"/>
    </row>
    <row r="126" spans="1:29" x14ac:dyDescent="0.25">
      <c r="A126" s="901"/>
      <c r="B126" s="901"/>
      <c r="C126" s="901"/>
      <c r="D126" s="901"/>
      <c r="E126" s="901"/>
      <c r="F126" s="901"/>
      <c r="G126" s="901"/>
      <c r="H126" s="901"/>
      <c r="I126" s="901"/>
      <c r="J126" s="901"/>
      <c r="K126" s="901"/>
      <c r="L126" s="901"/>
      <c r="M126" s="901"/>
      <c r="N126" s="901"/>
      <c r="O126" s="901"/>
      <c r="P126" s="901"/>
      <c r="Q126" s="901"/>
      <c r="R126" s="907"/>
      <c r="S126" s="908"/>
      <c r="T126" s="901"/>
      <c r="U126" s="901"/>
      <c r="V126" s="901"/>
      <c r="W126" s="901"/>
      <c r="X126" s="901"/>
      <c r="Y126" s="901"/>
      <c r="Z126" s="901"/>
      <c r="AA126" s="901"/>
      <c r="AB126" s="901"/>
      <c r="AC126" s="901"/>
    </row>
    <row r="127" spans="1:29" x14ac:dyDescent="0.25">
      <c r="A127" s="901"/>
      <c r="B127" s="901"/>
      <c r="C127" s="901"/>
      <c r="D127" s="901"/>
      <c r="E127" s="901"/>
      <c r="F127" s="901"/>
      <c r="G127" s="901"/>
      <c r="H127" s="901"/>
      <c r="I127" s="901"/>
      <c r="J127" s="901"/>
      <c r="K127" s="901"/>
      <c r="L127" s="901"/>
      <c r="M127" s="901"/>
      <c r="N127" s="901"/>
      <c r="O127" s="901"/>
      <c r="P127" s="901"/>
      <c r="Q127" s="901"/>
      <c r="R127" s="907"/>
      <c r="S127" s="908"/>
      <c r="T127" s="901"/>
      <c r="U127" s="901"/>
      <c r="V127" s="901"/>
      <c r="W127" s="901"/>
      <c r="X127" s="901"/>
      <c r="Y127" s="901"/>
      <c r="Z127" s="901"/>
      <c r="AA127" s="901"/>
      <c r="AB127" s="901"/>
      <c r="AC127" s="901"/>
    </row>
    <row r="128" spans="1:29" x14ac:dyDescent="0.25">
      <c r="A128" s="901"/>
      <c r="B128" s="901"/>
      <c r="C128" s="901"/>
      <c r="D128" s="901"/>
      <c r="E128" s="901"/>
      <c r="F128" s="901"/>
      <c r="G128" s="901"/>
      <c r="H128" s="901"/>
      <c r="I128" s="901"/>
      <c r="J128" s="901"/>
      <c r="K128" s="901"/>
      <c r="L128" s="901"/>
      <c r="M128" s="901"/>
      <c r="N128" s="901"/>
      <c r="O128" s="901"/>
      <c r="P128" s="901"/>
      <c r="Q128" s="901"/>
      <c r="R128" s="907"/>
      <c r="S128" s="908"/>
      <c r="T128" s="901"/>
      <c r="U128" s="901"/>
      <c r="V128" s="901"/>
      <c r="W128" s="901"/>
      <c r="X128" s="901"/>
      <c r="Y128" s="901"/>
      <c r="Z128" s="901"/>
      <c r="AA128" s="901"/>
      <c r="AB128" s="901"/>
      <c r="AC128" s="901"/>
    </row>
    <row r="129" spans="1:29" x14ac:dyDescent="0.25">
      <c r="A129" s="901"/>
      <c r="B129" s="901"/>
      <c r="C129" s="901"/>
      <c r="D129" s="901"/>
      <c r="E129" s="901"/>
      <c r="F129" s="901"/>
      <c r="G129" s="901"/>
      <c r="H129" s="901"/>
      <c r="I129" s="901"/>
      <c r="J129" s="901"/>
      <c r="K129" s="901"/>
      <c r="L129" s="901"/>
      <c r="M129" s="901"/>
      <c r="N129" s="901"/>
      <c r="O129" s="901"/>
      <c r="P129" s="901"/>
      <c r="Q129" s="901"/>
      <c r="R129" s="907"/>
      <c r="S129" s="908"/>
      <c r="T129" s="901"/>
      <c r="U129" s="901"/>
      <c r="V129" s="901"/>
      <c r="W129" s="901"/>
      <c r="X129" s="901"/>
      <c r="Y129" s="901"/>
      <c r="Z129" s="901"/>
      <c r="AA129" s="901"/>
      <c r="AB129" s="901"/>
      <c r="AC129" s="901"/>
    </row>
    <row r="130" spans="1:29" x14ac:dyDescent="0.25">
      <c r="A130" s="901"/>
      <c r="B130" s="901"/>
      <c r="C130" s="901"/>
      <c r="D130" s="901"/>
      <c r="E130" s="901"/>
      <c r="F130" s="901"/>
      <c r="G130" s="901"/>
      <c r="H130" s="901"/>
      <c r="I130" s="901"/>
      <c r="J130" s="901"/>
      <c r="K130" s="901"/>
      <c r="L130" s="901"/>
      <c r="M130" s="901"/>
      <c r="N130" s="901"/>
      <c r="O130" s="901"/>
      <c r="P130" s="901"/>
      <c r="Q130" s="901"/>
      <c r="R130" s="907"/>
      <c r="S130" s="908"/>
      <c r="T130" s="901"/>
      <c r="U130" s="901"/>
      <c r="V130" s="901"/>
      <c r="W130" s="901"/>
      <c r="X130" s="901"/>
      <c r="Y130" s="901"/>
      <c r="Z130" s="901"/>
      <c r="AA130" s="901"/>
      <c r="AB130" s="901"/>
      <c r="AC130" s="901"/>
    </row>
    <row r="131" spans="1:29" x14ac:dyDescent="0.25">
      <c r="A131" s="901"/>
      <c r="B131" s="901"/>
      <c r="C131" s="901"/>
      <c r="D131" s="901"/>
      <c r="E131" s="901"/>
      <c r="F131" s="901"/>
      <c r="G131" s="901"/>
      <c r="H131" s="901"/>
      <c r="I131" s="901"/>
      <c r="J131" s="901"/>
      <c r="K131" s="901"/>
      <c r="L131" s="901"/>
      <c r="M131" s="901"/>
      <c r="N131" s="901"/>
      <c r="O131" s="901"/>
      <c r="P131" s="901"/>
      <c r="Q131" s="901"/>
      <c r="R131" s="907"/>
      <c r="S131" s="908"/>
      <c r="T131" s="901"/>
      <c r="U131" s="901"/>
      <c r="V131" s="901"/>
      <c r="W131" s="901"/>
      <c r="X131" s="901"/>
      <c r="Y131" s="901"/>
      <c r="Z131" s="901"/>
      <c r="AA131" s="901"/>
      <c r="AB131" s="901"/>
      <c r="AC131" s="901"/>
    </row>
    <row r="132" spans="1:29" x14ac:dyDescent="0.25">
      <c r="A132" s="901"/>
      <c r="B132" s="901"/>
      <c r="C132" s="901"/>
      <c r="D132" s="901"/>
      <c r="E132" s="901"/>
      <c r="F132" s="901"/>
      <c r="G132" s="901"/>
      <c r="H132" s="901"/>
      <c r="I132" s="901"/>
      <c r="J132" s="901"/>
      <c r="K132" s="901"/>
      <c r="L132" s="901"/>
      <c r="M132" s="901"/>
      <c r="N132" s="901"/>
      <c r="O132" s="901"/>
      <c r="P132" s="901"/>
      <c r="Q132" s="901"/>
      <c r="R132" s="907"/>
      <c r="S132" s="908"/>
      <c r="T132" s="901"/>
      <c r="U132" s="901"/>
      <c r="V132" s="901"/>
      <c r="W132" s="901"/>
      <c r="X132" s="901"/>
      <c r="Y132" s="901"/>
      <c r="Z132" s="901"/>
      <c r="AA132" s="901"/>
      <c r="AB132" s="901"/>
      <c r="AC132" s="901"/>
    </row>
    <row r="133" spans="1:29" x14ac:dyDescent="0.25">
      <c r="A133" s="901"/>
      <c r="B133" s="901"/>
      <c r="C133" s="901"/>
      <c r="D133" s="901"/>
      <c r="E133" s="901"/>
      <c r="F133" s="901"/>
      <c r="G133" s="901"/>
      <c r="H133" s="901"/>
      <c r="I133" s="901"/>
      <c r="J133" s="901"/>
      <c r="K133" s="901"/>
      <c r="L133" s="901"/>
      <c r="M133" s="901"/>
      <c r="N133" s="901"/>
      <c r="O133" s="901"/>
      <c r="P133" s="901"/>
      <c r="Q133" s="901"/>
      <c r="R133" s="907"/>
      <c r="S133" s="908"/>
      <c r="T133" s="901"/>
      <c r="U133" s="901"/>
      <c r="V133" s="901"/>
      <c r="W133" s="901"/>
      <c r="X133" s="901"/>
      <c r="Y133" s="901"/>
      <c r="Z133" s="901"/>
      <c r="AA133" s="901"/>
      <c r="AB133" s="901"/>
      <c r="AC133" s="901"/>
    </row>
    <row r="134" spans="1:29" x14ac:dyDescent="0.25">
      <c r="A134" s="901"/>
      <c r="B134" s="901"/>
      <c r="C134" s="901"/>
      <c r="D134" s="901"/>
      <c r="E134" s="901"/>
      <c r="F134" s="901"/>
      <c r="G134" s="901"/>
      <c r="H134" s="901"/>
      <c r="I134" s="901"/>
      <c r="J134" s="901"/>
      <c r="K134" s="901"/>
      <c r="L134" s="901"/>
      <c r="M134" s="901"/>
      <c r="N134" s="901"/>
      <c r="O134" s="901"/>
      <c r="P134" s="901"/>
      <c r="Q134" s="901"/>
      <c r="R134" s="907"/>
      <c r="S134" s="908"/>
      <c r="T134" s="901"/>
      <c r="U134" s="901"/>
      <c r="V134" s="901"/>
      <c r="W134" s="901"/>
      <c r="X134" s="901"/>
      <c r="Y134" s="901"/>
      <c r="Z134" s="901"/>
      <c r="AA134" s="901"/>
      <c r="AB134" s="901"/>
      <c r="AC134" s="901"/>
    </row>
    <row r="135" spans="1:29" x14ac:dyDescent="0.25">
      <c r="A135" s="901"/>
      <c r="B135" s="901"/>
      <c r="C135" s="901"/>
      <c r="D135" s="901"/>
      <c r="E135" s="901"/>
      <c r="F135" s="901"/>
      <c r="G135" s="901"/>
      <c r="H135" s="901"/>
      <c r="I135" s="901"/>
      <c r="J135" s="901"/>
      <c r="K135" s="901"/>
      <c r="L135" s="901"/>
      <c r="M135" s="901"/>
      <c r="N135" s="901"/>
      <c r="O135" s="901"/>
      <c r="P135" s="901"/>
      <c r="Q135" s="901"/>
      <c r="R135" s="907"/>
      <c r="S135" s="908"/>
      <c r="T135" s="901"/>
      <c r="U135" s="901"/>
      <c r="V135" s="901"/>
      <c r="W135" s="901"/>
      <c r="X135" s="901"/>
      <c r="Y135" s="901"/>
      <c r="Z135" s="901"/>
      <c r="AA135" s="901"/>
      <c r="AB135" s="901"/>
      <c r="AC135" s="901"/>
    </row>
    <row r="136" spans="1:29" x14ac:dyDescent="0.25">
      <c r="A136" s="901"/>
      <c r="B136" s="901"/>
      <c r="C136" s="901"/>
      <c r="D136" s="901"/>
      <c r="E136" s="901"/>
      <c r="F136" s="901"/>
      <c r="G136" s="901"/>
      <c r="H136" s="901"/>
      <c r="I136" s="901"/>
      <c r="J136" s="901"/>
      <c r="K136" s="901"/>
      <c r="L136" s="901"/>
      <c r="M136" s="901"/>
      <c r="N136" s="901"/>
      <c r="O136" s="901"/>
      <c r="P136" s="901"/>
      <c r="Q136" s="901"/>
      <c r="R136" s="907"/>
      <c r="S136" s="908"/>
      <c r="T136" s="901"/>
      <c r="U136" s="901"/>
      <c r="V136" s="901"/>
      <c r="W136" s="901"/>
      <c r="X136" s="901"/>
      <c r="Y136" s="901"/>
      <c r="Z136" s="901"/>
      <c r="AA136" s="901"/>
      <c r="AB136" s="901"/>
      <c r="AC136" s="901"/>
    </row>
    <row r="137" spans="1:29" x14ac:dyDescent="0.25">
      <c r="A137" s="901"/>
      <c r="B137" s="901"/>
      <c r="C137" s="901"/>
      <c r="D137" s="901"/>
      <c r="E137" s="901"/>
      <c r="F137" s="901"/>
      <c r="G137" s="901"/>
      <c r="H137" s="901"/>
      <c r="I137" s="901"/>
      <c r="J137" s="901"/>
      <c r="K137" s="901"/>
      <c r="L137" s="901"/>
      <c r="M137" s="901"/>
      <c r="N137" s="901"/>
      <c r="O137" s="901"/>
      <c r="P137" s="901"/>
      <c r="Q137" s="901"/>
      <c r="R137" s="907"/>
      <c r="S137" s="908"/>
      <c r="T137" s="901"/>
      <c r="U137" s="901"/>
      <c r="V137" s="901"/>
      <c r="W137" s="901"/>
      <c r="X137" s="901"/>
      <c r="Y137" s="901"/>
      <c r="Z137" s="901"/>
      <c r="AA137" s="901"/>
      <c r="AB137" s="901"/>
      <c r="AC137" s="901"/>
    </row>
    <row r="138" spans="1:29" x14ac:dyDescent="0.25">
      <c r="A138" s="901"/>
      <c r="B138" s="901"/>
      <c r="C138" s="901"/>
      <c r="D138" s="901"/>
      <c r="E138" s="901"/>
      <c r="F138" s="901"/>
      <c r="G138" s="901"/>
      <c r="H138" s="901"/>
      <c r="I138" s="901"/>
      <c r="J138" s="901"/>
      <c r="K138" s="901"/>
      <c r="L138" s="901"/>
      <c r="M138" s="901"/>
      <c r="N138" s="901"/>
      <c r="O138" s="901"/>
      <c r="P138" s="901"/>
      <c r="Q138" s="901"/>
      <c r="R138" s="907"/>
      <c r="S138" s="908"/>
      <c r="T138" s="901"/>
      <c r="U138" s="901"/>
      <c r="V138" s="901"/>
      <c r="W138" s="901"/>
      <c r="X138" s="901"/>
      <c r="Y138" s="901"/>
      <c r="Z138" s="901"/>
      <c r="AA138" s="901"/>
      <c r="AB138" s="901"/>
      <c r="AC138" s="901"/>
    </row>
    <row r="139" spans="1:29" x14ac:dyDescent="0.25">
      <c r="A139" s="901"/>
      <c r="B139" s="901"/>
      <c r="C139" s="901"/>
      <c r="D139" s="901"/>
      <c r="E139" s="901"/>
      <c r="F139" s="901"/>
      <c r="G139" s="901"/>
      <c r="H139" s="901"/>
      <c r="I139" s="901"/>
      <c r="J139" s="901"/>
      <c r="K139" s="901"/>
      <c r="L139" s="901"/>
      <c r="M139" s="901"/>
      <c r="N139" s="901"/>
      <c r="O139" s="901"/>
      <c r="P139" s="901"/>
      <c r="Q139" s="901"/>
      <c r="R139" s="907"/>
      <c r="S139" s="908"/>
      <c r="T139" s="901"/>
      <c r="U139" s="901"/>
      <c r="V139" s="901"/>
      <c r="W139" s="901"/>
      <c r="X139" s="901"/>
      <c r="Y139" s="901"/>
      <c r="Z139" s="901"/>
      <c r="AA139" s="901"/>
      <c r="AB139" s="901"/>
      <c r="AC139" s="901"/>
    </row>
    <row r="140" spans="1:29" x14ac:dyDescent="0.25">
      <c r="A140" s="901"/>
      <c r="B140" s="901"/>
      <c r="C140" s="901"/>
      <c r="D140" s="901"/>
      <c r="E140" s="901"/>
      <c r="F140" s="901"/>
      <c r="G140" s="901"/>
      <c r="H140" s="901"/>
      <c r="I140" s="901"/>
      <c r="J140" s="901"/>
      <c r="K140" s="901"/>
      <c r="L140" s="901"/>
      <c r="M140" s="901"/>
      <c r="N140" s="901"/>
      <c r="O140" s="901"/>
      <c r="P140" s="901"/>
      <c r="Q140" s="901"/>
      <c r="R140" s="907"/>
      <c r="S140" s="908"/>
      <c r="T140" s="901"/>
      <c r="U140" s="901"/>
      <c r="V140" s="901"/>
      <c r="W140" s="901"/>
      <c r="X140" s="901"/>
      <c r="Y140" s="901"/>
      <c r="Z140" s="901"/>
      <c r="AA140" s="901"/>
      <c r="AB140" s="901"/>
      <c r="AC140" s="901"/>
    </row>
    <row r="141" spans="1:29" x14ac:dyDescent="0.25">
      <c r="A141" s="901"/>
      <c r="B141" s="901"/>
      <c r="C141" s="901"/>
      <c r="D141" s="901"/>
      <c r="E141" s="901"/>
      <c r="F141" s="901"/>
      <c r="G141" s="901"/>
      <c r="H141" s="901"/>
      <c r="I141" s="901"/>
      <c r="J141" s="901"/>
      <c r="K141" s="901"/>
      <c r="L141" s="901"/>
      <c r="M141" s="901"/>
      <c r="N141" s="901"/>
      <c r="O141" s="901"/>
      <c r="P141" s="901"/>
      <c r="Q141" s="901"/>
      <c r="R141" s="907"/>
      <c r="S141" s="908"/>
      <c r="T141" s="901"/>
      <c r="U141" s="901"/>
      <c r="V141" s="901"/>
      <c r="W141" s="901"/>
      <c r="X141" s="901"/>
      <c r="Y141" s="901"/>
      <c r="Z141" s="901"/>
      <c r="AA141" s="901"/>
      <c r="AB141" s="901"/>
      <c r="AC141" s="901"/>
    </row>
    <row r="142" spans="1:29" x14ac:dyDescent="0.25">
      <c r="A142" s="901"/>
      <c r="B142" s="901"/>
      <c r="C142" s="901"/>
      <c r="D142" s="901"/>
      <c r="E142" s="901"/>
      <c r="F142" s="901"/>
      <c r="G142" s="901"/>
      <c r="H142" s="901"/>
      <c r="I142" s="901"/>
      <c r="J142" s="901"/>
      <c r="K142" s="901"/>
      <c r="L142" s="901"/>
      <c r="M142" s="901"/>
      <c r="N142" s="901"/>
      <c r="O142" s="901"/>
      <c r="P142" s="901"/>
      <c r="Q142" s="901"/>
      <c r="R142" s="907"/>
      <c r="S142" s="908"/>
      <c r="T142" s="901"/>
      <c r="U142" s="901"/>
      <c r="V142" s="901"/>
      <c r="W142" s="901"/>
      <c r="X142" s="901"/>
      <c r="Y142" s="901"/>
      <c r="Z142" s="901"/>
      <c r="AA142" s="901"/>
      <c r="AB142" s="901"/>
      <c r="AC142" s="901"/>
    </row>
    <row r="143" spans="1:29" x14ac:dyDescent="0.25">
      <c r="A143" s="901"/>
      <c r="B143" s="901"/>
      <c r="C143" s="901"/>
      <c r="D143" s="901"/>
      <c r="E143" s="901"/>
      <c r="F143" s="901"/>
      <c r="G143" s="901"/>
      <c r="H143" s="901"/>
      <c r="I143" s="901"/>
      <c r="J143" s="901"/>
      <c r="K143" s="901"/>
      <c r="L143" s="901"/>
      <c r="M143" s="901"/>
      <c r="N143" s="901"/>
      <c r="O143" s="901"/>
      <c r="P143" s="901"/>
      <c r="Q143" s="901"/>
      <c r="R143" s="907"/>
      <c r="S143" s="908"/>
      <c r="T143" s="901"/>
      <c r="U143" s="901"/>
      <c r="V143" s="901"/>
      <c r="W143" s="901"/>
      <c r="X143" s="901"/>
      <c r="Y143" s="901"/>
      <c r="Z143" s="901"/>
      <c r="AA143" s="901"/>
      <c r="AB143" s="901"/>
      <c r="AC143" s="901"/>
    </row>
    <row r="144" spans="1:29" x14ac:dyDescent="0.25">
      <c r="A144" s="901"/>
      <c r="B144" s="901"/>
      <c r="C144" s="901"/>
      <c r="D144" s="901"/>
      <c r="E144" s="901"/>
      <c r="F144" s="901"/>
      <c r="G144" s="901"/>
      <c r="H144" s="901"/>
      <c r="I144" s="901"/>
      <c r="J144" s="901"/>
      <c r="K144" s="901"/>
      <c r="L144" s="901"/>
      <c r="M144" s="901"/>
      <c r="N144" s="901"/>
      <c r="O144" s="901"/>
      <c r="P144" s="901"/>
      <c r="Q144" s="901"/>
      <c r="R144" s="907"/>
      <c r="S144" s="908"/>
      <c r="T144" s="901"/>
      <c r="U144" s="901"/>
      <c r="V144" s="901"/>
      <c r="W144" s="901"/>
      <c r="X144" s="901"/>
      <c r="Y144" s="901"/>
      <c r="Z144" s="901"/>
      <c r="AA144" s="901"/>
      <c r="AB144" s="901"/>
      <c r="AC144" s="901"/>
    </row>
    <row r="145" spans="1:29" x14ac:dyDescent="0.25">
      <c r="A145" s="901"/>
      <c r="B145" s="901"/>
      <c r="C145" s="901"/>
      <c r="D145" s="901"/>
      <c r="E145" s="901"/>
      <c r="F145" s="901"/>
      <c r="G145" s="901"/>
      <c r="H145" s="901"/>
      <c r="I145" s="901"/>
      <c r="J145" s="901"/>
      <c r="K145" s="901"/>
      <c r="L145" s="901"/>
      <c r="M145" s="901"/>
      <c r="N145" s="901"/>
      <c r="O145" s="901"/>
      <c r="P145" s="901"/>
      <c r="Q145" s="901"/>
      <c r="R145" s="907"/>
      <c r="S145" s="908"/>
      <c r="T145" s="901"/>
      <c r="U145" s="901"/>
      <c r="V145" s="901"/>
      <c r="W145" s="901"/>
      <c r="X145" s="901"/>
      <c r="Y145" s="901"/>
      <c r="Z145" s="901"/>
      <c r="AA145" s="901"/>
      <c r="AB145" s="901"/>
      <c r="AC145" s="901"/>
    </row>
    <row r="146" spans="1:29" x14ac:dyDescent="0.25">
      <c r="A146" s="901"/>
      <c r="B146" s="901"/>
      <c r="C146" s="901"/>
      <c r="D146" s="901"/>
      <c r="E146" s="901"/>
      <c r="F146" s="901"/>
      <c r="G146" s="901"/>
      <c r="H146" s="901"/>
      <c r="I146" s="901"/>
      <c r="J146" s="901"/>
      <c r="K146" s="901"/>
      <c r="L146" s="901"/>
      <c r="M146" s="901"/>
      <c r="N146" s="901"/>
      <c r="O146" s="901"/>
      <c r="P146" s="901"/>
      <c r="Q146" s="901"/>
      <c r="R146" s="907"/>
      <c r="S146" s="908"/>
      <c r="T146" s="901"/>
      <c r="U146" s="901"/>
      <c r="V146" s="901"/>
      <c r="W146" s="901"/>
      <c r="X146" s="901"/>
      <c r="Y146" s="901"/>
      <c r="Z146" s="901"/>
      <c r="AA146" s="901"/>
      <c r="AB146" s="901"/>
      <c r="AC146" s="901"/>
    </row>
    <row r="147" spans="1:29" x14ac:dyDescent="0.25">
      <c r="A147" s="901"/>
      <c r="B147" s="901"/>
      <c r="C147" s="901"/>
      <c r="D147" s="901"/>
      <c r="E147" s="901"/>
      <c r="F147" s="901"/>
      <c r="G147" s="901"/>
      <c r="H147" s="901"/>
      <c r="I147" s="901"/>
      <c r="J147" s="901"/>
      <c r="K147" s="901"/>
      <c r="L147" s="901"/>
      <c r="M147" s="901"/>
      <c r="N147" s="901"/>
      <c r="O147" s="901"/>
      <c r="P147" s="901"/>
      <c r="Q147" s="901"/>
      <c r="R147" s="907"/>
      <c r="S147" s="908"/>
      <c r="T147" s="901"/>
      <c r="U147" s="901"/>
      <c r="V147" s="901"/>
      <c r="W147" s="901"/>
      <c r="X147" s="901"/>
      <c r="Y147" s="901"/>
      <c r="Z147" s="901"/>
      <c r="AA147" s="901"/>
      <c r="AB147" s="901"/>
      <c r="AC147" s="901"/>
    </row>
    <row r="148" spans="1:29" x14ac:dyDescent="0.25">
      <c r="A148" s="901"/>
      <c r="B148" s="901"/>
      <c r="C148" s="901"/>
      <c r="D148" s="901"/>
      <c r="E148" s="901"/>
      <c r="F148" s="901"/>
      <c r="G148" s="901"/>
      <c r="H148" s="901"/>
      <c r="I148" s="901"/>
      <c r="J148" s="901"/>
      <c r="K148" s="901"/>
      <c r="L148" s="901"/>
      <c r="M148" s="901"/>
      <c r="N148" s="901"/>
      <c r="O148" s="901"/>
      <c r="P148" s="901"/>
      <c r="Q148" s="901"/>
      <c r="R148" s="907"/>
      <c r="S148" s="908"/>
      <c r="T148" s="901"/>
      <c r="U148" s="901"/>
      <c r="V148" s="901"/>
      <c r="W148" s="901"/>
      <c r="X148" s="901"/>
      <c r="Y148" s="901"/>
      <c r="Z148" s="901"/>
      <c r="AA148" s="901"/>
      <c r="AB148" s="901"/>
      <c r="AC148" s="901"/>
    </row>
    <row r="149" spans="1:29" x14ac:dyDescent="0.25">
      <c r="A149" s="901"/>
      <c r="B149" s="901"/>
      <c r="C149" s="901"/>
      <c r="D149" s="901"/>
      <c r="E149" s="901"/>
      <c r="F149" s="901"/>
      <c r="G149" s="901"/>
      <c r="H149" s="901"/>
      <c r="I149" s="901"/>
      <c r="J149" s="901"/>
      <c r="K149" s="901"/>
      <c r="L149" s="901"/>
      <c r="M149" s="901"/>
      <c r="N149" s="901"/>
      <c r="O149" s="901"/>
      <c r="P149" s="901"/>
      <c r="Q149" s="901"/>
      <c r="R149" s="907"/>
      <c r="S149" s="908"/>
      <c r="T149" s="901"/>
      <c r="U149" s="901"/>
      <c r="V149" s="901"/>
      <c r="W149" s="901"/>
      <c r="X149" s="901"/>
      <c r="Y149" s="901"/>
      <c r="Z149" s="901"/>
      <c r="AA149" s="901"/>
      <c r="AB149" s="901"/>
      <c r="AC149" s="901"/>
    </row>
    <row r="150" spans="1:29" x14ac:dyDescent="0.25">
      <c r="A150" s="901"/>
      <c r="B150" s="901"/>
      <c r="C150" s="901"/>
      <c r="D150" s="901"/>
      <c r="E150" s="901"/>
      <c r="F150" s="901"/>
      <c r="G150" s="901"/>
      <c r="H150" s="901"/>
      <c r="I150" s="901"/>
      <c r="J150" s="901"/>
      <c r="K150" s="901"/>
      <c r="L150" s="901"/>
      <c r="M150" s="901"/>
      <c r="N150" s="901"/>
      <c r="O150" s="901"/>
      <c r="P150" s="901"/>
      <c r="Q150" s="901"/>
      <c r="R150" s="907"/>
      <c r="S150" s="908"/>
      <c r="T150" s="901"/>
      <c r="U150" s="901"/>
      <c r="V150" s="901"/>
      <c r="W150" s="901"/>
      <c r="X150" s="901"/>
      <c r="Y150" s="901"/>
      <c r="Z150" s="901"/>
      <c r="AA150" s="901"/>
      <c r="AB150" s="901"/>
      <c r="AC150" s="901"/>
    </row>
    <row r="151" spans="1:29" x14ac:dyDescent="0.25">
      <c r="A151" s="901"/>
      <c r="B151" s="901"/>
      <c r="C151" s="901"/>
      <c r="D151" s="901"/>
      <c r="E151" s="901"/>
      <c r="F151" s="901"/>
      <c r="G151" s="901"/>
      <c r="H151" s="901"/>
      <c r="I151" s="901"/>
      <c r="J151" s="901"/>
      <c r="K151" s="901"/>
      <c r="L151" s="901"/>
      <c r="M151" s="901"/>
      <c r="N151" s="901"/>
      <c r="O151" s="901"/>
      <c r="P151" s="901"/>
      <c r="Q151" s="901"/>
      <c r="R151" s="907"/>
      <c r="S151" s="908"/>
      <c r="T151" s="901"/>
      <c r="U151" s="901"/>
      <c r="V151" s="901"/>
      <c r="W151" s="901"/>
      <c r="X151" s="901"/>
      <c r="Y151" s="901"/>
      <c r="Z151" s="901"/>
      <c r="AA151" s="901"/>
      <c r="AB151" s="901"/>
      <c r="AC151" s="901"/>
    </row>
    <row r="152" spans="1:29" x14ac:dyDescent="0.25">
      <c r="A152" s="901"/>
      <c r="B152" s="901"/>
      <c r="C152" s="901"/>
      <c r="D152" s="901"/>
      <c r="E152" s="901"/>
      <c r="F152" s="901"/>
      <c r="G152" s="901"/>
      <c r="H152" s="901"/>
      <c r="I152" s="901"/>
      <c r="J152" s="901"/>
      <c r="K152" s="901"/>
      <c r="L152" s="901"/>
      <c r="M152" s="901"/>
      <c r="N152" s="901"/>
      <c r="O152" s="901"/>
      <c r="P152" s="901"/>
      <c r="Q152" s="901"/>
      <c r="R152" s="907"/>
      <c r="S152" s="908"/>
      <c r="T152" s="901"/>
      <c r="U152" s="901"/>
      <c r="V152" s="901"/>
      <c r="W152" s="901"/>
      <c r="X152" s="901"/>
      <c r="Y152" s="901"/>
      <c r="Z152" s="901"/>
      <c r="AA152" s="901"/>
      <c r="AB152" s="901"/>
      <c r="AC152" s="901"/>
    </row>
    <row r="153" spans="1:29" x14ac:dyDescent="0.25">
      <c r="A153" s="901"/>
      <c r="B153" s="901"/>
      <c r="C153" s="901"/>
      <c r="D153" s="901"/>
      <c r="E153" s="901"/>
      <c r="F153" s="901"/>
      <c r="G153" s="901"/>
      <c r="H153" s="901"/>
      <c r="I153" s="901"/>
      <c r="J153" s="901"/>
      <c r="K153" s="901"/>
      <c r="L153" s="901"/>
      <c r="M153" s="901"/>
      <c r="N153" s="901"/>
      <c r="O153" s="901"/>
      <c r="P153" s="901"/>
      <c r="Q153" s="901"/>
      <c r="R153" s="907"/>
      <c r="S153" s="908"/>
      <c r="T153" s="901"/>
      <c r="U153" s="901"/>
      <c r="V153" s="901"/>
      <c r="W153" s="901"/>
      <c r="X153" s="901"/>
      <c r="Y153" s="901"/>
      <c r="Z153" s="901"/>
      <c r="AA153" s="901"/>
      <c r="AB153" s="901"/>
      <c r="AC153" s="901"/>
    </row>
    <row r="154" spans="1:29" x14ac:dyDescent="0.25">
      <c r="A154" s="901"/>
      <c r="B154" s="901"/>
      <c r="C154" s="901"/>
      <c r="D154" s="901"/>
      <c r="E154" s="901"/>
      <c r="F154" s="901"/>
      <c r="G154" s="901"/>
      <c r="H154" s="901"/>
      <c r="I154" s="901"/>
      <c r="J154" s="901"/>
      <c r="K154" s="901"/>
      <c r="L154" s="901"/>
      <c r="M154" s="901"/>
      <c r="N154" s="901"/>
      <c r="O154" s="901"/>
      <c r="P154" s="901"/>
      <c r="Q154" s="901"/>
      <c r="R154" s="907"/>
      <c r="S154" s="908"/>
      <c r="T154" s="901"/>
      <c r="U154" s="901"/>
      <c r="V154" s="901"/>
      <c r="W154" s="901"/>
      <c r="X154" s="901"/>
      <c r="Y154" s="901"/>
      <c r="Z154" s="901"/>
      <c r="AA154" s="901"/>
      <c r="AB154" s="901"/>
      <c r="AC154" s="901"/>
    </row>
    <row r="155" spans="1:29" x14ac:dyDescent="0.25">
      <c r="A155" s="901"/>
      <c r="B155" s="901"/>
      <c r="C155" s="901"/>
      <c r="D155" s="901"/>
      <c r="E155" s="901"/>
      <c r="F155" s="901"/>
      <c r="G155" s="901"/>
      <c r="H155" s="901"/>
      <c r="I155" s="901"/>
      <c r="J155" s="901"/>
      <c r="K155" s="901"/>
      <c r="L155" s="901"/>
      <c r="M155" s="901"/>
      <c r="N155" s="901"/>
      <c r="O155" s="901"/>
      <c r="P155" s="901"/>
      <c r="Q155" s="901"/>
      <c r="R155" s="907"/>
      <c r="S155" s="908"/>
      <c r="T155" s="901"/>
      <c r="U155" s="901"/>
      <c r="V155" s="901"/>
      <c r="W155" s="901"/>
      <c r="X155" s="901"/>
      <c r="Y155" s="901"/>
      <c r="Z155" s="901"/>
      <c r="AA155" s="901"/>
      <c r="AB155" s="901"/>
      <c r="AC155" s="901"/>
    </row>
    <row r="156" spans="1:29" x14ac:dyDescent="0.25">
      <c r="A156" s="901"/>
      <c r="B156" s="901"/>
      <c r="C156" s="901"/>
      <c r="D156" s="901"/>
      <c r="E156" s="901"/>
      <c r="F156" s="901"/>
      <c r="G156" s="901"/>
      <c r="H156" s="901"/>
      <c r="I156" s="901"/>
      <c r="J156" s="901"/>
      <c r="K156" s="901"/>
      <c r="L156" s="901"/>
      <c r="M156" s="901"/>
      <c r="N156" s="901"/>
      <c r="O156" s="901"/>
      <c r="P156" s="901"/>
      <c r="Q156" s="901"/>
      <c r="R156" s="907"/>
      <c r="S156" s="908"/>
      <c r="T156" s="901"/>
      <c r="U156" s="901"/>
      <c r="V156" s="901"/>
      <c r="W156" s="901"/>
      <c r="X156" s="901"/>
      <c r="Y156" s="901"/>
      <c r="Z156" s="901"/>
      <c r="AA156" s="901"/>
      <c r="AB156" s="901"/>
      <c r="AC156" s="901"/>
    </row>
    <row r="157" spans="1:29" x14ac:dyDescent="0.25">
      <c r="A157" s="901"/>
      <c r="B157" s="901"/>
      <c r="C157" s="901"/>
      <c r="D157" s="901"/>
      <c r="E157" s="901"/>
      <c r="F157" s="901"/>
      <c r="G157" s="901"/>
      <c r="H157" s="901"/>
      <c r="I157" s="901"/>
      <c r="J157" s="901"/>
      <c r="K157" s="901"/>
      <c r="L157" s="901"/>
      <c r="M157" s="901"/>
      <c r="N157" s="901"/>
      <c r="O157" s="901"/>
      <c r="P157" s="901"/>
      <c r="Q157" s="901"/>
      <c r="R157" s="907"/>
      <c r="S157" s="908"/>
      <c r="T157" s="901"/>
      <c r="U157" s="901"/>
      <c r="V157" s="901"/>
      <c r="W157" s="901"/>
      <c r="X157" s="901"/>
      <c r="Y157" s="901"/>
      <c r="Z157" s="901"/>
      <c r="AA157" s="901"/>
      <c r="AB157" s="901"/>
      <c r="AC157" s="901"/>
    </row>
    <row r="158" spans="1:29" x14ac:dyDescent="0.25">
      <c r="A158" s="901"/>
      <c r="B158" s="901"/>
      <c r="C158" s="901"/>
      <c r="D158" s="901"/>
      <c r="E158" s="901"/>
      <c r="F158" s="901"/>
      <c r="G158" s="901"/>
      <c r="H158" s="901"/>
      <c r="I158" s="901"/>
      <c r="J158" s="901"/>
      <c r="K158" s="901"/>
      <c r="L158" s="901"/>
      <c r="M158" s="901"/>
      <c r="N158" s="901"/>
      <c r="O158" s="901"/>
      <c r="P158" s="901"/>
      <c r="Q158" s="901"/>
      <c r="R158" s="907"/>
      <c r="S158" s="908"/>
      <c r="T158" s="901"/>
      <c r="U158" s="901"/>
      <c r="V158" s="901"/>
      <c r="W158" s="901"/>
      <c r="X158" s="901"/>
      <c r="Y158" s="901"/>
      <c r="Z158" s="901"/>
      <c r="AA158" s="901"/>
      <c r="AB158" s="901"/>
      <c r="AC158" s="901"/>
    </row>
    <row r="159" spans="1:29" x14ac:dyDescent="0.25">
      <c r="A159" s="901"/>
      <c r="B159" s="901"/>
      <c r="C159" s="901"/>
      <c r="D159" s="901"/>
      <c r="E159" s="901"/>
      <c r="F159" s="901"/>
      <c r="G159" s="901"/>
      <c r="H159" s="901"/>
      <c r="I159" s="901"/>
      <c r="J159" s="901"/>
      <c r="K159" s="901"/>
      <c r="L159" s="901"/>
      <c r="M159" s="901"/>
      <c r="N159" s="901"/>
      <c r="O159" s="901"/>
      <c r="P159" s="901"/>
      <c r="Q159" s="901"/>
      <c r="R159" s="907"/>
      <c r="S159" s="908"/>
      <c r="T159" s="901"/>
      <c r="U159" s="901"/>
      <c r="V159" s="901"/>
      <c r="W159" s="901"/>
      <c r="X159" s="901"/>
      <c r="Y159" s="901"/>
      <c r="Z159" s="901"/>
      <c r="AA159" s="901"/>
      <c r="AB159" s="901"/>
      <c r="AC159" s="901"/>
    </row>
    <row r="160" spans="1:29" x14ac:dyDescent="0.25">
      <c r="A160" s="901"/>
      <c r="B160" s="901"/>
      <c r="C160" s="901"/>
      <c r="D160" s="901"/>
      <c r="E160" s="901"/>
      <c r="F160" s="901"/>
      <c r="G160" s="901"/>
      <c r="H160" s="901"/>
      <c r="I160" s="901"/>
      <c r="J160" s="901"/>
      <c r="K160" s="901"/>
      <c r="L160" s="901"/>
      <c r="M160" s="901"/>
      <c r="N160" s="901"/>
      <c r="O160" s="901"/>
      <c r="P160" s="901"/>
      <c r="Q160" s="901"/>
      <c r="R160" s="907"/>
      <c r="S160" s="908"/>
      <c r="T160" s="901"/>
      <c r="U160" s="901"/>
      <c r="V160" s="901"/>
      <c r="W160" s="901"/>
      <c r="X160" s="901"/>
      <c r="Y160" s="901"/>
      <c r="Z160" s="901"/>
      <c r="AA160" s="901"/>
      <c r="AB160" s="901"/>
      <c r="AC160" s="901"/>
    </row>
    <row r="161" spans="1:29" x14ac:dyDescent="0.25">
      <c r="A161" s="901"/>
      <c r="B161" s="901"/>
      <c r="C161" s="901"/>
      <c r="D161" s="901"/>
      <c r="E161" s="901"/>
      <c r="F161" s="901"/>
      <c r="G161" s="901"/>
      <c r="H161" s="901"/>
      <c r="I161" s="901"/>
      <c r="J161" s="901"/>
      <c r="K161" s="901"/>
      <c r="L161" s="901"/>
      <c r="M161" s="901"/>
      <c r="N161" s="901"/>
      <c r="O161" s="901"/>
      <c r="P161" s="901"/>
      <c r="Q161" s="901"/>
      <c r="R161" s="907"/>
      <c r="S161" s="908"/>
      <c r="T161" s="901"/>
      <c r="U161" s="901"/>
      <c r="V161" s="901"/>
      <c r="W161" s="901"/>
      <c r="X161" s="901"/>
      <c r="Y161" s="901"/>
      <c r="Z161" s="901"/>
      <c r="AA161" s="901"/>
      <c r="AB161" s="901"/>
      <c r="AC161" s="901"/>
    </row>
    <row r="162" spans="1:29" x14ac:dyDescent="0.25">
      <c r="A162" s="901"/>
      <c r="B162" s="901"/>
      <c r="C162" s="901"/>
      <c r="D162" s="901"/>
      <c r="E162" s="901"/>
      <c r="F162" s="901"/>
      <c r="G162" s="901"/>
      <c r="H162" s="901"/>
      <c r="I162" s="901"/>
      <c r="J162" s="901"/>
      <c r="K162" s="901"/>
      <c r="L162" s="901"/>
      <c r="M162" s="901"/>
      <c r="N162" s="901"/>
      <c r="O162" s="901"/>
      <c r="P162" s="901"/>
      <c r="Q162" s="901"/>
      <c r="R162" s="907"/>
      <c r="S162" s="908"/>
      <c r="T162" s="901"/>
      <c r="U162" s="901"/>
      <c r="V162" s="901"/>
      <c r="W162" s="901"/>
      <c r="X162" s="901"/>
      <c r="Y162" s="901"/>
      <c r="Z162" s="901"/>
      <c r="AA162" s="901"/>
      <c r="AB162" s="901"/>
      <c r="AC162" s="901"/>
    </row>
    <row r="163" spans="1:29" x14ac:dyDescent="0.25">
      <c r="A163" s="901"/>
      <c r="B163" s="901"/>
      <c r="C163" s="901"/>
      <c r="D163" s="901"/>
      <c r="E163" s="901"/>
      <c r="F163" s="901"/>
      <c r="G163" s="901"/>
      <c r="H163" s="901"/>
      <c r="I163" s="901"/>
      <c r="J163" s="901"/>
      <c r="K163" s="901"/>
      <c r="L163" s="901"/>
      <c r="M163" s="901"/>
      <c r="N163" s="901"/>
      <c r="O163" s="901"/>
      <c r="P163" s="901"/>
      <c r="Q163" s="901"/>
      <c r="R163" s="907"/>
      <c r="S163" s="908"/>
      <c r="T163" s="901"/>
      <c r="U163" s="901"/>
      <c r="V163" s="901"/>
      <c r="W163" s="901"/>
      <c r="X163" s="901"/>
      <c r="Y163" s="901"/>
      <c r="Z163" s="901"/>
      <c r="AA163" s="901"/>
      <c r="AB163" s="901"/>
      <c r="AC163" s="901"/>
    </row>
    <row r="164" spans="1:29" x14ac:dyDescent="0.25">
      <c r="A164" s="901"/>
      <c r="B164" s="901"/>
      <c r="C164" s="901"/>
      <c r="D164" s="901"/>
      <c r="E164" s="901"/>
      <c r="F164" s="901"/>
      <c r="G164" s="901"/>
      <c r="H164" s="901"/>
      <c r="I164" s="901"/>
      <c r="J164" s="901"/>
      <c r="K164" s="901"/>
      <c r="L164" s="901"/>
      <c r="M164" s="901"/>
      <c r="N164" s="901"/>
      <c r="O164" s="901"/>
      <c r="P164" s="901"/>
      <c r="Q164" s="901"/>
      <c r="R164" s="907"/>
      <c r="S164" s="908"/>
      <c r="T164" s="901"/>
      <c r="U164" s="901"/>
      <c r="V164" s="901"/>
      <c r="W164" s="901"/>
      <c r="X164" s="901"/>
      <c r="Y164" s="901"/>
      <c r="Z164" s="901"/>
      <c r="AA164" s="901"/>
      <c r="AB164" s="901"/>
      <c r="AC164" s="901"/>
    </row>
    <row r="165" spans="1:29" x14ac:dyDescent="0.25">
      <c r="A165" s="901"/>
      <c r="B165" s="901"/>
      <c r="C165" s="901"/>
      <c r="D165" s="901"/>
      <c r="E165" s="901"/>
      <c r="F165" s="901"/>
      <c r="G165" s="901"/>
      <c r="H165" s="901"/>
      <c r="I165" s="901"/>
      <c r="J165" s="901"/>
      <c r="K165" s="901"/>
      <c r="L165" s="901"/>
      <c r="M165" s="901"/>
      <c r="N165" s="901"/>
      <c r="O165" s="901"/>
      <c r="P165" s="901"/>
      <c r="Q165" s="901"/>
      <c r="R165" s="907"/>
      <c r="S165" s="908"/>
      <c r="T165" s="901"/>
      <c r="U165" s="901"/>
      <c r="V165" s="901"/>
      <c r="W165" s="901"/>
      <c r="X165" s="901"/>
      <c r="Y165" s="901"/>
      <c r="Z165" s="901"/>
      <c r="AA165" s="901"/>
      <c r="AB165" s="901"/>
      <c r="AC165" s="901"/>
    </row>
    <row r="166" spans="1:29" x14ac:dyDescent="0.25">
      <c r="A166" s="901"/>
      <c r="B166" s="901"/>
      <c r="C166" s="901"/>
      <c r="D166" s="901"/>
      <c r="E166" s="901"/>
      <c r="F166" s="901"/>
      <c r="G166" s="901"/>
      <c r="H166" s="901"/>
      <c r="I166" s="901"/>
      <c r="J166" s="901"/>
      <c r="K166" s="901"/>
      <c r="L166" s="901"/>
      <c r="M166" s="901"/>
      <c r="N166" s="901"/>
      <c r="O166" s="901"/>
      <c r="P166" s="901"/>
      <c r="Q166" s="901"/>
      <c r="R166" s="907"/>
      <c r="S166" s="908"/>
      <c r="T166" s="901"/>
      <c r="U166" s="901"/>
      <c r="V166" s="901"/>
      <c r="W166" s="901"/>
      <c r="X166" s="901"/>
      <c r="Y166" s="901"/>
      <c r="Z166" s="901"/>
      <c r="AA166" s="901"/>
      <c r="AB166" s="901"/>
      <c r="AC166" s="901"/>
    </row>
    <row r="167" spans="1:29" x14ac:dyDescent="0.25">
      <c r="A167" s="901"/>
      <c r="B167" s="901"/>
      <c r="C167" s="901"/>
      <c r="D167" s="901"/>
      <c r="E167" s="901"/>
      <c r="F167" s="901"/>
      <c r="G167" s="901"/>
      <c r="H167" s="901"/>
      <c r="I167" s="901"/>
      <c r="J167" s="901"/>
      <c r="K167" s="901"/>
      <c r="L167" s="901"/>
      <c r="M167" s="901"/>
      <c r="N167" s="901"/>
      <c r="O167" s="901"/>
      <c r="P167" s="901"/>
      <c r="Q167" s="901"/>
      <c r="R167" s="907"/>
      <c r="S167" s="908"/>
      <c r="T167" s="901"/>
      <c r="U167" s="901"/>
      <c r="V167" s="901"/>
      <c r="W167" s="901"/>
      <c r="X167" s="901"/>
      <c r="Y167" s="901"/>
      <c r="Z167" s="901"/>
      <c r="AA167" s="901"/>
      <c r="AB167" s="901"/>
      <c r="AC167" s="901"/>
    </row>
    <row r="168" spans="1:29" x14ac:dyDescent="0.25">
      <c r="A168" s="901"/>
      <c r="B168" s="901"/>
      <c r="C168" s="901"/>
      <c r="D168" s="901"/>
      <c r="E168" s="901"/>
      <c r="F168" s="901"/>
      <c r="G168" s="901"/>
      <c r="H168" s="901"/>
      <c r="I168" s="901"/>
      <c r="J168" s="901"/>
      <c r="K168" s="901"/>
      <c r="L168" s="901"/>
      <c r="M168" s="901"/>
      <c r="N168" s="901"/>
      <c r="O168" s="901"/>
      <c r="P168" s="901"/>
      <c r="Q168" s="901"/>
      <c r="R168" s="907"/>
      <c r="S168" s="908"/>
      <c r="T168" s="901"/>
      <c r="U168" s="901"/>
      <c r="V168" s="901"/>
      <c r="W168" s="901"/>
      <c r="X168" s="901"/>
      <c r="Y168" s="901"/>
      <c r="Z168" s="901"/>
      <c r="AA168" s="901"/>
      <c r="AB168" s="901"/>
      <c r="AC168" s="901"/>
    </row>
    <row r="169" spans="1:29" x14ac:dyDescent="0.25">
      <c r="A169" s="901"/>
      <c r="B169" s="901"/>
      <c r="C169" s="901"/>
      <c r="D169" s="901"/>
      <c r="E169" s="901"/>
      <c r="F169" s="901"/>
      <c r="G169" s="901"/>
      <c r="H169" s="901"/>
      <c r="I169" s="901"/>
      <c r="J169" s="901"/>
      <c r="K169" s="901"/>
      <c r="L169" s="901"/>
      <c r="M169" s="901"/>
      <c r="N169" s="901"/>
      <c r="O169" s="901"/>
      <c r="P169" s="901"/>
      <c r="Q169" s="901"/>
      <c r="R169" s="907"/>
      <c r="S169" s="908"/>
      <c r="T169" s="901"/>
      <c r="U169" s="901"/>
      <c r="V169" s="901"/>
      <c r="W169" s="901"/>
      <c r="X169" s="901"/>
      <c r="Y169" s="901"/>
      <c r="Z169" s="901"/>
      <c r="AA169" s="901"/>
      <c r="AB169" s="901"/>
      <c r="AC169" s="901"/>
    </row>
    <row r="170" spans="1:29" x14ac:dyDescent="0.25">
      <c r="A170" s="901"/>
      <c r="B170" s="901"/>
      <c r="C170" s="901"/>
      <c r="D170" s="901"/>
      <c r="E170" s="901"/>
      <c r="F170" s="901"/>
      <c r="G170" s="901"/>
      <c r="H170" s="901"/>
      <c r="I170" s="901"/>
      <c r="J170" s="901"/>
      <c r="K170" s="901"/>
      <c r="L170" s="901"/>
      <c r="M170" s="901"/>
      <c r="N170" s="901"/>
      <c r="O170" s="901"/>
      <c r="P170" s="901"/>
      <c r="Q170" s="901"/>
      <c r="R170" s="907"/>
      <c r="S170" s="908"/>
      <c r="T170" s="901"/>
      <c r="U170" s="901"/>
      <c r="V170" s="901"/>
      <c r="W170" s="901"/>
      <c r="X170" s="901"/>
      <c r="Y170" s="901"/>
      <c r="Z170" s="901"/>
      <c r="AA170" s="901"/>
      <c r="AB170" s="901"/>
      <c r="AC170" s="901"/>
    </row>
    <row r="171" spans="1:29" x14ac:dyDescent="0.25">
      <c r="A171" s="901"/>
      <c r="B171" s="901"/>
      <c r="C171" s="901"/>
      <c r="D171" s="901"/>
      <c r="E171" s="901"/>
      <c r="F171" s="901"/>
      <c r="G171" s="901"/>
      <c r="H171" s="901"/>
      <c r="I171" s="901"/>
      <c r="J171" s="901"/>
      <c r="K171" s="901"/>
      <c r="L171" s="901"/>
      <c r="M171" s="901"/>
      <c r="N171" s="901"/>
      <c r="O171" s="901"/>
      <c r="P171" s="901"/>
      <c r="Q171" s="901"/>
      <c r="R171" s="907"/>
      <c r="S171" s="908"/>
      <c r="T171" s="901"/>
      <c r="U171" s="901"/>
      <c r="V171" s="901"/>
      <c r="W171" s="901"/>
      <c r="X171" s="901"/>
      <c r="Y171" s="901"/>
      <c r="Z171" s="901"/>
      <c r="AA171" s="901"/>
      <c r="AB171" s="901"/>
      <c r="AC171" s="901"/>
    </row>
    <row r="172" spans="1:29" x14ac:dyDescent="0.25">
      <c r="A172" s="901"/>
      <c r="B172" s="901"/>
      <c r="C172" s="901"/>
      <c r="D172" s="901"/>
      <c r="E172" s="901"/>
      <c r="F172" s="901"/>
      <c r="G172" s="901"/>
      <c r="H172" s="901"/>
      <c r="I172" s="901"/>
      <c r="J172" s="901"/>
      <c r="K172" s="901"/>
      <c r="L172" s="901"/>
      <c r="M172" s="901"/>
      <c r="N172" s="901"/>
      <c r="O172" s="901"/>
      <c r="P172" s="901"/>
      <c r="Q172" s="901"/>
      <c r="R172" s="907"/>
      <c r="S172" s="908"/>
      <c r="T172" s="901"/>
      <c r="U172" s="901"/>
      <c r="V172" s="901"/>
      <c r="W172" s="901"/>
      <c r="X172" s="901"/>
      <c r="Y172" s="901"/>
      <c r="Z172" s="901"/>
      <c r="AA172" s="901"/>
      <c r="AB172" s="901"/>
      <c r="AC172" s="901"/>
    </row>
    <row r="173" spans="1:29" x14ac:dyDescent="0.25">
      <c r="A173" s="901"/>
      <c r="B173" s="901"/>
      <c r="C173" s="901"/>
      <c r="D173" s="901"/>
      <c r="E173" s="901"/>
      <c r="F173" s="901"/>
      <c r="G173" s="901"/>
      <c r="H173" s="901"/>
      <c r="I173" s="901"/>
      <c r="J173" s="901"/>
      <c r="K173" s="901"/>
      <c r="L173" s="901"/>
      <c r="M173" s="901"/>
      <c r="N173" s="901"/>
      <c r="O173" s="901"/>
      <c r="P173" s="901"/>
      <c r="Q173" s="901"/>
      <c r="R173" s="907"/>
      <c r="S173" s="908"/>
      <c r="T173" s="901"/>
      <c r="U173" s="901"/>
      <c r="V173" s="901"/>
      <c r="W173" s="901"/>
      <c r="X173" s="901"/>
      <c r="Y173" s="901"/>
      <c r="Z173" s="901"/>
      <c r="AA173" s="901"/>
      <c r="AB173" s="901"/>
      <c r="AC173" s="901"/>
    </row>
    <row r="174" spans="1:29" x14ac:dyDescent="0.25">
      <c r="A174" s="901"/>
      <c r="B174" s="901"/>
      <c r="C174" s="901"/>
      <c r="D174" s="901"/>
      <c r="E174" s="901"/>
      <c r="F174" s="901"/>
      <c r="G174" s="901"/>
      <c r="H174" s="901"/>
      <c r="I174" s="901"/>
      <c r="J174" s="901"/>
      <c r="K174" s="901"/>
      <c r="L174" s="901"/>
      <c r="M174" s="901"/>
      <c r="N174" s="901"/>
      <c r="O174" s="901"/>
      <c r="P174" s="901"/>
      <c r="Q174" s="901"/>
      <c r="R174" s="907"/>
      <c r="S174" s="908"/>
      <c r="T174" s="901"/>
      <c r="U174" s="901"/>
      <c r="V174" s="901"/>
      <c r="W174" s="901"/>
      <c r="X174" s="901"/>
      <c r="Y174" s="901"/>
      <c r="Z174" s="901"/>
      <c r="AA174" s="901"/>
      <c r="AB174" s="901"/>
      <c r="AC174" s="901"/>
    </row>
    <row r="175" spans="1:29" x14ac:dyDescent="0.25">
      <c r="A175" s="901"/>
      <c r="B175" s="901"/>
      <c r="C175" s="901"/>
      <c r="D175" s="901"/>
      <c r="E175" s="901"/>
      <c r="F175" s="901"/>
      <c r="G175" s="901"/>
      <c r="H175" s="901"/>
      <c r="I175" s="901"/>
      <c r="J175" s="901"/>
      <c r="K175" s="901"/>
      <c r="L175" s="901"/>
      <c r="M175" s="901"/>
      <c r="N175" s="901"/>
      <c r="O175" s="901"/>
      <c r="P175" s="901"/>
      <c r="Q175" s="901"/>
      <c r="R175" s="907"/>
      <c r="S175" s="908"/>
      <c r="T175" s="901"/>
      <c r="U175" s="901"/>
      <c r="V175" s="901"/>
      <c r="W175" s="901"/>
      <c r="X175" s="901"/>
      <c r="Y175" s="901"/>
      <c r="Z175" s="901"/>
      <c r="AA175" s="901"/>
      <c r="AB175" s="901"/>
      <c r="AC175" s="901"/>
    </row>
    <row r="176" spans="1:29" x14ac:dyDescent="0.25">
      <c r="A176" s="901"/>
      <c r="B176" s="901"/>
      <c r="C176" s="901"/>
      <c r="D176" s="901"/>
      <c r="E176" s="901"/>
      <c r="F176" s="901"/>
      <c r="G176" s="901"/>
      <c r="H176" s="901"/>
      <c r="I176" s="901"/>
      <c r="J176" s="901"/>
      <c r="K176" s="901"/>
      <c r="L176" s="901"/>
      <c r="M176" s="901"/>
      <c r="N176" s="901"/>
      <c r="O176" s="901"/>
      <c r="P176" s="901"/>
      <c r="Q176" s="901"/>
      <c r="R176" s="907"/>
      <c r="S176" s="908"/>
      <c r="T176" s="901"/>
      <c r="U176" s="901"/>
      <c r="V176" s="901"/>
      <c r="W176" s="901"/>
      <c r="X176" s="901"/>
      <c r="Y176" s="901"/>
      <c r="Z176" s="901"/>
      <c r="AA176" s="901"/>
      <c r="AB176" s="901"/>
      <c r="AC176" s="901"/>
    </row>
    <row r="177" spans="1:29" x14ac:dyDescent="0.25">
      <c r="A177" s="901"/>
      <c r="B177" s="901"/>
      <c r="C177" s="901"/>
      <c r="D177" s="901"/>
      <c r="E177" s="901"/>
      <c r="F177" s="901"/>
      <c r="G177" s="901"/>
      <c r="H177" s="901"/>
      <c r="I177" s="901"/>
      <c r="J177" s="901"/>
      <c r="K177" s="901"/>
      <c r="L177" s="901"/>
      <c r="M177" s="901"/>
      <c r="N177" s="901"/>
      <c r="O177" s="901"/>
      <c r="P177" s="901"/>
      <c r="Q177" s="901"/>
      <c r="R177" s="907"/>
      <c r="S177" s="908"/>
      <c r="T177" s="901"/>
      <c r="U177" s="901"/>
      <c r="V177" s="901"/>
      <c r="W177" s="901"/>
      <c r="X177" s="901"/>
      <c r="Y177" s="901"/>
      <c r="Z177" s="901"/>
      <c r="AA177" s="901"/>
      <c r="AB177" s="901"/>
      <c r="AC177" s="901"/>
    </row>
    <row r="178" spans="1:29" x14ac:dyDescent="0.25">
      <c r="A178" s="901"/>
      <c r="B178" s="901"/>
      <c r="C178" s="901"/>
      <c r="D178" s="901"/>
      <c r="E178" s="901"/>
      <c r="F178" s="901"/>
      <c r="G178" s="901"/>
      <c r="H178" s="901"/>
      <c r="I178" s="901"/>
      <c r="J178" s="901"/>
      <c r="K178" s="901"/>
      <c r="L178" s="901"/>
      <c r="M178" s="901"/>
      <c r="N178" s="901"/>
      <c r="O178" s="901"/>
      <c r="P178" s="901"/>
      <c r="Q178" s="901"/>
      <c r="R178" s="907"/>
      <c r="S178" s="908"/>
      <c r="T178" s="901"/>
      <c r="U178" s="901"/>
      <c r="V178" s="901"/>
      <c r="W178" s="901"/>
      <c r="X178" s="901"/>
      <c r="Y178" s="901"/>
      <c r="Z178" s="901"/>
      <c r="AA178" s="901"/>
      <c r="AB178" s="901"/>
      <c r="AC178" s="901"/>
    </row>
    <row r="179" spans="1:29" x14ac:dyDescent="0.25">
      <c r="A179" s="901"/>
      <c r="B179" s="901"/>
      <c r="C179" s="901"/>
      <c r="D179" s="901"/>
      <c r="E179" s="901"/>
      <c r="F179" s="901"/>
      <c r="G179" s="901"/>
      <c r="H179" s="901"/>
      <c r="I179" s="901"/>
      <c r="J179" s="901"/>
      <c r="K179" s="901"/>
      <c r="L179" s="901"/>
      <c r="M179" s="901"/>
      <c r="N179" s="901"/>
      <c r="O179" s="901"/>
      <c r="P179" s="901"/>
      <c r="Q179" s="901"/>
      <c r="R179" s="907"/>
      <c r="S179" s="908"/>
      <c r="T179" s="901"/>
      <c r="U179" s="901"/>
      <c r="V179" s="901"/>
      <c r="W179" s="901"/>
      <c r="X179" s="901"/>
      <c r="Y179" s="901"/>
      <c r="Z179" s="901"/>
      <c r="AA179" s="901"/>
      <c r="AB179" s="901"/>
      <c r="AC179" s="901"/>
    </row>
    <row r="180" spans="1:29" x14ac:dyDescent="0.25">
      <c r="A180" s="901"/>
      <c r="B180" s="901"/>
      <c r="C180" s="901"/>
      <c r="D180" s="901"/>
      <c r="E180" s="901"/>
      <c r="F180" s="901"/>
      <c r="G180" s="901"/>
      <c r="H180" s="901"/>
      <c r="I180" s="901"/>
      <c r="J180" s="901"/>
      <c r="K180" s="901"/>
      <c r="L180" s="901"/>
      <c r="M180" s="901"/>
      <c r="N180" s="901"/>
      <c r="O180" s="901"/>
      <c r="P180" s="901"/>
      <c r="Q180" s="901"/>
      <c r="R180" s="907"/>
      <c r="S180" s="908"/>
      <c r="T180" s="901"/>
      <c r="U180" s="901"/>
      <c r="V180" s="901"/>
      <c r="W180" s="901"/>
      <c r="X180" s="901"/>
      <c r="Y180" s="901"/>
      <c r="Z180" s="901"/>
      <c r="AA180" s="901"/>
      <c r="AB180" s="901"/>
      <c r="AC180" s="901"/>
    </row>
    <row r="181" spans="1:29" x14ac:dyDescent="0.25">
      <c r="A181" s="901"/>
      <c r="B181" s="901"/>
      <c r="C181" s="901"/>
      <c r="D181" s="901"/>
      <c r="E181" s="901"/>
      <c r="F181" s="901"/>
      <c r="G181" s="901"/>
      <c r="H181" s="901"/>
      <c r="I181" s="901"/>
      <c r="J181" s="901"/>
      <c r="K181" s="901"/>
      <c r="L181" s="901"/>
      <c r="M181" s="901"/>
      <c r="N181" s="901"/>
      <c r="O181" s="901"/>
      <c r="P181" s="901"/>
      <c r="Q181" s="901"/>
      <c r="R181" s="907"/>
      <c r="S181" s="908"/>
      <c r="T181" s="901"/>
      <c r="U181" s="901"/>
      <c r="V181" s="901"/>
      <c r="W181" s="901"/>
      <c r="X181" s="901"/>
      <c r="Y181" s="901"/>
      <c r="Z181" s="901"/>
      <c r="AA181" s="901"/>
      <c r="AB181" s="901"/>
      <c r="AC181" s="901"/>
    </row>
    <row r="182" spans="1:29" x14ac:dyDescent="0.25">
      <c r="A182" s="901"/>
      <c r="B182" s="901"/>
      <c r="C182" s="901"/>
      <c r="D182" s="901"/>
      <c r="E182" s="901"/>
      <c r="F182" s="901"/>
      <c r="G182" s="901"/>
      <c r="H182" s="901"/>
      <c r="I182" s="901"/>
      <c r="J182" s="901"/>
      <c r="K182" s="901"/>
      <c r="L182" s="901"/>
      <c r="M182" s="901"/>
      <c r="N182" s="901"/>
      <c r="O182" s="901"/>
      <c r="P182" s="901"/>
      <c r="Q182" s="901"/>
      <c r="R182" s="907"/>
      <c r="S182" s="908"/>
      <c r="T182" s="901"/>
      <c r="U182" s="901"/>
      <c r="V182" s="901"/>
      <c r="W182" s="901"/>
      <c r="X182" s="901"/>
      <c r="Y182" s="901"/>
      <c r="Z182" s="901"/>
      <c r="AA182" s="901"/>
      <c r="AB182" s="901"/>
      <c r="AC182" s="901"/>
    </row>
    <row r="183" spans="1:29" x14ac:dyDescent="0.25">
      <c r="A183" s="901"/>
      <c r="B183" s="901"/>
      <c r="C183" s="901"/>
      <c r="D183" s="901"/>
      <c r="E183" s="901"/>
      <c r="F183" s="901"/>
      <c r="G183" s="901"/>
      <c r="H183" s="901"/>
      <c r="I183" s="901"/>
      <c r="J183" s="901"/>
      <c r="K183" s="901"/>
      <c r="L183" s="901"/>
      <c r="M183" s="901"/>
      <c r="N183" s="901"/>
      <c r="O183" s="901"/>
      <c r="P183" s="901"/>
      <c r="Q183" s="901"/>
      <c r="R183" s="907"/>
      <c r="S183" s="908"/>
      <c r="T183" s="901"/>
      <c r="U183" s="901"/>
      <c r="V183" s="901"/>
      <c r="W183" s="901"/>
      <c r="X183" s="901"/>
      <c r="Y183" s="901"/>
      <c r="Z183" s="901"/>
      <c r="AA183" s="901"/>
      <c r="AB183" s="901"/>
      <c r="AC183" s="901"/>
    </row>
    <row r="184" spans="1:29" x14ac:dyDescent="0.25">
      <c r="A184" s="901"/>
      <c r="B184" s="901"/>
      <c r="C184" s="901"/>
      <c r="D184" s="901"/>
      <c r="E184" s="901"/>
      <c r="F184" s="901"/>
      <c r="G184" s="901"/>
      <c r="H184" s="901"/>
      <c r="I184" s="901"/>
      <c r="J184" s="901"/>
      <c r="K184" s="901"/>
      <c r="L184" s="901"/>
      <c r="M184" s="901"/>
      <c r="N184" s="901"/>
      <c r="O184" s="901"/>
      <c r="P184" s="901"/>
      <c r="Q184" s="901"/>
      <c r="R184" s="907"/>
      <c r="S184" s="908"/>
      <c r="T184" s="901"/>
      <c r="U184" s="901"/>
      <c r="V184" s="901"/>
      <c r="W184" s="901"/>
      <c r="X184" s="901"/>
      <c r="Y184" s="901"/>
      <c r="Z184" s="901"/>
      <c r="AA184" s="901"/>
      <c r="AB184" s="901"/>
      <c r="AC184" s="901"/>
    </row>
    <row r="185" spans="1:29" x14ac:dyDescent="0.25">
      <c r="A185" s="901"/>
      <c r="B185" s="901"/>
      <c r="C185" s="901"/>
      <c r="D185" s="901"/>
      <c r="E185" s="901"/>
      <c r="F185" s="901"/>
      <c r="G185" s="901"/>
      <c r="H185" s="901"/>
      <c r="I185" s="901"/>
      <c r="J185" s="901"/>
      <c r="K185" s="901"/>
      <c r="L185" s="901"/>
      <c r="M185" s="901"/>
      <c r="N185" s="901"/>
      <c r="O185" s="901"/>
      <c r="P185" s="901"/>
      <c r="Q185" s="901"/>
      <c r="R185" s="907"/>
      <c r="S185" s="908"/>
      <c r="T185" s="901"/>
      <c r="U185" s="901"/>
      <c r="V185" s="901"/>
      <c r="W185" s="901"/>
      <c r="X185" s="901"/>
      <c r="Y185" s="901"/>
      <c r="Z185" s="901"/>
      <c r="AA185" s="901"/>
      <c r="AB185" s="901"/>
      <c r="AC185" s="901"/>
    </row>
    <row r="186" spans="1:29" x14ac:dyDescent="0.25">
      <c r="A186" s="901"/>
      <c r="B186" s="901"/>
      <c r="C186" s="901"/>
      <c r="D186" s="901"/>
      <c r="E186" s="901"/>
      <c r="F186" s="901"/>
      <c r="G186" s="901"/>
      <c r="H186" s="901"/>
      <c r="I186" s="901"/>
      <c r="J186" s="901"/>
      <c r="K186" s="901"/>
      <c r="L186" s="901"/>
      <c r="M186" s="901"/>
      <c r="N186" s="901"/>
      <c r="O186" s="901"/>
      <c r="P186" s="901"/>
      <c r="Q186" s="901"/>
      <c r="R186" s="907"/>
      <c r="S186" s="908"/>
      <c r="T186" s="901"/>
      <c r="U186" s="901"/>
      <c r="V186" s="901"/>
      <c r="W186" s="901"/>
      <c r="X186" s="901"/>
      <c r="Y186" s="901"/>
      <c r="Z186" s="901"/>
      <c r="AA186" s="901"/>
      <c r="AB186" s="901"/>
      <c r="AC186" s="901"/>
    </row>
    <row r="187" spans="1:29" x14ac:dyDescent="0.25">
      <c r="A187" s="901"/>
      <c r="B187" s="901"/>
      <c r="C187" s="901"/>
      <c r="D187" s="901"/>
      <c r="E187" s="901"/>
      <c r="F187" s="901"/>
      <c r="G187" s="901"/>
      <c r="H187" s="901"/>
      <c r="I187" s="901"/>
      <c r="J187" s="901"/>
      <c r="K187" s="901"/>
      <c r="L187" s="901"/>
      <c r="M187" s="901"/>
      <c r="N187" s="901"/>
      <c r="O187" s="901"/>
      <c r="P187" s="901"/>
      <c r="Q187" s="901"/>
      <c r="R187" s="907"/>
      <c r="S187" s="908"/>
      <c r="T187" s="901"/>
      <c r="U187" s="901"/>
      <c r="V187" s="901"/>
      <c r="W187" s="901"/>
      <c r="X187" s="901"/>
      <c r="Y187" s="901"/>
      <c r="Z187" s="901"/>
      <c r="AA187" s="901"/>
      <c r="AB187" s="901"/>
      <c r="AC187" s="901"/>
    </row>
    <row r="188" spans="1:29" x14ac:dyDescent="0.25">
      <c r="A188" s="901"/>
      <c r="B188" s="901"/>
      <c r="C188" s="901"/>
      <c r="D188" s="901"/>
      <c r="E188" s="901"/>
      <c r="F188" s="901"/>
      <c r="G188" s="901"/>
      <c r="H188" s="901"/>
      <c r="I188" s="901"/>
      <c r="J188" s="901"/>
      <c r="K188" s="901"/>
      <c r="L188" s="901"/>
      <c r="M188" s="901"/>
      <c r="N188" s="901"/>
      <c r="O188" s="901"/>
      <c r="P188" s="901"/>
      <c r="Q188" s="901"/>
      <c r="R188" s="907"/>
      <c r="S188" s="908"/>
      <c r="T188" s="901"/>
      <c r="U188" s="901"/>
      <c r="V188" s="901"/>
      <c r="W188" s="901"/>
      <c r="X188" s="901"/>
      <c r="Y188" s="901"/>
      <c r="Z188" s="901"/>
      <c r="AA188" s="901"/>
      <c r="AB188" s="901"/>
      <c r="AC188" s="901"/>
    </row>
    <row r="189" spans="1:29" x14ac:dyDescent="0.25">
      <c r="A189" s="901"/>
      <c r="B189" s="901"/>
      <c r="C189" s="901"/>
      <c r="D189" s="901"/>
      <c r="E189" s="901"/>
      <c r="F189" s="901"/>
      <c r="G189" s="901"/>
      <c r="H189" s="901"/>
      <c r="I189" s="901"/>
      <c r="J189" s="901"/>
      <c r="K189" s="901"/>
      <c r="L189" s="901"/>
      <c r="M189" s="901"/>
      <c r="N189" s="901"/>
      <c r="O189" s="901"/>
      <c r="P189" s="901"/>
      <c r="Q189" s="901"/>
      <c r="R189" s="907"/>
      <c r="S189" s="908"/>
      <c r="T189" s="901"/>
      <c r="U189" s="901"/>
      <c r="V189" s="901"/>
      <c r="W189" s="901"/>
      <c r="X189" s="901"/>
      <c r="Y189" s="901"/>
      <c r="Z189" s="901"/>
      <c r="AA189" s="901"/>
      <c r="AB189" s="901"/>
      <c r="AC189" s="901"/>
    </row>
    <row r="190" spans="1:29" x14ac:dyDescent="0.25">
      <c r="A190" s="901"/>
      <c r="B190" s="901"/>
      <c r="C190" s="901"/>
      <c r="D190" s="901"/>
      <c r="E190" s="901"/>
      <c r="F190" s="901"/>
      <c r="G190" s="901"/>
      <c r="H190" s="901"/>
      <c r="I190" s="901"/>
      <c r="J190" s="901"/>
      <c r="K190" s="901"/>
      <c r="L190" s="901"/>
      <c r="M190" s="901"/>
      <c r="N190" s="901"/>
      <c r="O190" s="901"/>
      <c r="P190" s="901"/>
      <c r="Q190" s="901"/>
      <c r="R190" s="907"/>
      <c r="S190" s="908"/>
      <c r="T190" s="901"/>
      <c r="U190" s="901"/>
      <c r="V190" s="901"/>
      <c r="W190" s="901"/>
      <c r="X190" s="901"/>
      <c r="Y190" s="901"/>
      <c r="Z190" s="901"/>
      <c r="AA190" s="901"/>
      <c r="AB190" s="901"/>
      <c r="AC190" s="901"/>
    </row>
    <row r="191" spans="1:29" x14ac:dyDescent="0.25">
      <c r="A191" s="901"/>
      <c r="B191" s="901"/>
      <c r="C191" s="901"/>
      <c r="D191" s="901"/>
      <c r="E191" s="901"/>
      <c r="F191" s="901"/>
      <c r="G191" s="901"/>
      <c r="H191" s="901"/>
      <c r="I191" s="901"/>
      <c r="J191" s="901"/>
      <c r="K191" s="901"/>
      <c r="L191" s="901"/>
      <c r="M191" s="901"/>
      <c r="N191" s="901"/>
      <c r="O191" s="901"/>
      <c r="P191" s="901"/>
      <c r="Q191" s="901"/>
      <c r="R191" s="907"/>
      <c r="S191" s="908"/>
      <c r="T191" s="901"/>
      <c r="U191" s="901"/>
      <c r="V191" s="901"/>
      <c r="W191" s="901"/>
      <c r="X191" s="901"/>
      <c r="Y191" s="901"/>
      <c r="Z191" s="901"/>
      <c r="AA191" s="901"/>
      <c r="AB191" s="901"/>
      <c r="AC191" s="901"/>
    </row>
    <row r="192" spans="1:29" x14ac:dyDescent="0.25">
      <c r="A192" s="901"/>
      <c r="B192" s="901"/>
      <c r="C192" s="901"/>
      <c r="D192" s="901"/>
      <c r="E192" s="901"/>
      <c r="F192" s="901"/>
      <c r="G192" s="901"/>
      <c r="H192" s="901"/>
      <c r="I192" s="901"/>
      <c r="J192" s="901"/>
      <c r="K192" s="901"/>
      <c r="L192" s="901"/>
      <c r="M192" s="901"/>
      <c r="N192" s="901"/>
      <c r="O192" s="901"/>
      <c r="P192" s="901"/>
      <c r="Q192" s="901"/>
      <c r="R192" s="907"/>
      <c r="S192" s="908"/>
      <c r="T192" s="901"/>
      <c r="U192" s="901"/>
      <c r="V192" s="901"/>
      <c r="W192" s="901"/>
      <c r="X192" s="901"/>
      <c r="Y192" s="901"/>
      <c r="Z192" s="901"/>
      <c r="AA192" s="901"/>
      <c r="AB192" s="901"/>
      <c r="AC192" s="901"/>
    </row>
    <row r="193" spans="1:29" x14ac:dyDescent="0.25">
      <c r="A193" s="901"/>
      <c r="B193" s="901"/>
      <c r="C193" s="901"/>
      <c r="D193" s="901"/>
      <c r="E193" s="901"/>
      <c r="F193" s="901"/>
      <c r="G193" s="901"/>
      <c r="H193" s="901"/>
      <c r="I193" s="901"/>
      <c r="J193" s="901"/>
      <c r="K193" s="901"/>
      <c r="L193" s="901"/>
      <c r="M193" s="901"/>
      <c r="N193" s="901"/>
      <c r="O193" s="901"/>
      <c r="P193" s="901"/>
      <c r="Q193" s="901"/>
      <c r="R193" s="907"/>
      <c r="S193" s="908"/>
      <c r="T193" s="901"/>
      <c r="U193" s="901"/>
      <c r="V193" s="901"/>
      <c r="W193" s="901"/>
      <c r="X193" s="901"/>
      <c r="Y193" s="901"/>
      <c r="Z193" s="901"/>
      <c r="AA193" s="901"/>
      <c r="AB193" s="901"/>
      <c r="AC193" s="901"/>
    </row>
    <row r="194" spans="1:29" x14ac:dyDescent="0.25">
      <c r="A194" s="901"/>
      <c r="B194" s="901"/>
      <c r="C194" s="901"/>
      <c r="D194" s="901"/>
      <c r="E194" s="901"/>
      <c r="F194" s="901"/>
      <c r="G194" s="901"/>
      <c r="H194" s="901"/>
      <c r="I194" s="901"/>
      <c r="J194" s="901"/>
      <c r="K194" s="901"/>
      <c r="L194" s="901"/>
      <c r="M194" s="901"/>
      <c r="N194" s="901"/>
      <c r="O194" s="901"/>
      <c r="P194" s="901"/>
      <c r="Q194" s="901"/>
      <c r="R194" s="907"/>
      <c r="S194" s="908"/>
      <c r="T194" s="901"/>
      <c r="U194" s="901"/>
      <c r="V194" s="901"/>
      <c r="W194" s="901"/>
      <c r="X194" s="901"/>
      <c r="Y194" s="901"/>
      <c r="Z194" s="901"/>
      <c r="AA194" s="901"/>
      <c r="AB194" s="901"/>
      <c r="AC194" s="901"/>
    </row>
    <row r="195" spans="1:29" x14ac:dyDescent="0.25">
      <c r="A195" s="901"/>
      <c r="B195" s="901"/>
      <c r="C195" s="901"/>
      <c r="D195" s="901"/>
      <c r="E195" s="901"/>
      <c r="F195" s="901"/>
      <c r="G195" s="901"/>
      <c r="H195" s="901"/>
      <c r="I195" s="901"/>
      <c r="J195" s="901"/>
      <c r="K195" s="901"/>
      <c r="L195" s="901"/>
      <c r="M195" s="901"/>
      <c r="N195" s="901"/>
      <c r="O195" s="901"/>
      <c r="P195" s="901"/>
      <c r="Q195" s="901"/>
      <c r="R195" s="907"/>
      <c r="S195" s="908"/>
      <c r="T195" s="901"/>
      <c r="U195" s="901"/>
      <c r="V195" s="901"/>
      <c r="W195" s="901"/>
      <c r="X195" s="901"/>
      <c r="Y195" s="901"/>
      <c r="Z195" s="901"/>
      <c r="AA195" s="901"/>
      <c r="AB195" s="901"/>
      <c r="AC195" s="901"/>
    </row>
    <row r="196" spans="1:29" x14ac:dyDescent="0.25">
      <c r="A196" s="901"/>
      <c r="B196" s="901"/>
      <c r="C196" s="901"/>
      <c r="D196" s="901"/>
      <c r="E196" s="901"/>
      <c r="F196" s="901"/>
      <c r="G196" s="901"/>
      <c r="H196" s="901"/>
      <c r="I196" s="901"/>
      <c r="J196" s="901"/>
      <c r="K196" s="901"/>
      <c r="L196" s="901"/>
      <c r="M196" s="901"/>
      <c r="N196" s="901"/>
      <c r="O196" s="901"/>
      <c r="P196" s="901"/>
      <c r="Q196" s="901"/>
      <c r="R196" s="907"/>
      <c r="S196" s="908"/>
      <c r="T196" s="901"/>
      <c r="U196" s="901"/>
      <c r="V196" s="901"/>
      <c r="W196" s="901"/>
      <c r="X196" s="901"/>
      <c r="Y196" s="901"/>
      <c r="Z196" s="901"/>
      <c r="AA196" s="901"/>
      <c r="AB196" s="901"/>
      <c r="AC196" s="901"/>
    </row>
    <row r="197" spans="1:29" x14ac:dyDescent="0.25">
      <c r="A197" s="901"/>
      <c r="B197" s="901"/>
      <c r="C197" s="901"/>
      <c r="D197" s="901"/>
      <c r="E197" s="901"/>
      <c r="F197" s="901"/>
      <c r="G197" s="901"/>
      <c r="H197" s="901"/>
      <c r="I197" s="901"/>
      <c r="J197" s="901"/>
      <c r="K197" s="901"/>
      <c r="L197" s="901"/>
      <c r="M197" s="901"/>
      <c r="N197" s="901"/>
      <c r="O197" s="901"/>
      <c r="P197" s="901"/>
      <c r="Q197" s="901"/>
      <c r="R197" s="907"/>
      <c r="S197" s="908"/>
      <c r="T197" s="901"/>
      <c r="U197" s="901"/>
      <c r="V197" s="901"/>
      <c r="W197" s="901"/>
      <c r="X197" s="901"/>
      <c r="Y197" s="901"/>
      <c r="Z197" s="901"/>
      <c r="AA197" s="901"/>
      <c r="AB197" s="901"/>
      <c r="AC197" s="901"/>
    </row>
    <row r="198" spans="1:29" x14ac:dyDescent="0.25">
      <c r="A198" s="901"/>
      <c r="B198" s="901"/>
      <c r="C198" s="901"/>
      <c r="D198" s="901"/>
      <c r="E198" s="901"/>
      <c r="F198" s="901"/>
      <c r="G198" s="901"/>
      <c r="H198" s="901"/>
      <c r="I198" s="901"/>
      <c r="J198" s="901"/>
      <c r="K198" s="901"/>
      <c r="L198" s="901"/>
      <c r="M198" s="901"/>
      <c r="N198" s="901"/>
      <c r="O198" s="901"/>
      <c r="P198" s="901"/>
      <c r="Q198" s="901"/>
      <c r="R198" s="907"/>
      <c r="S198" s="908"/>
      <c r="T198" s="901"/>
      <c r="U198" s="901"/>
      <c r="V198" s="901"/>
      <c r="W198" s="901"/>
      <c r="X198" s="901"/>
      <c r="Y198" s="901"/>
      <c r="Z198" s="901"/>
      <c r="AA198" s="901"/>
      <c r="AB198" s="901"/>
      <c r="AC198" s="901"/>
    </row>
    <row r="199" spans="1:29" x14ac:dyDescent="0.25">
      <c r="A199" s="901"/>
      <c r="B199" s="901"/>
      <c r="C199" s="901"/>
      <c r="D199" s="901"/>
      <c r="E199" s="901"/>
      <c r="F199" s="901"/>
      <c r="G199" s="901"/>
      <c r="H199" s="901"/>
      <c r="I199" s="901"/>
      <c r="J199" s="901"/>
      <c r="K199" s="901"/>
      <c r="L199" s="901"/>
      <c r="M199" s="901"/>
      <c r="N199" s="901"/>
      <c r="O199" s="901"/>
      <c r="P199" s="901"/>
      <c r="Q199" s="901"/>
      <c r="R199" s="907"/>
      <c r="S199" s="908"/>
      <c r="T199" s="901"/>
      <c r="U199" s="901"/>
      <c r="V199" s="901"/>
      <c r="W199" s="901"/>
      <c r="X199" s="901"/>
      <c r="Y199" s="901"/>
      <c r="Z199" s="901"/>
      <c r="AA199" s="901"/>
      <c r="AB199" s="901"/>
      <c r="AC199" s="901"/>
    </row>
    <row r="200" spans="1:29" x14ac:dyDescent="0.25">
      <c r="A200" s="901"/>
      <c r="B200" s="901"/>
      <c r="C200" s="901"/>
      <c r="D200" s="901"/>
      <c r="E200" s="901"/>
      <c r="F200" s="901"/>
      <c r="G200" s="901"/>
      <c r="H200" s="901"/>
      <c r="I200" s="901"/>
      <c r="J200" s="901"/>
      <c r="K200" s="901"/>
      <c r="L200" s="901"/>
      <c r="M200" s="901"/>
      <c r="N200" s="901"/>
      <c r="O200" s="901"/>
      <c r="P200" s="901"/>
      <c r="Q200" s="901"/>
      <c r="R200" s="907"/>
      <c r="S200" s="908"/>
      <c r="T200" s="901"/>
      <c r="U200" s="901"/>
      <c r="V200" s="901"/>
      <c r="W200" s="901"/>
      <c r="X200" s="901"/>
      <c r="Y200" s="901"/>
      <c r="Z200" s="901"/>
      <c r="AA200" s="901"/>
      <c r="AB200" s="901"/>
      <c r="AC200" s="901"/>
    </row>
    <row r="201" spans="1:29" x14ac:dyDescent="0.25">
      <c r="A201" s="901"/>
      <c r="B201" s="901"/>
      <c r="C201" s="901"/>
      <c r="D201" s="901"/>
      <c r="E201" s="901"/>
      <c r="F201" s="901"/>
      <c r="G201" s="901"/>
      <c r="H201" s="901"/>
      <c r="I201" s="901"/>
      <c r="J201" s="901"/>
      <c r="K201" s="901"/>
      <c r="L201" s="901"/>
      <c r="M201" s="901"/>
      <c r="N201" s="901"/>
      <c r="O201" s="901"/>
      <c r="P201" s="901"/>
      <c r="Q201" s="901"/>
      <c r="R201" s="907"/>
      <c r="S201" s="908"/>
      <c r="T201" s="901"/>
      <c r="U201" s="901"/>
      <c r="V201" s="901"/>
      <c r="W201" s="901"/>
      <c r="X201" s="901"/>
      <c r="Y201" s="901"/>
      <c r="Z201" s="901"/>
      <c r="AA201" s="901"/>
      <c r="AB201" s="901"/>
      <c r="AC201" s="901"/>
    </row>
    <row r="202" spans="1:29" x14ac:dyDescent="0.25">
      <c r="A202" s="901"/>
      <c r="B202" s="901"/>
      <c r="C202" s="901"/>
      <c r="D202" s="901"/>
      <c r="E202" s="901"/>
      <c r="F202" s="901"/>
      <c r="G202" s="901"/>
      <c r="H202" s="901"/>
      <c r="I202" s="901"/>
      <c r="J202" s="901"/>
      <c r="K202" s="901"/>
      <c r="L202" s="901"/>
      <c r="M202" s="901"/>
      <c r="N202" s="901"/>
      <c r="O202" s="901"/>
      <c r="P202" s="901"/>
      <c r="Q202" s="901"/>
      <c r="R202" s="907"/>
      <c r="S202" s="908"/>
      <c r="T202" s="901"/>
      <c r="U202" s="901"/>
      <c r="V202" s="901"/>
      <c r="W202" s="901"/>
      <c r="X202" s="901"/>
      <c r="Y202" s="901"/>
      <c r="Z202" s="901"/>
      <c r="AA202" s="901"/>
      <c r="AB202" s="901"/>
      <c r="AC202" s="901"/>
    </row>
    <row r="203" spans="1:29" x14ac:dyDescent="0.25">
      <c r="A203" s="901"/>
      <c r="B203" s="901"/>
      <c r="C203" s="901"/>
      <c r="D203" s="901"/>
      <c r="E203" s="901"/>
      <c r="F203" s="901"/>
      <c r="G203" s="901"/>
      <c r="H203" s="901"/>
      <c r="I203" s="901"/>
      <c r="J203" s="901"/>
      <c r="K203" s="901"/>
      <c r="L203" s="901"/>
      <c r="M203" s="901"/>
      <c r="N203" s="901"/>
      <c r="O203" s="901"/>
      <c r="P203" s="901"/>
      <c r="Q203" s="901"/>
      <c r="R203" s="907"/>
      <c r="S203" s="908"/>
      <c r="T203" s="901"/>
      <c r="U203" s="901"/>
      <c r="V203" s="901"/>
      <c r="W203" s="901"/>
      <c r="X203" s="901"/>
      <c r="Y203" s="901"/>
      <c r="Z203" s="901"/>
      <c r="AA203" s="901"/>
      <c r="AB203" s="901"/>
      <c r="AC203" s="901"/>
    </row>
    <row r="204" spans="1:29" x14ac:dyDescent="0.25">
      <c r="A204" s="901"/>
      <c r="B204" s="901"/>
      <c r="C204" s="901"/>
      <c r="D204" s="901"/>
      <c r="E204" s="901"/>
      <c r="F204" s="901"/>
      <c r="G204" s="901"/>
      <c r="H204" s="901"/>
      <c r="I204" s="901"/>
      <c r="J204" s="901"/>
      <c r="K204" s="901"/>
      <c r="L204" s="901"/>
      <c r="M204" s="901"/>
      <c r="N204" s="901"/>
      <c r="O204" s="901"/>
      <c r="P204" s="901"/>
      <c r="Q204" s="901"/>
      <c r="R204" s="907"/>
      <c r="S204" s="908"/>
      <c r="T204" s="901"/>
      <c r="U204" s="901"/>
      <c r="V204" s="901"/>
      <c r="W204" s="901"/>
      <c r="X204" s="901"/>
      <c r="Y204" s="901"/>
      <c r="Z204" s="901"/>
      <c r="AA204" s="901"/>
      <c r="AB204" s="901"/>
      <c r="AC204" s="901"/>
    </row>
    <row r="205" spans="1:29" x14ac:dyDescent="0.25">
      <c r="A205" s="901"/>
      <c r="B205" s="901"/>
      <c r="C205" s="901"/>
      <c r="D205" s="901"/>
      <c r="E205" s="901"/>
      <c r="F205" s="901"/>
      <c r="G205" s="901"/>
      <c r="H205" s="901"/>
      <c r="I205" s="901"/>
      <c r="J205" s="901"/>
      <c r="K205" s="901"/>
      <c r="L205" s="901"/>
      <c r="M205" s="901"/>
      <c r="N205" s="901"/>
      <c r="O205" s="901"/>
      <c r="P205" s="901"/>
      <c r="Q205" s="901"/>
      <c r="R205" s="907"/>
      <c r="S205" s="908"/>
      <c r="T205" s="901"/>
      <c r="U205" s="901"/>
      <c r="V205" s="901"/>
      <c r="W205" s="901"/>
      <c r="X205" s="901"/>
      <c r="Y205" s="901"/>
      <c r="Z205" s="901"/>
      <c r="AA205" s="901"/>
      <c r="AB205" s="901"/>
      <c r="AC205" s="901"/>
    </row>
    <row r="206" spans="1:29" x14ac:dyDescent="0.25">
      <c r="A206" s="901"/>
      <c r="B206" s="901"/>
      <c r="C206" s="901"/>
      <c r="D206" s="901"/>
      <c r="E206" s="901"/>
      <c r="F206" s="901"/>
      <c r="G206" s="901"/>
      <c r="H206" s="901"/>
      <c r="I206" s="901"/>
      <c r="J206" s="901"/>
      <c r="K206" s="901"/>
      <c r="L206" s="901"/>
      <c r="M206" s="901"/>
      <c r="N206" s="901"/>
      <c r="O206" s="901"/>
      <c r="P206" s="901"/>
      <c r="Q206" s="901"/>
      <c r="R206" s="907"/>
      <c r="S206" s="908"/>
      <c r="T206" s="901"/>
      <c r="U206" s="901"/>
      <c r="V206" s="901"/>
      <c r="W206" s="901"/>
      <c r="X206" s="901"/>
      <c r="Y206" s="901"/>
      <c r="Z206" s="901"/>
      <c r="AA206" s="901"/>
      <c r="AB206" s="901"/>
      <c r="AC206" s="901"/>
    </row>
    <row r="207" spans="1:29" x14ac:dyDescent="0.25">
      <c r="A207" s="901"/>
      <c r="B207" s="901"/>
      <c r="C207" s="901"/>
      <c r="D207" s="901"/>
      <c r="E207" s="901"/>
      <c r="F207" s="901"/>
      <c r="G207" s="901"/>
      <c r="H207" s="901"/>
      <c r="I207" s="901"/>
      <c r="J207" s="901"/>
      <c r="K207" s="901"/>
      <c r="L207" s="901"/>
      <c r="M207" s="901"/>
      <c r="N207" s="901"/>
      <c r="O207" s="901"/>
      <c r="P207" s="901"/>
      <c r="Q207" s="901"/>
      <c r="R207" s="907"/>
      <c r="S207" s="908"/>
      <c r="T207" s="901"/>
      <c r="U207" s="901"/>
      <c r="V207" s="901"/>
      <c r="W207" s="901"/>
      <c r="X207" s="901"/>
      <c r="Y207" s="901"/>
      <c r="Z207" s="901"/>
      <c r="AA207" s="901"/>
      <c r="AB207" s="901"/>
      <c r="AC207" s="901"/>
    </row>
    <row r="208" spans="1:29" x14ac:dyDescent="0.25">
      <c r="A208" s="901"/>
      <c r="B208" s="901"/>
      <c r="C208" s="901"/>
      <c r="D208" s="901"/>
      <c r="E208" s="901"/>
      <c r="F208" s="901"/>
      <c r="G208" s="901"/>
      <c r="H208" s="901"/>
      <c r="I208" s="901"/>
      <c r="J208" s="901"/>
      <c r="K208" s="901"/>
      <c r="L208" s="901"/>
      <c r="M208" s="901"/>
      <c r="N208" s="901"/>
      <c r="O208" s="901"/>
      <c r="P208" s="901"/>
      <c r="Q208" s="901"/>
      <c r="R208" s="907"/>
      <c r="S208" s="908"/>
      <c r="T208" s="901"/>
      <c r="U208" s="901"/>
      <c r="V208" s="901"/>
      <c r="W208" s="901"/>
      <c r="X208" s="901"/>
      <c r="Y208" s="901"/>
      <c r="Z208" s="901"/>
      <c r="AA208" s="901"/>
      <c r="AB208" s="901"/>
      <c r="AC208" s="901"/>
    </row>
    <row r="209" spans="1:29" x14ac:dyDescent="0.25">
      <c r="A209" s="901"/>
      <c r="B209" s="901"/>
      <c r="C209" s="901"/>
      <c r="D209" s="901"/>
      <c r="E209" s="901"/>
      <c r="F209" s="901"/>
      <c r="G209" s="901"/>
      <c r="H209" s="901"/>
      <c r="I209" s="901"/>
      <c r="J209" s="901"/>
      <c r="K209" s="901"/>
      <c r="L209" s="901"/>
      <c r="M209" s="901"/>
      <c r="N209" s="901"/>
      <c r="O209" s="901"/>
      <c r="P209" s="901"/>
      <c r="Q209" s="901"/>
      <c r="R209" s="907"/>
      <c r="S209" s="908"/>
      <c r="T209" s="901"/>
      <c r="U209" s="901"/>
      <c r="V209" s="901"/>
      <c r="W209" s="901"/>
      <c r="X209" s="901"/>
      <c r="Y209" s="901"/>
      <c r="Z209" s="901"/>
      <c r="AA209" s="901"/>
      <c r="AB209" s="901"/>
      <c r="AC209" s="901"/>
    </row>
    <row r="210" spans="1:29" x14ac:dyDescent="0.25">
      <c r="A210" s="901"/>
      <c r="B210" s="901"/>
      <c r="C210" s="901"/>
      <c r="D210" s="901"/>
      <c r="E210" s="901"/>
      <c r="F210" s="901"/>
      <c r="G210" s="901"/>
      <c r="H210" s="901"/>
      <c r="I210" s="901"/>
      <c r="J210" s="901"/>
      <c r="K210" s="901"/>
      <c r="L210" s="901"/>
      <c r="M210" s="901"/>
      <c r="N210" s="901"/>
      <c r="O210" s="901"/>
      <c r="P210" s="901"/>
      <c r="Q210" s="901"/>
      <c r="R210" s="907"/>
      <c r="S210" s="908"/>
      <c r="T210" s="901"/>
      <c r="U210" s="901"/>
      <c r="V210" s="901"/>
      <c r="W210" s="901"/>
      <c r="X210" s="901"/>
      <c r="Y210" s="901"/>
      <c r="Z210" s="901"/>
      <c r="AA210" s="901"/>
      <c r="AB210" s="901"/>
      <c r="AC210" s="901"/>
    </row>
    <row r="211" spans="1:29" x14ac:dyDescent="0.25">
      <c r="A211" s="901"/>
      <c r="B211" s="901"/>
      <c r="C211" s="901"/>
      <c r="D211" s="901"/>
      <c r="E211" s="901"/>
      <c r="F211" s="901"/>
      <c r="G211" s="901"/>
      <c r="H211" s="901"/>
      <c r="I211" s="901"/>
      <c r="J211" s="901"/>
      <c r="K211" s="901"/>
      <c r="L211" s="901"/>
      <c r="M211" s="901"/>
      <c r="N211" s="901"/>
      <c r="O211" s="901"/>
      <c r="P211" s="901"/>
      <c r="Q211" s="901"/>
      <c r="R211" s="907"/>
      <c r="S211" s="908"/>
      <c r="T211" s="901"/>
      <c r="U211" s="901"/>
      <c r="V211" s="901"/>
      <c r="W211" s="901"/>
      <c r="X211" s="901"/>
      <c r="Y211" s="901"/>
      <c r="Z211" s="901"/>
      <c r="AA211" s="901"/>
      <c r="AB211" s="901"/>
      <c r="AC211" s="901"/>
    </row>
    <row r="212" spans="1:29" x14ac:dyDescent="0.25">
      <c r="A212" s="901"/>
      <c r="B212" s="901"/>
      <c r="C212" s="901"/>
      <c r="D212" s="901"/>
      <c r="E212" s="901"/>
      <c r="F212" s="901"/>
      <c r="G212" s="901"/>
      <c r="H212" s="901"/>
      <c r="I212" s="901"/>
      <c r="J212" s="901"/>
      <c r="K212" s="901"/>
      <c r="L212" s="901"/>
      <c r="M212" s="901"/>
      <c r="N212" s="901"/>
      <c r="O212" s="901"/>
      <c r="P212" s="901"/>
      <c r="Q212" s="901"/>
      <c r="R212" s="907"/>
      <c r="S212" s="908"/>
      <c r="T212" s="901"/>
      <c r="U212" s="901"/>
      <c r="V212" s="901"/>
      <c r="W212" s="901"/>
      <c r="X212" s="901"/>
      <c r="Y212" s="901"/>
      <c r="Z212" s="901"/>
      <c r="AA212" s="901"/>
      <c r="AB212" s="901"/>
      <c r="AC212" s="901"/>
    </row>
    <row r="213" spans="1:29" x14ac:dyDescent="0.25">
      <c r="A213" s="901"/>
      <c r="B213" s="901"/>
      <c r="C213" s="901"/>
      <c r="D213" s="901"/>
      <c r="E213" s="901"/>
      <c r="F213" s="901"/>
      <c r="G213" s="901"/>
      <c r="H213" s="901"/>
      <c r="I213" s="901"/>
      <c r="J213" s="901"/>
      <c r="K213" s="901"/>
      <c r="L213" s="901"/>
      <c r="M213" s="901"/>
      <c r="N213" s="901"/>
      <c r="O213" s="901"/>
      <c r="P213" s="901"/>
      <c r="Q213" s="901"/>
      <c r="R213" s="907"/>
      <c r="S213" s="908"/>
      <c r="T213" s="901"/>
      <c r="U213" s="901"/>
      <c r="V213" s="901"/>
      <c r="W213" s="901"/>
      <c r="X213" s="901"/>
      <c r="Y213" s="901"/>
      <c r="Z213" s="901"/>
      <c r="AA213" s="901"/>
      <c r="AB213" s="901"/>
      <c r="AC213" s="901"/>
    </row>
    <row r="214" spans="1:29" x14ac:dyDescent="0.25">
      <c r="A214" s="901"/>
      <c r="B214" s="901"/>
      <c r="C214" s="901"/>
      <c r="D214" s="901"/>
      <c r="E214" s="901"/>
      <c r="F214" s="901"/>
      <c r="G214" s="901"/>
      <c r="H214" s="901"/>
      <c r="I214" s="901"/>
      <c r="J214" s="901"/>
      <c r="K214" s="901"/>
      <c r="L214" s="901"/>
      <c r="M214" s="901"/>
      <c r="N214" s="901"/>
      <c r="O214" s="901"/>
      <c r="P214" s="901"/>
      <c r="Q214" s="901"/>
      <c r="R214" s="907"/>
      <c r="S214" s="908"/>
      <c r="T214" s="901"/>
      <c r="U214" s="901"/>
      <c r="V214" s="901"/>
      <c r="W214" s="901"/>
      <c r="X214" s="901"/>
      <c r="Y214" s="901"/>
      <c r="Z214" s="901"/>
      <c r="AA214" s="901"/>
      <c r="AB214" s="901"/>
      <c r="AC214" s="901"/>
    </row>
    <row r="215" spans="1:29" x14ac:dyDescent="0.25">
      <c r="A215" s="901"/>
      <c r="B215" s="901"/>
      <c r="C215" s="901"/>
      <c r="D215" s="901"/>
      <c r="E215" s="901"/>
      <c r="F215" s="901"/>
      <c r="G215" s="901"/>
      <c r="H215" s="901"/>
      <c r="I215" s="901"/>
      <c r="J215" s="901"/>
      <c r="K215" s="901"/>
      <c r="L215" s="901"/>
      <c r="M215" s="901"/>
      <c r="N215" s="901"/>
      <c r="O215" s="901"/>
      <c r="P215" s="901"/>
      <c r="Q215" s="901"/>
      <c r="R215" s="907"/>
      <c r="S215" s="908"/>
      <c r="T215" s="901"/>
      <c r="U215" s="901"/>
      <c r="V215" s="901"/>
      <c r="W215" s="901"/>
      <c r="X215" s="901"/>
      <c r="Y215" s="901"/>
      <c r="Z215" s="901"/>
      <c r="AA215" s="901"/>
      <c r="AB215" s="901"/>
      <c r="AC215" s="901"/>
    </row>
    <row r="216" spans="1:29" x14ac:dyDescent="0.25">
      <c r="A216" s="901"/>
      <c r="B216" s="901"/>
      <c r="C216" s="901"/>
      <c r="D216" s="901"/>
      <c r="E216" s="901"/>
      <c r="F216" s="901"/>
      <c r="G216" s="901"/>
      <c r="H216" s="901"/>
      <c r="I216" s="901"/>
      <c r="J216" s="901"/>
      <c r="K216" s="901"/>
      <c r="L216" s="901"/>
      <c r="M216" s="901"/>
      <c r="N216" s="901"/>
      <c r="O216" s="901"/>
      <c r="P216" s="901"/>
      <c r="Q216" s="901"/>
      <c r="R216" s="907"/>
      <c r="S216" s="908"/>
      <c r="T216" s="901"/>
      <c r="U216" s="901"/>
      <c r="V216" s="901"/>
      <c r="W216" s="901"/>
      <c r="X216" s="901"/>
      <c r="Y216" s="901"/>
      <c r="Z216" s="901"/>
      <c r="AA216" s="901"/>
      <c r="AB216" s="901"/>
      <c r="AC216" s="901"/>
    </row>
    <row r="217" spans="1:29" x14ac:dyDescent="0.25">
      <c r="A217" s="901"/>
      <c r="B217" s="901"/>
      <c r="C217" s="901"/>
      <c r="D217" s="901"/>
      <c r="E217" s="901"/>
      <c r="F217" s="901"/>
      <c r="G217" s="901"/>
      <c r="H217" s="901"/>
      <c r="I217" s="901"/>
      <c r="J217" s="901"/>
      <c r="K217" s="901"/>
      <c r="L217" s="901"/>
      <c r="M217" s="901"/>
      <c r="N217" s="901"/>
      <c r="O217" s="901"/>
      <c r="P217" s="901"/>
      <c r="Q217" s="901"/>
      <c r="R217" s="907"/>
      <c r="S217" s="908"/>
      <c r="T217" s="901"/>
      <c r="U217" s="901"/>
      <c r="V217" s="901"/>
      <c r="W217" s="901"/>
      <c r="X217" s="901"/>
      <c r="Y217" s="901"/>
      <c r="Z217" s="901"/>
      <c r="AA217" s="901"/>
      <c r="AB217" s="901"/>
      <c r="AC217" s="901"/>
    </row>
    <row r="218" spans="1:29" x14ac:dyDescent="0.25">
      <c r="A218" s="901"/>
      <c r="B218" s="901"/>
      <c r="C218" s="901"/>
      <c r="D218" s="901"/>
      <c r="E218" s="901"/>
      <c r="F218" s="901"/>
      <c r="G218" s="901"/>
      <c r="H218" s="901"/>
      <c r="I218" s="901"/>
      <c r="J218" s="901"/>
      <c r="K218" s="901"/>
      <c r="L218" s="901"/>
      <c r="M218" s="901"/>
      <c r="N218" s="901"/>
      <c r="O218" s="901"/>
      <c r="P218" s="901"/>
      <c r="Q218" s="901"/>
      <c r="R218" s="907"/>
      <c r="S218" s="908"/>
      <c r="T218" s="901"/>
      <c r="U218" s="901"/>
      <c r="V218" s="901"/>
      <c r="W218" s="901"/>
      <c r="X218" s="901"/>
      <c r="Y218" s="901"/>
      <c r="Z218" s="901"/>
      <c r="AA218" s="901"/>
      <c r="AB218" s="901"/>
      <c r="AC218" s="901"/>
    </row>
    <row r="219" spans="1:29" x14ac:dyDescent="0.25">
      <c r="A219" s="901"/>
      <c r="B219" s="901"/>
      <c r="C219" s="901"/>
      <c r="D219" s="901"/>
      <c r="E219" s="901"/>
      <c r="F219" s="901"/>
      <c r="G219" s="901"/>
      <c r="H219" s="901"/>
      <c r="I219" s="901"/>
      <c r="J219" s="901"/>
      <c r="K219" s="901"/>
      <c r="L219" s="901"/>
      <c r="M219" s="901"/>
      <c r="N219" s="901"/>
      <c r="O219" s="901"/>
      <c r="P219" s="901"/>
      <c r="Q219" s="901"/>
      <c r="R219" s="907"/>
      <c r="S219" s="908"/>
      <c r="T219" s="901"/>
      <c r="U219" s="901"/>
      <c r="V219" s="901"/>
      <c r="W219" s="901"/>
      <c r="X219" s="901"/>
      <c r="Y219" s="901"/>
      <c r="Z219" s="901"/>
      <c r="AA219" s="901"/>
      <c r="AB219" s="901"/>
      <c r="AC219" s="901"/>
    </row>
  </sheetData>
  <mergeCells count="17">
    <mergeCell ref="B43:Q43"/>
    <mergeCell ref="L1:Q1"/>
    <mergeCell ref="G5:N5"/>
    <mergeCell ref="P5:Q5"/>
    <mergeCell ref="F6:J6"/>
    <mergeCell ref="M6:Q6"/>
    <mergeCell ref="I8:Q8"/>
    <mergeCell ref="I9:Q9"/>
    <mergeCell ref="C11:P38"/>
    <mergeCell ref="C39:P39"/>
    <mergeCell ref="C40:P40"/>
    <mergeCell ref="C41:P41"/>
    <mergeCell ref="C46:E46"/>
    <mergeCell ref="G46:J46"/>
    <mergeCell ref="L46:P46"/>
    <mergeCell ref="C47:E47"/>
    <mergeCell ref="L47:P47"/>
  </mergeCells>
  <dataValidations count="5">
    <dataValidation operator="equal" allowBlank="1" showErrorMessage="1" error="Digite uma data válida._x000a_Formato dia/mês/ano - Ex.: 01/01/1999" sqref="P65197 JL65197 TH65197 ADD65197 AMZ65197 AWV65197 BGR65197 BQN65197 CAJ65197 CKF65197 CUB65197 DDX65197 DNT65197 DXP65197 EHL65197 ERH65197 FBD65197 FKZ65197 FUV65197 GER65197 GON65197 GYJ65197 HIF65197 HSB65197 IBX65197 ILT65197 IVP65197 JFL65197 JPH65197 JZD65197 KIZ65197 KSV65197 LCR65197 LMN65197 LWJ65197 MGF65197 MQB65197 MZX65197 NJT65197 NTP65197 ODL65197 ONH65197 OXD65197 PGZ65197 PQV65197 QAR65197 QKN65197 QUJ65197 REF65197 ROB65197 RXX65197 SHT65197 SRP65197 TBL65197 TLH65197 TVD65197 UEZ65197 UOV65197 UYR65197 VIN65197 VSJ65197 WCF65197 WMB65197 WVX65197 P130733 JL130733 TH130733 ADD130733 AMZ130733 AWV130733 BGR130733 BQN130733 CAJ130733 CKF130733 CUB130733 DDX130733 DNT130733 DXP130733 EHL130733 ERH130733 FBD130733 FKZ130733 FUV130733 GER130733 GON130733 GYJ130733 HIF130733 HSB130733 IBX130733 ILT130733 IVP130733 JFL130733 JPH130733 JZD130733 KIZ130733 KSV130733 LCR130733 LMN130733 LWJ130733 MGF130733 MQB130733 MZX130733 NJT130733 NTP130733 ODL130733 ONH130733 OXD130733 PGZ130733 PQV130733 QAR130733 QKN130733 QUJ130733 REF130733 ROB130733 RXX130733 SHT130733 SRP130733 TBL130733 TLH130733 TVD130733 UEZ130733 UOV130733 UYR130733 VIN130733 VSJ130733 WCF130733 WMB130733 WVX130733 P196269 JL196269 TH196269 ADD196269 AMZ196269 AWV196269 BGR196269 BQN196269 CAJ196269 CKF196269 CUB196269 DDX196269 DNT196269 DXP196269 EHL196269 ERH196269 FBD196269 FKZ196269 FUV196269 GER196269 GON196269 GYJ196269 HIF196269 HSB196269 IBX196269 ILT196269 IVP196269 JFL196269 JPH196269 JZD196269 KIZ196269 KSV196269 LCR196269 LMN196269 LWJ196269 MGF196269 MQB196269 MZX196269 NJT196269 NTP196269 ODL196269 ONH196269 OXD196269 PGZ196269 PQV196269 QAR196269 QKN196269 QUJ196269 REF196269 ROB196269 RXX196269 SHT196269 SRP196269 TBL196269 TLH196269 TVD196269 UEZ196269 UOV196269 UYR196269 VIN196269 VSJ196269 WCF196269 WMB196269 WVX196269 P261805 JL261805 TH261805 ADD261805 AMZ261805 AWV261805 BGR261805 BQN261805 CAJ261805 CKF261805 CUB261805 DDX261805 DNT261805 DXP261805 EHL261805 ERH261805 FBD261805 FKZ261805 FUV261805 GER261805 GON261805 GYJ261805 HIF261805 HSB261805 IBX261805 ILT261805 IVP261805 JFL261805 JPH261805 JZD261805 KIZ261805 KSV261805 LCR261805 LMN261805 LWJ261805 MGF261805 MQB261805 MZX261805 NJT261805 NTP261805 ODL261805 ONH261805 OXD261805 PGZ261805 PQV261805 QAR261805 QKN261805 QUJ261805 REF261805 ROB261805 RXX261805 SHT261805 SRP261805 TBL261805 TLH261805 TVD261805 UEZ261805 UOV261805 UYR261805 VIN261805 VSJ261805 WCF261805 WMB261805 WVX261805 P327341 JL327341 TH327341 ADD327341 AMZ327341 AWV327341 BGR327341 BQN327341 CAJ327341 CKF327341 CUB327341 DDX327341 DNT327341 DXP327341 EHL327341 ERH327341 FBD327341 FKZ327341 FUV327341 GER327341 GON327341 GYJ327341 HIF327341 HSB327341 IBX327341 ILT327341 IVP327341 JFL327341 JPH327341 JZD327341 KIZ327341 KSV327341 LCR327341 LMN327341 LWJ327341 MGF327341 MQB327341 MZX327341 NJT327341 NTP327341 ODL327341 ONH327341 OXD327341 PGZ327341 PQV327341 QAR327341 QKN327341 QUJ327341 REF327341 ROB327341 RXX327341 SHT327341 SRP327341 TBL327341 TLH327341 TVD327341 UEZ327341 UOV327341 UYR327341 VIN327341 VSJ327341 WCF327341 WMB327341 WVX327341 P392877 JL392877 TH392877 ADD392877 AMZ392877 AWV392877 BGR392877 BQN392877 CAJ392877 CKF392877 CUB392877 DDX392877 DNT392877 DXP392877 EHL392877 ERH392877 FBD392877 FKZ392877 FUV392877 GER392877 GON392877 GYJ392877 HIF392877 HSB392877 IBX392877 ILT392877 IVP392877 JFL392877 JPH392877 JZD392877 KIZ392877 KSV392877 LCR392877 LMN392877 LWJ392877 MGF392877 MQB392877 MZX392877 NJT392877 NTP392877 ODL392877 ONH392877 OXD392877 PGZ392877 PQV392877 QAR392877 QKN392877 QUJ392877 REF392877 ROB392877 RXX392877 SHT392877 SRP392877 TBL392877 TLH392877 TVD392877 UEZ392877 UOV392877 UYR392877 VIN392877 VSJ392877 WCF392877 WMB392877 WVX392877 P458413 JL458413 TH458413 ADD458413 AMZ458413 AWV458413 BGR458413 BQN458413 CAJ458413 CKF458413 CUB458413 DDX458413 DNT458413 DXP458413 EHL458413 ERH458413 FBD458413 FKZ458413 FUV458413 GER458413 GON458413 GYJ458413 HIF458413 HSB458413 IBX458413 ILT458413 IVP458413 JFL458413 JPH458413 JZD458413 KIZ458413 KSV458413 LCR458413 LMN458413 LWJ458413 MGF458413 MQB458413 MZX458413 NJT458413 NTP458413 ODL458413 ONH458413 OXD458413 PGZ458413 PQV458413 QAR458413 QKN458413 QUJ458413 REF458413 ROB458413 RXX458413 SHT458413 SRP458413 TBL458413 TLH458413 TVD458413 UEZ458413 UOV458413 UYR458413 VIN458413 VSJ458413 WCF458413 WMB458413 WVX458413 P523949 JL523949 TH523949 ADD523949 AMZ523949 AWV523949 BGR523949 BQN523949 CAJ523949 CKF523949 CUB523949 DDX523949 DNT523949 DXP523949 EHL523949 ERH523949 FBD523949 FKZ523949 FUV523949 GER523949 GON523949 GYJ523949 HIF523949 HSB523949 IBX523949 ILT523949 IVP523949 JFL523949 JPH523949 JZD523949 KIZ523949 KSV523949 LCR523949 LMN523949 LWJ523949 MGF523949 MQB523949 MZX523949 NJT523949 NTP523949 ODL523949 ONH523949 OXD523949 PGZ523949 PQV523949 QAR523949 QKN523949 QUJ523949 REF523949 ROB523949 RXX523949 SHT523949 SRP523949 TBL523949 TLH523949 TVD523949 UEZ523949 UOV523949 UYR523949 VIN523949 VSJ523949 WCF523949 WMB523949 WVX523949 P589485 JL589485 TH589485 ADD589485 AMZ589485 AWV589485 BGR589485 BQN589485 CAJ589485 CKF589485 CUB589485 DDX589485 DNT589485 DXP589485 EHL589485 ERH589485 FBD589485 FKZ589485 FUV589485 GER589485 GON589485 GYJ589485 HIF589485 HSB589485 IBX589485 ILT589485 IVP589485 JFL589485 JPH589485 JZD589485 KIZ589485 KSV589485 LCR589485 LMN589485 LWJ589485 MGF589485 MQB589485 MZX589485 NJT589485 NTP589485 ODL589485 ONH589485 OXD589485 PGZ589485 PQV589485 QAR589485 QKN589485 QUJ589485 REF589485 ROB589485 RXX589485 SHT589485 SRP589485 TBL589485 TLH589485 TVD589485 UEZ589485 UOV589485 UYR589485 VIN589485 VSJ589485 WCF589485 WMB589485 WVX589485 P655021 JL655021 TH655021 ADD655021 AMZ655021 AWV655021 BGR655021 BQN655021 CAJ655021 CKF655021 CUB655021 DDX655021 DNT655021 DXP655021 EHL655021 ERH655021 FBD655021 FKZ655021 FUV655021 GER655021 GON655021 GYJ655021 HIF655021 HSB655021 IBX655021 ILT655021 IVP655021 JFL655021 JPH655021 JZD655021 KIZ655021 KSV655021 LCR655021 LMN655021 LWJ655021 MGF655021 MQB655021 MZX655021 NJT655021 NTP655021 ODL655021 ONH655021 OXD655021 PGZ655021 PQV655021 QAR655021 QKN655021 QUJ655021 REF655021 ROB655021 RXX655021 SHT655021 SRP655021 TBL655021 TLH655021 TVD655021 UEZ655021 UOV655021 UYR655021 VIN655021 VSJ655021 WCF655021 WMB655021 WVX655021 P720557 JL720557 TH720557 ADD720557 AMZ720557 AWV720557 BGR720557 BQN720557 CAJ720557 CKF720557 CUB720557 DDX720557 DNT720557 DXP720557 EHL720557 ERH720557 FBD720557 FKZ720557 FUV720557 GER720557 GON720557 GYJ720557 HIF720557 HSB720557 IBX720557 ILT720557 IVP720557 JFL720557 JPH720557 JZD720557 KIZ720557 KSV720557 LCR720557 LMN720557 LWJ720557 MGF720557 MQB720557 MZX720557 NJT720557 NTP720557 ODL720557 ONH720557 OXD720557 PGZ720557 PQV720557 QAR720557 QKN720557 QUJ720557 REF720557 ROB720557 RXX720557 SHT720557 SRP720557 TBL720557 TLH720557 TVD720557 UEZ720557 UOV720557 UYR720557 VIN720557 VSJ720557 WCF720557 WMB720557 WVX720557 P786093 JL786093 TH786093 ADD786093 AMZ786093 AWV786093 BGR786093 BQN786093 CAJ786093 CKF786093 CUB786093 DDX786093 DNT786093 DXP786093 EHL786093 ERH786093 FBD786093 FKZ786093 FUV786093 GER786093 GON786093 GYJ786093 HIF786093 HSB786093 IBX786093 ILT786093 IVP786093 JFL786093 JPH786093 JZD786093 KIZ786093 KSV786093 LCR786093 LMN786093 LWJ786093 MGF786093 MQB786093 MZX786093 NJT786093 NTP786093 ODL786093 ONH786093 OXD786093 PGZ786093 PQV786093 QAR786093 QKN786093 QUJ786093 REF786093 ROB786093 RXX786093 SHT786093 SRP786093 TBL786093 TLH786093 TVD786093 UEZ786093 UOV786093 UYR786093 VIN786093 VSJ786093 WCF786093 WMB786093 WVX786093 P851629 JL851629 TH851629 ADD851629 AMZ851629 AWV851629 BGR851629 BQN851629 CAJ851629 CKF851629 CUB851629 DDX851629 DNT851629 DXP851629 EHL851629 ERH851629 FBD851629 FKZ851629 FUV851629 GER851629 GON851629 GYJ851629 HIF851629 HSB851629 IBX851629 ILT851629 IVP851629 JFL851629 JPH851629 JZD851629 KIZ851629 KSV851629 LCR851629 LMN851629 LWJ851629 MGF851629 MQB851629 MZX851629 NJT851629 NTP851629 ODL851629 ONH851629 OXD851629 PGZ851629 PQV851629 QAR851629 QKN851629 QUJ851629 REF851629 ROB851629 RXX851629 SHT851629 SRP851629 TBL851629 TLH851629 TVD851629 UEZ851629 UOV851629 UYR851629 VIN851629 VSJ851629 WCF851629 WMB851629 WVX851629 P917165 JL917165 TH917165 ADD917165 AMZ917165 AWV917165 BGR917165 BQN917165 CAJ917165 CKF917165 CUB917165 DDX917165 DNT917165 DXP917165 EHL917165 ERH917165 FBD917165 FKZ917165 FUV917165 GER917165 GON917165 GYJ917165 HIF917165 HSB917165 IBX917165 ILT917165 IVP917165 JFL917165 JPH917165 JZD917165 KIZ917165 KSV917165 LCR917165 LMN917165 LWJ917165 MGF917165 MQB917165 MZX917165 NJT917165 NTP917165 ODL917165 ONH917165 OXD917165 PGZ917165 PQV917165 QAR917165 QKN917165 QUJ917165 REF917165 ROB917165 RXX917165 SHT917165 SRP917165 TBL917165 TLH917165 TVD917165 UEZ917165 UOV917165 UYR917165 VIN917165 VSJ917165 WCF917165 WMB917165 WVX917165 P982701 JL982701 TH982701 ADD982701 AMZ982701 AWV982701 BGR982701 BQN982701 CAJ982701 CKF982701 CUB982701 DDX982701 DNT982701 DXP982701 EHL982701 ERH982701 FBD982701 FKZ982701 FUV982701 GER982701 GON982701 GYJ982701 HIF982701 HSB982701 IBX982701 ILT982701 IVP982701 JFL982701 JPH982701 JZD982701 KIZ982701 KSV982701 LCR982701 LMN982701 LWJ982701 MGF982701 MQB982701 MZX982701 NJT982701 NTP982701 ODL982701 ONH982701 OXD982701 PGZ982701 PQV982701 QAR982701 QKN982701 QUJ982701 REF982701 ROB982701 RXX982701 SHT982701 SRP982701 TBL982701 TLH982701 TVD982701 UEZ982701 UOV982701 UYR982701 VIN982701 VSJ982701 WCF982701 WMB982701 WVX982701 P65246 JL65246 TH65246 ADD65246 AMZ65246 AWV65246 BGR65246 BQN65246 CAJ65246 CKF65246 CUB65246 DDX65246 DNT65246 DXP65246 EHL65246 ERH65246 FBD65246 FKZ65246 FUV65246 GER65246 GON65246 GYJ65246 HIF65246 HSB65246 IBX65246 ILT65246 IVP65246 JFL65246 JPH65246 JZD65246 KIZ65246 KSV65246 LCR65246 LMN65246 LWJ65246 MGF65246 MQB65246 MZX65246 NJT65246 NTP65246 ODL65246 ONH65246 OXD65246 PGZ65246 PQV65246 QAR65246 QKN65246 QUJ65246 REF65246 ROB65246 RXX65246 SHT65246 SRP65246 TBL65246 TLH65246 TVD65246 UEZ65246 UOV65246 UYR65246 VIN65246 VSJ65246 WCF65246 WMB65246 WVX65246 P130782 JL130782 TH130782 ADD130782 AMZ130782 AWV130782 BGR130782 BQN130782 CAJ130782 CKF130782 CUB130782 DDX130782 DNT130782 DXP130782 EHL130782 ERH130782 FBD130782 FKZ130782 FUV130782 GER130782 GON130782 GYJ130782 HIF130782 HSB130782 IBX130782 ILT130782 IVP130782 JFL130782 JPH130782 JZD130782 KIZ130782 KSV130782 LCR130782 LMN130782 LWJ130782 MGF130782 MQB130782 MZX130782 NJT130782 NTP130782 ODL130782 ONH130782 OXD130782 PGZ130782 PQV130782 QAR130782 QKN130782 QUJ130782 REF130782 ROB130782 RXX130782 SHT130782 SRP130782 TBL130782 TLH130782 TVD130782 UEZ130782 UOV130782 UYR130782 VIN130782 VSJ130782 WCF130782 WMB130782 WVX130782 P196318 JL196318 TH196318 ADD196318 AMZ196318 AWV196318 BGR196318 BQN196318 CAJ196318 CKF196318 CUB196318 DDX196318 DNT196318 DXP196318 EHL196318 ERH196318 FBD196318 FKZ196318 FUV196318 GER196318 GON196318 GYJ196318 HIF196318 HSB196318 IBX196318 ILT196318 IVP196318 JFL196318 JPH196318 JZD196318 KIZ196318 KSV196318 LCR196318 LMN196318 LWJ196318 MGF196318 MQB196318 MZX196318 NJT196318 NTP196318 ODL196318 ONH196318 OXD196318 PGZ196318 PQV196318 QAR196318 QKN196318 QUJ196318 REF196318 ROB196318 RXX196318 SHT196318 SRP196318 TBL196318 TLH196318 TVD196318 UEZ196318 UOV196318 UYR196318 VIN196318 VSJ196318 WCF196318 WMB196318 WVX196318 P261854 JL261854 TH261854 ADD261854 AMZ261854 AWV261854 BGR261854 BQN261854 CAJ261854 CKF261854 CUB261854 DDX261854 DNT261854 DXP261854 EHL261854 ERH261854 FBD261854 FKZ261854 FUV261854 GER261854 GON261854 GYJ261854 HIF261854 HSB261854 IBX261854 ILT261854 IVP261854 JFL261854 JPH261854 JZD261854 KIZ261854 KSV261854 LCR261854 LMN261854 LWJ261854 MGF261854 MQB261854 MZX261854 NJT261854 NTP261854 ODL261854 ONH261854 OXD261854 PGZ261854 PQV261854 QAR261854 QKN261854 QUJ261854 REF261854 ROB261854 RXX261854 SHT261854 SRP261854 TBL261854 TLH261854 TVD261854 UEZ261854 UOV261854 UYR261854 VIN261854 VSJ261854 WCF261854 WMB261854 WVX261854 P327390 JL327390 TH327390 ADD327390 AMZ327390 AWV327390 BGR327390 BQN327390 CAJ327390 CKF327390 CUB327390 DDX327390 DNT327390 DXP327390 EHL327390 ERH327390 FBD327390 FKZ327390 FUV327390 GER327390 GON327390 GYJ327390 HIF327390 HSB327390 IBX327390 ILT327390 IVP327390 JFL327390 JPH327390 JZD327390 KIZ327390 KSV327390 LCR327390 LMN327390 LWJ327390 MGF327390 MQB327390 MZX327390 NJT327390 NTP327390 ODL327390 ONH327390 OXD327390 PGZ327390 PQV327390 QAR327390 QKN327390 QUJ327390 REF327390 ROB327390 RXX327390 SHT327390 SRP327390 TBL327390 TLH327390 TVD327390 UEZ327390 UOV327390 UYR327390 VIN327390 VSJ327390 WCF327390 WMB327390 WVX327390 P392926 JL392926 TH392926 ADD392926 AMZ392926 AWV392926 BGR392926 BQN392926 CAJ392926 CKF392926 CUB392926 DDX392926 DNT392926 DXP392926 EHL392926 ERH392926 FBD392926 FKZ392926 FUV392926 GER392926 GON392926 GYJ392926 HIF392926 HSB392926 IBX392926 ILT392926 IVP392926 JFL392926 JPH392926 JZD392926 KIZ392926 KSV392926 LCR392926 LMN392926 LWJ392926 MGF392926 MQB392926 MZX392926 NJT392926 NTP392926 ODL392926 ONH392926 OXD392926 PGZ392926 PQV392926 QAR392926 QKN392926 QUJ392926 REF392926 ROB392926 RXX392926 SHT392926 SRP392926 TBL392926 TLH392926 TVD392926 UEZ392926 UOV392926 UYR392926 VIN392926 VSJ392926 WCF392926 WMB392926 WVX392926 P458462 JL458462 TH458462 ADD458462 AMZ458462 AWV458462 BGR458462 BQN458462 CAJ458462 CKF458462 CUB458462 DDX458462 DNT458462 DXP458462 EHL458462 ERH458462 FBD458462 FKZ458462 FUV458462 GER458462 GON458462 GYJ458462 HIF458462 HSB458462 IBX458462 ILT458462 IVP458462 JFL458462 JPH458462 JZD458462 KIZ458462 KSV458462 LCR458462 LMN458462 LWJ458462 MGF458462 MQB458462 MZX458462 NJT458462 NTP458462 ODL458462 ONH458462 OXD458462 PGZ458462 PQV458462 QAR458462 QKN458462 QUJ458462 REF458462 ROB458462 RXX458462 SHT458462 SRP458462 TBL458462 TLH458462 TVD458462 UEZ458462 UOV458462 UYR458462 VIN458462 VSJ458462 WCF458462 WMB458462 WVX458462 P523998 JL523998 TH523998 ADD523998 AMZ523998 AWV523998 BGR523998 BQN523998 CAJ523998 CKF523998 CUB523998 DDX523998 DNT523998 DXP523998 EHL523998 ERH523998 FBD523998 FKZ523998 FUV523998 GER523998 GON523998 GYJ523998 HIF523998 HSB523998 IBX523998 ILT523998 IVP523998 JFL523998 JPH523998 JZD523998 KIZ523998 KSV523998 LCR523998 LMN523998 LWJ523998 MGF523998 MQB523998 MZX523998 NJT523998 NTP523998 ODL523998 ONH523998 OXD523998 PGZ523998 PQV523998 QAR523998 QKN523998 QUJ523998 REF523998 ROB523998 RXX523998 SHT523998 SRP523998 TBL523998 TLH523998 TVD523998 UEZ523998 UOV523998 UYR523998 VIN523998 VSJ523998 WCF523998 WMB523998 WVX523998 P589534 JL589534 TH589534 ADD589534 AMZ589534 AWV589534 BGR589534 BQN589534 CAJ589534 CKF589534 CUB589534 DDX589534 DNT589534 DXP589534 EHL589534 ERH589534 FBD589534 FKZ589534 FUV589534 GER589534 GON589534 GYJ589534 HIF589534 HSB589534 IBX589534 ILT589534 IVP589534 JFL589534 JPH589534 JZD589534 KIZ589534 KSV589534 LCR589534 LMN589534 LWJ589534 MGF589534 MQB589534 MZX589534 NJT589534 NTP589534 ODL589534 ONH589534 OXD589534 PGZ589534 PQV589534 QAR589534 QKN589534 QUJ589534 REF589534 ROB589534 RXX589534 SHT589534 SRP589534 TBL589534 TLH589534 TVD589534 UEZ589534 UOV589534 UYR589534 VIN589534 VSJ589534 WCF589534 WMB589534 WVX589534 P655070 JL655070 TH655070 ADD655070 AMZ655070 AWV655070 BGR655070 BQN655070 CAJ655070 CKF655070 CUB655070 DDX655070 DNT655070 DXP655070 EHL655070 ERH655070 FBD655070 FKZ655070 FUV655070 GER655070 GON655070 GYJ655070 HIF655070 HSB655070 IBX655070 ILT655070 IVP655070 JFL655070 JPH655070 JZD655070 KIZ655070 KSV655070 LCR655070 LMN655070 LWJ655070 MGF655070 MQB655070 MZX655070 NJT655070 NTP655070 ODL655070 ONH655070 OXD655070 PGZ655070 PQV655070 QAR655070 QKN655070 QUJ655070 REF655070 ROB655070 RXX655070 SHT655070 SRP655070 TBL655070 TLH655070 TVD655070 UEZ655070 UOV655070 UYR655070 VIN655070 VSJ655070 WCF655070 WMB655070 WVX655070 P720606 JL720606 TH720606 ADD720606 AMZ720606 AWV720606 BGR720606 BQN720606 CAJ720606 CKF720606 CUB720606 DDX720606 DNT720606 DXP720606 EHL720606 ERH720606 FBD720606 FKZ720606 FUV720606 GER720606 GON720606 GYJ720606 HIF720606 HSB720606 IBX720606 ILT720606 IVP720606 JFL720606 JPH720606 JZD720606 KIZ720606 KSV720606 LCR720606 LMN720606 LWJ720606 MGF720606 MQB720606 MZX720606 NJT720606 NTP720606 ODL720606 ONH720606 OXD720606 PGZ720606 PQV720606 QAR720606 QKN720606 QUJ720606 REF720606 ROB720606 RXX720606 SHT720606 SRP720606 TBL720606 TLH720606 TVD720606 UEZ720606 UOV720606 UYR720606 VIN720606 VSJ720606 WCF720606 WMB720606 WVX720606 P786142 JL786142 TH786142 ADD786142 AMZ786142 AWV786142 BGR786142 BQN786142 CAJ786142 CKF786142 CUB786142 DDX786142 DNT786142 DXP786142 EHL786142 ERH786142 FBD786142 FKZ786142 FUV786142 GER786142 GON786142 GYJ786142 HIF786142 HSB786142 IBX786142 ILT786142 IVP786142 JFL786142 JPH786142 JZD786142 KIZ786142 KSV786142 LCR786142 LMN786142 LWJ786142 MGF786142 MQB786142 MZX786142 NJT786142 NTP786142 ODL786142 ONH786142 OXD786142 PGZ786142 PQV786142 QAR786142 QKN786142 QUJ786142 REF786142 ROB786142 RXX786142 SHT786142 SRP786142 TBL786142 TLH786142 TVD786142 UEZ786142 UOV786142 UYR786142 VIN786142 VSJ786142 WCF786142 WMB786142 WVX786142 P851678 JL851678 TH851678 ADD851678 AMZ851678 AWV851678 BGR851678 BQN851678 CAJ851678 CKF851678 CUB851678 DDX851678 DNT851678 DXP851678 EHL851678 ERH851678 FBD851678 FKZ851678 FUV851678 GER851678 GON851678 GYJ851678 HIF851678 HSB851678 IBX851678 ILT851678 IVP851678 JFL851678 JPH851678 JZD851678 KIZ851678 KSV851678 LCR851678 LMN851678 LWJ851678 MGF851678 MQB851678 MZX851678 NJT851678 NTP851678 ODL851678 ONH851678 OXD851678 PGZ851678 PQV851678 QAR851678 QKN851678 QUJ851678 REF851678 ROB851678 RXX851678 SHT851678 SRP851678 TBL851678 TLH851678 TVD851678 UEZ851678 UOV851678 UYR851678 VIN851678 VSJ851678 WCF851678 WMB851678 WVX851678 P917214 JL917214 TH917214 ADD917214 AMZ917214 AWV917214 BGR917214 BQN917214 CAJ917214 CKF917214 CUB917214 DDX917214 DNT917214 DXP917214 EHL917214 ERH917214 FBD917214 FKZ917214 FUV917214 GER917214 GON917214 GYJ917214 HIF917214 HSB917214 IBX917214 ILT917214 IVP917214 JFL917214 JPH917214 JZD917214 KIZ917214 KSV917214 LCR917214 LMN917214 LWJ917214 MGF917214 MQB917214 MZX917214 NJT917214 NTP917214 ODL917214 ONH917214 OXD917214 PGZ917214 PQV917214 QAR917214 QKN917214 QUJ917214 REF917214 ROB917214 RXX917214 SHT917214 SRP917214 TBL917214 TLH917214 TVD917214 UEZ917214 UOV917214 UYR917214 VIN917214 VSJ917214 WCF917214 WMB917214 WVX917214 P982750 JL982750 TH982750 ADD982750 AMZ982750 AWV982750 BGR982750 BQN982750 CAJ982750 CKF982750 CUB982750 DDX982750 DNT982750 DXP982750 EHL982750 ERH982750 FBD982750 FKZ982750 FUV982750 GER982750 GON982750 GYJ982750 HIF982750 HSB982750 IBX982750 ILT982750 IVP982750 JFL982750 JPH982750 JZD982750 KIZ982750 KSV982750 LCR982750 LMN982750 LWJ982750 MGF982750 MQB982750 MZX982750 NJT982750 NTP982750 ODL982750 ONH982750 OXD982750 PGZ982750 PQV982750 QAR982750 QKN982750 QUJ982750 REF982750 ROB982750 RXX982750 SHT982750 SRP982750 TBL982750 TLH982750 TVD982750 UEZ982750 UOV982750 UYR982750 VIN982750 VSJ982750 WCF982750 WMB982750 WVX982750 P65295 JL65295 TH65295 ADD65295 AMZ65295 AWV65295 BGR65295 BQN65295 CAJ65295 CKF65295 CUB65295 DDX65295 DNT65295 DXP65295 EHL65295 ERH65295 FBD65295 FKZ65295 FUV65295 GER65295 GON65295 GYJ65295 HIF65295 HSB65295 IBX65295 ILT65295 IVP65295 JFL65295 JPH65295 JZD65295 KIZ65295 KSV65295 LCR65295 LMN65295 LWJ65295 MGF65295 MQB65295 MZX65295 NJT65295 NTP65295 ODL65295 ONH65295 OXD65295 PGZ65295 PQV65295 QAR65295 QKN65295 QUJ65295 REF65295 ROB65295 RXX65295 SHT65295 SRP65295 TBL65295 TLH65295 TVD65295 UEZ65295 UOV65295 UYR65295 VIN65295 VSJ65295 WCF65295 WMB65295 WVX65295 P130831 JL130831 TH130831 ADD130831 AMZ130831 AWV130831 BGR130831 BQN130831 CAJ130831 CKF130831 CUB130831 DDX130831 DNT130831 DXP130831 EHL130831 ERH130831 FBD130831 FKZ130831 FUV130831 GER130831 GON130831 GYJ130831 HIF130831 HSB130831 IBX130831 ILT130831 IVP130831 JFL130831 JPH130831 JZD130831 KIZ130831 KSV130831 LCR130831 LMN130831 LWJ130831 MGF130831 MQB130831 MZX130831 NJT130831 NTP130831 ODL130831 ONH130831 OXD130831 PGZ130831 PQV130831 QAR130831 QKN130831 QUJ130831 REF130831 ROB130831 RXX130831 SHT130831 SRP130831 TBL130831 TLH130831 TVD130831 UEZ130831 UOV130831 UYR130831 VIN130831 VSJ130831 WCF130831 WMB130831 WVX130831 P196367 JL196367 TH196367 ADD196367 AMZ196367 AWV196367 BGR196367 BQN196367 CAJ196367 CKF196367 CUB196367 DDX196367 DNT196367 DXP196367 EHL196367 ERH196367 FBD196367 FKZ196367 FUV196367 GER196367 GON196367 GYJ196367 HIF196367 HSB196367 IBX196367 ILT196367 IVP196367 JFL196367 JPH196367 JZD196367 KIZ196367 KSV196367 LCR196367 LMN196367 LWJ196367 MGF196367 MQB196367 MZX196367 NJT196367 NTP196367 ODL196367 ONH196367 OXD196367 PGZ196367 PQV196367 QAR196367 QKN196367 QUJ196367 REF196367 ROB196367 RXX196367 SHT196367 SRP196367 TBL196367 TLH196367 TVD196367 UEZ196367 UOV196367 UYR196367 VIN196367 VSJ196367 WCF196367 WMB196367 WVX196367 P261903 JL261903 TH261903 ADD261903 AMZ261903 AWV261903 BGR261903 BQN261903 CAJ261903 CKF261903 CUB261903 DDX261903 DNT261903 DXP261903 EHL261903 ERH261903 FBD261903 FKZ261903 FUV261903 GER261903 GON261903 GYJ261903 HIF261903 HSB261903 IBX261903 ILT261903 IVP261903 JFL261903 JPH261903 JZD261903 KIZ261903 KSV261903 LCR261903 LMN261903 LWJ261903 MGF261903 MQB261903 MZX261903 NJT261903 NTP261903 ODL261903 ONH261903 OXD261903 PGZ261903 PQV261903 QAR261903 QKN261903 QUJ261903 REF261903 ROB261903 RXX261903 SHT261903 SRP261903 TBL261903 TLH261903 TVD261903 UEZ261903 UOV261903 UYR261903 VIN261903 VSJ261903 WCF261903 WMB261903 WVX261903 P327439 JL327439 TH327439 ADD327439 AMZ327439 AWV327439 BGR327439 BQN327439 CAJ327439 CKF327439 CUB327439 DDX327439 DNT327439 DXP327439 EHL327439 ERH327439 FBD327439 FKZ327439 FUV327439 GER327439 GON327439 GYJ327439 HIF327439 HSB327439 IBX327439 ILT327439 IVP327439 JFL327439 JPH327439 JZD327439 KIZ327439 KSV327439 LCR327439 LMN327439 LWJ327439 MGF327439 MQB327439 MZX327439 NJT327439 NTP327439 ODL327439 ONH327439 OXD327439 PGZ327439 PQV327439 QAR327439 QKN327439 QUJ327439 REF327439 ROB327439 RXX327439 SHT327439 SRP327439 TBL327439 TLH327439 TVD327439 UEZ327439 UOV327439 UYR327439 VIN327439 VSJ327439 WCF327439 WMB327439 WVX327439 P392975 JL392975 TH392975 ADD392975 AMZ392975 AWV392975 BGR392975 BQN392975 CAJ392975 CKF392975 CUB392975 DDX392975 DNT392975 DXP392975 EHL392975 ERH392975 FBD392975 FKZ392975 FUV392975 GER392975 GON392975 GYJ392975 HIF392975 HSB392975 IBX392975 ILT392975 IVP392975 JFL392975 JPH392975 JZD392975 KIZ392975 KSV392975 LCR392975 LMN392975 LWJ392975 MGF392975 MQB392975 MZX392975 NJT392975 NTP392975 ODL392975 ONH392975 OXD392975 PGZ392975 PQV392975 QAR392975 QKN392975 QUJ392975 REF392975 ROB392975 RXX392975 SHT392975 SRP392975 TBL392975 TLH392975 TVD392975 UEZ392975 UOV392975 UYR392975 VIN392975 VSJ392975 WCF392975 WMB392975 WVX392975 P458511 JL458511 TH458511 ADD458511 AMZ458511 AWV458511 BGR458511 BQN458511 CAJ458511 CKF458511 CUB458511 DDX458511 DNT458511 DXP458511 EHL458511 ERH458511 FBD458511 FKZ458511 FUV458511 GER458511 GON458511 GYJ458511 HIF458511 HSB458511 IBX458511 ILT458511 IVP458511 JFL458511 JPH458511 JZD458511 KIZ458511 KSV458511 LCR458511 LMN458511 LWJ458511 MGF458511 MQB458511 MZX458511 NJT458511 NTP458511 ODL458511 ONH458511 OXD458511 PGZ458511 PQV458511 QAR458511 QKN458511 QUJ458511 REF458511 ROB458511 RXX458511 SHT458511 SRP458511 TBL458511 TLH458511 TVD458511 UEZ458511 UOV458511 UYR458511 VIN458511 VSJ458511 WCF458511 WMB458511 WVX458511 P524047 JL524047 TH524047 ADD524047 AMZ524047 AWV524047 BGR524047 BQN524047 CAJ524047 CKF524047 CUB524047 DDX524047 DNT524047 DXP524047 EHL524047 ERH524047 FBD524047 FKZ524047 FUV524047 GER524047 GON524047 GYJ524047 HIF524047 HSB524047 IBX524047 ILT524047 IVP524047 JFL524047 JPH524047 JZD524047 KIZ524047 KSV524047 LCR524047 LMN524047 LWJ524047 MGF524047 MQB524047 MZX524047 NJT524047 NTP524047 ODL524047 ONH524047 OXD524047 PGZ524047 PQV524047 QAR524047 QKN524047 QUJ524047 REF524047 ROB524047 RXX524047 SHT524047 SRP524047 TBL524047 TLH524047 TVD524047 UEZ524047 UOV524047 UYR524047 VIN524047 VSJ524047 WCF524047 WMB524047 WVX524047 P589583 JL589583 TH589583 ADD589583 AMZ589583 AWV589583 BGR589583 BQN589583 CAJ589583 CKF589583 CUB589583 DDX589583 DNT589583 DXP589583 EHL589583 ERH589583 FBD589583 FKZ589583 FUV589583 GER589583 GON589583 GYJ589583 HIF589583 HSB589583 IBX589583 ILT589583 IVP589583 JFL589583 JPH589583 JZD589583 KIZ589583 KSV589583 LCR589583 LMN589583 LWJ589583 MGF589583 MQB589583 MZX589583 NJT589583 NTP589583 ODL589583 ONH589583 OXD589583 PGZ589583 PQV589583 QAR589583 QKN589583 QUJ589583 REF589583 ROB589583 RXX589583 SHT589583 SRP589583 TBL589583 TLH589583 TVD589583 UEZ589583 UOV589583 UYR589583 VIN589583 VSJ589583 WCF589583 WMB589583 WVX589583 P655119 JL655119 TH655119 ADD655119 AMZ655119 AWV655119 BGR655119 BQN655119 CAJ655119 CKF655119 CUB655119 DDX655119 DNT655119 DXP655119 EHL655119 ERH655119 FBD655119 FKZ655119 FUV655119 GER655119 GON655119 GYJ655119 HIF655119 HSB655119 IBX655119 ILT655119 IVP655119 JFL655119 JPH655119 JZD655119 KIZ655119 KSV655119 LCR655119 LMN655119 LWJ655119 MGF655119 MQB655119 MZX655119 NJT655119 NTP655119 ODL655119 ONH655119 OXD655119 PGZ655119 PQV655119 QAR655119 QKN655119 QUJ655119 REF655119 ROB655119 RXX655119 SHT655119 SRP655119 TBL655119 TLH655119 TVD655119 UEZ655119 UOV655119 UYR655119 VIN655119 VSJ655119 WCF655119 WMB655119 WVX655119 P720655 JL720655 TH720655 ADD720655 AMZ720655 AWV720655 BGR720655 BQN720655 CAJ720655 CKF720655 CUB720655 DDX720655 DNT720655 DXP720655 EHL720655 ERH720655 FBD720655 FKZ720655 FUV720655 GER720655 GON720655 GYJ720655 HIF720655 HSB720655 IBX720655 ILT720655 IVP720655 JFL720655 JPH720655 JZD720655 KIZ720655 KSV720655 LCR720655 LMN720655 LWJ720655 MGF720655 MQB720655 MZX720655 NJT720655 NTP720655 ODL720655 ONH720655 OXD720655 PGZ720655 PQV720655 QAR720655 QKN720655 QUJ720655 REF720655 ROB720655 RXX720655 SHT720655 SRP720655 TBL720655 TLH720655 TVD720655 UEZ720655 UOV720655 UYR720655 VIN720655 VSJ720655 WCF720655 WMB720655 WVX720655 P786191 JL786191 TH786191 ADD786191 AMZ786191 AWV786191 BGR786191 BQN786191 CAJ786191 CKF786191 CUB786191 DDX786191 DNT786191 DXP786191 EHL786191 ERH786191 FBD786191 FKZ786191 FUV786191 GER786191 GON786191 GYJ786191 HIF786191 HSB786191 IBX786191 ILT786191 IVP786191 JFL786191 JPH786191 JZD786191 KIZ786191 KSV786191 LCR786191 LMN786191 LWJ786191 MGF786191 MQB786191 MZX786191 NJT786191 NTP786191 ODL786191 ONH786191 OXD786191 PGZ786191 PQV786191 QAR786191 QKN786191 QUJ786191 REF786191 ROB786191 RXX786191 SHT786191 SRP786191 TBL786191 TLH786191 TVD786191 UEZ786191 UOV786191 UYR786191 VIN786191 VSJ786191 WCF786191 WMB786191 WVX786191 P851727 JL851727 TH851727 ADD851727 AMZ851727 AWV851727 BGR851727 BQN851727 CAJ851727 CKF851727 CUB851727 DDX851727 DNT851727 DXP851727 EHL851727 ERH851727 FBD851727 FKZ851727 FUV851727 GER851727 GON851727 GYJ851727 HIF851727 HSB851727 IBX851727 ILT851727 IVP851727 JFL851727 JPH851727 JZD851727 KIZ851727 KSV851727 LCR851727 LMN851727 LWJ851727 MGF851727 MQB851727 MZX851727 NJT851727 NTP851727 ODL851727 ONH851727 OXD851727 PGZ851727 PQV851727 QAR851727 QKN851727 QUJ851727 REF851727 ROB851727 RXX851727 SHT851727 SRP851727 TBL851727 TLH851727 TVD851727 UEZ851727 UOV851727 UYR851727 VIN851727 VSJ851727 WCF851727 WMB851727 WVX851727 P917263 JL917263 TH917263 ADD917263 AMZ917263 AWV917263 BGR917263 BQN917263 CAJ917263 CKF917263 CUB917263 DDX917263 DNT917263 DXP917263 EHL917263 ERH917263 FBD917263 FKZ917263 FUV917263 GER917263 GON917263 GYJ917263 HIF917263 HSB917263 IBX917263 ILT917263 IVP917263 JFL917263 JPH917263 JZD917263 KIZ917263 KSV917263 LCR917263 LMN917263 LWJ917263 MGF917263 MQB917263 MZX917263 NJT917263 NTP917263 ODL917263 ONH917263 OXD917263 PGZ917263 PQV917263 QAR917263 QKN917263 QUJ917263 REF917263 ROB917263 RXX917263 SHT917263 SRP917263 TBL917263 TLH917263 TVD917263 UEZ917263 UOV917263 UYR917263 VIN917263 VSJ917263 WCF917263 WMB917263 WVX917263 P982799 JL982799 TH982799 ADD982799 AMZ982799 AWV982799 BGR982799 BQN982799 CAJ982799 CKF982799 CUB982799 DDX982799 DNT982799 DXP982799 EHL982799 ERH982799 FBD982799 FKZ982799 FUV982799 GER982799 GON982799 GYJ982799 HIF982799 HSB982799 IBX982799 ILT982799 IVP982799 JFL982799 JPH982799 JZD982799 KIZ982799 KSV982799 LCR982799 LMN982799 LWJ982799 MGF982799 MQB982799 MZX982799 NJT982799 NTP982799 ODL982799 ONH982799 OXD982799 PGZ982799 PQV982799 QAR982799 QKN982799 QUJ982799 REF982799 ROB982799 RXX982799 SHT982799 SRP982799 TBL982799 TLH982799 TVD982799 UEZ982799 UOV982799 UYR982799 VIN982799 VSJ982799 WCF982799 WMB982799 WVX982799 P65344 JL65344 TH65344 ADD65344 AMZ65344 AWV65344 BGR65344 BQN65344 CAJ65344 CKF65344 CUB65344 DDX65344 DNT65344 DXP65344 EHL65344 ERH65344 FBD65344 FKZ65344 FUV65344 GER65344 GON65344 GYJ65344 HIF65344 HSB65344 IBX65344 ILT65344 IVP65344 JFL65344 JPH65344 JZD65344 KIZ65344 KSV65344 LCR65344 LMN65344 LWJ65344 MGF65344 MQB65344 MZX65344 NJT65344 NTP65344 ODL65344 ONH65344 OXD65344 PGZ65344 PQV65344 QAR65344 QKN65344 QUJ65344 REF65344 ROB65344 RXX65344 SHT65344 SRP65344 TBL65344 TLH65344 TVD65344 UEZ65344 UOV65344 UYR65344 VIN65344 VSJ65344 WCF65344 WMB65344 WVX65344 P130880 JL130880 TH130880 ADD130880 AMZ130880 AWV130880 BGR130880 BQN130880 CAJ130880 CKF130880 CUB130880 DDX130880 DNT130880 DXP130880 EHL130880 ERH130880 FBD130880 FKZ130880 FUV130880 GER130880 GON130880 GYJ130880 HIF130880 HSB130880 IBX130880 ILT130880 IVP130880 JFL130880 JPH130880 JZD130880 KIZ130880 KSV130880 LCR130880 LMN130880 LWJ130880 MGF130880 MQB130880 MZX130880 NJT130880 NTP130880 ODL130880 ONH130880 OXD130880 PGZ130880 PQV130880 QAR130880 QKN130880 QUJ130880 REF130880 ROB130880 RXX130880 SHT130880 SRP130880 TBL130880 TLH130880 TVD130880 UEZ130880 UOV130880 UYR130880 VIN130880 VSJ130880 WCF130880 WMB130880 WVX130880 P196416 JL196416 TH196416 ADD196416 AMZ196416 AWV196416 BGR196416 BQN196416 CAJ196416 CKF196416 CUB196416 DDX196416 DNT196416 DXP196416 EHL196416 ERH196416 FBD196416 FKZ196416 FUV196416 GER196416 GON196416 GYJ196416 HIF196416 HSB196416 IBX196416 ILT196416 IVP196416 JFL196416 JPH196416 JZD196416 KIZ196416 KSV196416 LCR196416 LMN196416 LWJ196416 MGF196416 MQB196416 MZX196416 NJT196416 NTP196416 ODL196416 ONH196416 OXD196416 PGZ196416 PQV196416 QAR196416 QKN196416 QUJ196416 REF196416 ROB196416 RXX196416 SHT196416 SRP196416 TBL196416 TLH196416 TVD196416 UEZ196416 UOV196416 UYR196416 VIN196416 VSJ196416 WCF196416 WMB196416 WVX196416 P261952 JL261952 TH261952 ADD261952 AMZ261952 AWV261952 BGR261952 BQN261952 CAJ261952 CKF261952 CUB261952 DDX261952 DNT261952 DXP261952 EHL261952 ERH261952 FBD261952 FKZ261952 FUV261952 GER261952 GON261952 GYJ261952 HIF261952 HSB261952 IBX261952 ILT261952 IVP261952 JFL261952 JPH261952 JZD261952 KIZ261952 KSV261952 LCR261952 LMN261952 LWJ261952 MGF261952 MQB261952 MZX261952 NJT261952 NTP261952 ODL261952 ONH261952 OXD261952 PGZ261952 PQV261952 QAR261952 QKN261952 QUJ261952 REF261952 ROB261952 RXX261952 SHT261952 SRP261952 TBL261952 TLH261952 TVD261952 UEZ261952 UOV261952 UYR261952 VIN261952 VSJ261952 WCF261952 WMB261952 WVX261952 P327488 JL327488 TH327488 ADD327488 AMZ327488 AWV327488 BGR327488 BQN327488 CAJ327488 CKF327488 CUB327488 DDX327488 DNT327488 DXP327488 EHL327488 ERH327488 FBD327488 FKZ327488 FUV327488 GER327488 GON327488 GYJ327488 HIF327488 HSB327488 IBX327488 ILT327488 IVP327488 JFL327488 JPH327488 JZD327488 KIZ327488 KSV327488 LCR327488 LMN327488 LWJ327488 MGF327488 MQB327488 MZX327488 NJT327488 NTP327488 ODL327488 ONH327488 OXD327488 PGZ327488 PQV327488 QAR327488 QKN327488 QUJ327488 REF327488 ROB327488 RXX327488 SHT327488 SRP327488 TBL327488 TLH327488 TVD327488 UEZ327488 UOV327488 UYR327488 VIN327488 VSJ327488 WCF327488 WMB327488 WVX327488 P393024 JL393024 TH393024 ADD393024 AMZ393024 AWV393024 BGR393024 BQN393024 CAJ393024 CKF393024 CUB393024 DDX393024 DNT393024 DXP393024 EHL393024 ERH393024 FBD393024 FKZ393024 FUV393024 GER393024 GON393024 GYJ393024 HIF393024 HSB393024 IBX393024 ILT393024 IVP393024 JFL393024 JPH393024 JZD393024 KIZ393024 KSV393024 LCR393024 LMN393024 LWJ393024 MGF393024 MQB393024 MZX393024 NJT393024 NTP393024 ODL393024 ONH393024 OXD393024 PGZ393024 PQV393024 QAR393024 QKN393024 QUJ393024 REF393024 ROB393024 RXX393024 SHT393024 SRP393024 TBL393024 TLH393024 TVD393024 UEZ393024 UOV393024 UYR393024 VIN393024 VSJ393024 WCF393024 WMB393024 WVX393024 P458560 JL458560 TH458560 ADD458560 AMZ458560 AWV458560 BGR458560 BQN458560 CAJ458560 CKF458560 CUB458560 DDX458560 DNT458560 DXP458560 EHL458560 ERH458560 FBD458560 FKZ458560 FUV458560 GER458560 GON458560 GYJ458560 HIF458560 HSB458560 IBX458560 ILT458560 IVP458560 JFL458560 JPH458560 JZD458560 KIZ458560 KSV458560 LCR458560 LMN458560 LWJ458560 MGF458560 MQB458560 MZX458560 NJT458560 NTP458560 ODL458560 ONH458560 OXD458560 PGZ458560 PQV458560 QAR458560 QKN458560 QUJ458560 REF458560 ROB458560 RXX458560 SHT458560 SRP458560 TBL458560 TLH458560 TVD458560 UEZ458560 UOV458560 UYR458560 VIN458560 VSJ458560 WCF458560 WMB458560 WVX458560 P524096 JL524096 TH524096 ADD524096 AMZ524096 AWV524096 BGR524096 BQN524096 CAJ524096 CKF524096 CUB524096 DDX524096 DNT524096 DXP524096 EHL524096 ERH524096 FBD524096 FKZ524096 FUV524096 GER524096 GON524096 GYJ524096 HIF524096 HSB524096 IBX524096 ILT524096 IVP524096 JFL524096 JPH524096 JZD524096 KIZ524096 KSV524096 LCR524096 LMN524096 LWJ524096 MGF524096 MQB524096 MZX524096 NJT524096 NTP524096 ODL524096 ONH524096 OXD524096 PGZ524096 PQV524096 QAR524096 QKN524096 QUJ524096 REF524096 ROB524096 RXX524096 SHT524096 SRP524096 TBL524096 TLH524096 TVD524096 UEZ524096 UOV524096 UYR524096 VIN524096 VSJ524096 WCF524096 WMB524096 WVX524096 P589632 JL589632 TH589632 ADD589632 AMZ589632 AWV589632 BGR589632 BQN589632 CAJ589632 CKF589632 CUB589632 DDX589632 DNT589632 DXP589632 EHL589632 ERH589632 FBD589632 FKZ589632 FUV589632 GER589632 GON589632 GYJ589632 HIF589632 HSB589632 IBX589632 ILT589632 IVP589632 JFL589632 JPH589632 JZD589632 KIZ589632 KSV589632 LCR589632 LMN589632 LWJ589632 MGF589632 MQB589632 MZX589632 NJT589632 NTP589632 ODL589632 ONH589632 OXD589632 PGZ589632 PQV589632 QAR589632 QKN589632 QUJ589632 REF589632 ROB589632 RXX589632 SHT589632 SRP589632 TBL589632 TLH589632 TVD589632 UEZ589632 UOV589632 UYR589632 VIN589632 VSJ589632 WCF589632 WMB589632 WVX589632 P655168 JL655168 TH655168 ADD655168 AMZ655168 AWV655168 BGR655168 BQN655168 CAJ655168 CKF655168 CUB655168 DDX655168 DNT655168 DXP655168 EHL655168 ERH655168 FBD655168 FKZ655168 FUV655168 GER655168 GON655168 GYJ655168 HIF655168 HSB655168 IBX655168 ILT655168 IVP655168 JFL655168 JPH655168 JZD655168 KIZ655168 KSV655168 LCR655168 LMN655168 LWJ655168 MGF655168 MQB655168 MZX655168 NJT655168 NTP655168 ODL655168 ONH655168 OXD655168 PGZ655168 PQV655168 QAR655168 QKN655168 QUJ655168 REF655168 ROB655168 RXX655168 SHT655168 SRP655168 TBL655168 TLH655168 TVD655168 UEZ655168 UOV655168 UYR655168 VIN655168 VSJ655168 WCF655168 WMB655168 WVX655168 P720704 JL720704 TH720704 ADD720704 AMZ720704 AWV720704 BGR720704 BQN720704 CAJ720704 CKF720704 CUB720704 DDX720704 DNT720704 DXP720704 EHL720704 ERH720704 FBD720704 FKZ720704 FUV720704 GER720704 GON720704 GYJ720704 HIF720704 HSB720704 IBX720704 ILT720704 IVP720704 JFL720704 JPH720704 JZD720704 KIZ720704 KSV720704 LCR720704 LMN720704 LWJ720704 MGF720704 MQB720704 MZX720704 NJT720704 NTP720704 ODL720704 ONH720704 OXD720704 PGZ720704 PQV720704 QAR720704 QKN720704 QUJ720704 REF720704 ROB720704 RXX720704 SHT720704 SRP720704 TBL720704 TLH720704 TVD720704 UEZ720704 UOV720704 UYR720704 VIN720704 VSJ720704 WCF720704 WMB720704 WVX720704 P786240 JL786240 TH786240 ADD786240 AMZ786240 AWV786240 BGR786240 BQN786240 CAJ786240 CKF786240 CUB786240 DDX786240 DNT786240 DXP786240 EHL786240 ERH786240 FBD786240 FKZ786240 FUV786240 GER786240 GON786240 GYJ786240 HIF786240 HSB786240 IBX786240 ILT786240 IVP786240 JFL786240 JPH786240 JZD786240 KIZ786240 KSV786240 LCR786240 LMN786240 LWJ786240 MGF786240 MQB786240 MZX786240 NJT786240 NTP786240 ODL786240 ONH786240 OXD786240 PGZ786240 PQV786240 QAR786240 QKN786240 QUJ786240 REF786240 ROB786240 RXX786240 SHT786240 SRP786240 TBL786240 TLH786240 TVD786240 UEZ786240 UOV786240 UYR786240 VIN786240 VSJ786240 WCF786240 WMB786240 WVX786240 P851776 JL851776 TH851776 ADD851776 AMZ851776 AWV851776 BGR851776 BQN851776 CAJ851776 CKF851776 CUB851776 DDX851776 DNT851776 DXP851776 EHL851776 ERH851776 FBD851776 FKZ851776 FUV851776 GER851776 GON851776 GYJ851776 HIF851776 HSB851776 IBX851776 ILT851776 IVP851776 JFL851776 JPH851776 JZD851776 KIZ851776 KSV851776 LCR851776 LMN851776 LWJ851776 MGF851776 MQB851776 MZX851776 NJT851776 NTP851776 ODL851776 ONH851776 OXD851776 PGZ851776 PQV851776 QAR851776 QKN851776 QUJ851776 REF851776 ROB851776 RXX851776 SHT851776 SRP851776 TBL851776 TLH851776 TVD851776 UEZ851776 UOV851776 UYR851776 VIN851776 VSJ851776 WCF851776 WMB851776 WVX851776 P917312 JL917312 TH917312 ADD917312 AMZ917312 AWV917312 BGR917312 BQN917312 CAJ917312 CKF917312 CUB917312 DDX917312 DNT917312 DXP917312 EHL917312 ERH917312 FBD917312 FKZ917312 FUV917312 GER917312 GON917312 GYJ917312 HIF917312 HSB917312 IBX917312 ILT917312 IVP917312 JFL917312 JPH917312 JZD917312 KIZ917312 KSV917312 LCR917312 LMN917312 LWJ917312 MGF917312 MQB917312 MZX917312 NJT917312 NTP917312 ODL917312 ONH917312 OXD917312 PGZ917312 PQV917312 QAR917312 QKN917312 QUJ917312 REF917312 ROB917312 RXX917312 SHT917312 SRP917312 TBL917312 TLH917312 TVD917312 UEZ917312 UOV917312 UYR917312 VIN917312 VSJ917312 WCF917312 WMB917312 WVX917312 P982848 JL982848 TH982848 ADD982848 AMZ982848 AWV982848 BGR982848 BQN982848 CAJ982848 CKF982848 CUB982848 DDX982848 DNT982848 DXP982848 EHL982848 ERH982848 FBD982848 FKZ982848 FUV982848 GER982848 GON982848 GYJ982848 HIF982848 HSB982848 IBX982848 ILT982848 IVP982848 JFL982848 JPH982848 JZD982848 KIZ982848 KSV982848 LCR982848 LMN982848 LWJ982848 MGF982848 MQB982848 MZX982848 NJT982848 NTP982848 ODL982848 ONH982848 OXD982848 PGZ982848 PQV982848 QAR982848 QKN982848 QUJ982848 REF982848 ROB982848 RXX982848 SHT982848 SRP982848 TBL982848 TLH982848 TVD982848 UEZ982848 UOV982848 UYR982848 VIN982848 VSJ982848 WCF982848 WMB982848 WVX982848 P65394 JL65394 TH65394 ADD65394 AMZ65394 AWV65394 BGR65394 BQN65394 CAJ65394 CKF65394 CUB65394 DDX65394 DNT65394 DXP65394 EHL65394 ERH65394 FBD65394 FKZ65394 FUV65394 GER65394 GON65394 GYJ65394 HIF65394 HSB65394 IBX65394 ILT65394 IVP65394 JFL65394 JPH65394 JZD65394 KIZ65394 KSV65394 LCR65394 LMN65394 LWJ65394 MGF65394 MQB65394 MZX65394 NJT65394 NTP65394 ODL65394 ONH65394 OXD65394 PGZ65394 PQV65394 QAR65394 QKN65394 QUJ65394 REF65394 ROB65394 RXX65394 SHT65394 SRP65394 TBL65394 TLH65394 TVD65394 UEZ65394 UOV65394 UYR65394 VIN65394 VSJ65394 WCF65394 WMB65394 WVX65394 P130930 JL130930 TH130930 ADD130930 AMZ130930 AWV130930 BGR130930 BQN130930 CAJ130930 CKF130930 CUB130930 DDX130930 DNT130930 DXP130930 EHL130930 ERH130930 FBD130930 FKZ130930 FUV130930 GER130930 GON130930 GYJ130930 HIF130930 HSB130930 IBX130930 ILT130930 IVP130930 JFL130930 JPH130930 JZD130930 KIZ130930 KSV130930 LCR130930 LMN130930 LWJ130930 MGF130930 MQB130930 MZX130930 NJT130930 NTP130930 ODL130930 ONH130930 OXD130930 PGZ130930 PQV130930 QAR130930 QKN130930 QUJ130930 REF130930 ROB130930 RXX130930 SHT130930 SRP130930 TBL130930 TLH130930 TVD130930 UEZ130930 UOV130930 UYR130930 VIN130930 VSJ130930 WCF130930 WMB130930 WVX130930 P196466 JL196466 TH196466 ADD196466 AMZ196466 AWV196466 BGR196466 BQN196466 CAJ196466 CKF196466 CUB196466 DDX196466 DNT196466 DXP196466 EHL196466 ERH196466 FBD196466 FKZ196466 FUV196466 GER196466 GON196466 GYJ196466 HIF196466 HSB196466 IBX196466 ILT196466 IVP196466 JFL196466 JPH196466 JZD196466 KIZ196466 KSV196466 LCR196466 LMN196466 LWJ196466 MGF196466 MQB196466 MZX196466 NJT196466 NTP196466 ODL196466 ONH196466 OXD196466 PGZ196466 PQV196466 QAR196466 QKN196466 QUJ196466 REF196466 ROB196466 RXX196466 SHT196466 SRP196466 TBL196466 TLH196466 TVD196466 UEZ196466 UOV196466 UYR196466 VIN196466 VSJ196466 WCF196466 WMB196466 WVX196466 P262002 JL262002 TH262002 ADD262002 AMZ262002 AWV262002 BGR262002 BQN262002 CAJ262002 CKF262002 CUB262002 DDX262002 DNT262002 DXP262002 EHL262002 ERH262002 FBD262002 FKZ262002 FUV262002 GER262002 GON262002 GYJ262002 HIF262002 HSB262002 IBX262002 ILT262002 IVP262002 JFL262002 JPH262002 JZD262002 KIZ262002 KSV262002 LCR262002 LMN262002 LWJ262002 MGF262002 MQB262002 MZX262002 NJT262002 NTP262002 ODL262002 ONH262002 OXD262002 PGZ262002 PQV262002 QAR262002 QKN262002 QUJ262002 REF262002 ROB262002 RXX262002 SHT262002 SRP262002 TBL262002 TLH262002 TVD262002 UEZ262002 UOV262002 UYR262002 VIN262002 VSJ262002 WCF262002 WMB262002 WVX262002 P327538 JL327538 TH327538 ADD327538 AMZ327538 AWV327538 BGR327538 BQN327538 CAJ327538 CKF327538 CUB327538 DDX327538 DNT327538 DXP327538 EHL327538 ERH327538 FBD327538 FKZ327538 FUV327538 GER327538 GON327538 GYJ327538 HIF327538 HSB327538 IBX327538 ILT327538 IVP327538 JFL327538 JPH327538 JZD327538 KIZ327538 KSV327538 LCR327538 LMN327538 LWJ327538 MGF327538 MQB327538 MZX327538 NJT327538 NTP327538 ODL327538 ONH327538 OXD327538 PGZ327538 PQV327538 QAR327538 QKN327538 QUJ327538 REF327538 ROB327538 RXX327538 SHT327538 SRP327538 TBL327538 TLH327538 TVD327538 UEZ327538 UOV327538 UYR327538 VIN327538 VSJ327538 WCF327538 WMB327538 WVX327538 P393074 JL393074 TH393074 ADD393074 AMZ393074 AWV393074 BGR393074 BQN393074 CAJ393074 CKF393074 CUB393074 DDX393074 DNT393074 DXP393074 EHL393074 ERH393074 FBD393074 FKZ393074 FUV393074 GER393074 GON393074 GYJ393074 HIF393074 HSB393074 IBX393074 ILT393074 IVP393074 JFL393074 JPH393074 JZD393074 KIZ393074 KSV393074 LCR393074 LMN393074 LWJ393074 MGF393074 MQB393074 MZX393074 NJT393074 NTP393074 ODL393074 ONH393074 OXD393074 PGZ393074 PQV393074 QAR393074 QKN393074 QUJ393074 REF393074 ROB393074 RXX393074 SHT393074 SRP393074 TBL393074 TLH393074 TVD393074 UEZ393074 UOV393074 UYR393074 VIN393074 VSJ393074 WCF393074 WMB393074 WVX393074 P458610 JL458610 TH458610 ADD458610 AMZ458610 AWV458610 BGR458610 BQN458610 CAJ458610 CKF458610 CUB458610 DDX458610 DNT458610 DXP458610 EHL458610 ERH458610 FBD458610 FKZ458610 FUV458610 GER458610 GON458610 GYJ458610 HIF458610 HSB458610 IBX458610 ILT458610 IVP458610 JFL458610 JPH458610 JZD458610 KIZ458610 KSV458610 LCR458610 LMN458610 LWJ458610 MGF458610 MQB458610 MZX458610 NJT458610 NTP458610 ODL458610 ONH458610 OXD458610 PGZ458610 PQV458610 QAR458610 QKN458610 QUJ458610 REF458610 ROB458610 RXX458610 SHT458610 SRP458610 TBL458610 TLH458610 TVD458610 UEZ458610 UOV458610 UYR458610 VIN458610 VSJ458610 WCF458610 WMB458610 WVX458610 P524146 JL524146 TH524146 ADD524146 AMZ524146 AWV524146 BGR524146 BQN524146 CAJ524146 CKF524146 CUB524146 DDX524146 DNT524146 DXP524146 EHL524146 ERH524146 FBD524146 FKZ524146 FUV524146 GER524146 GON524146 GYJ524146 HIF524146 HSB524146 IBX524146 ILT524146 IVP524146 JFL524146 JPH524146 JZD524146 KIZ524146 KSV524146 LCR524146 LMN524146 LWJ524146 MGF524146 MQB524146 MZX524146 NJT524146 NTP524146 ODL524146 ONH524146 OXD524146 PGZ524146 PQV524146 QAR524146 QKN524146 QUJ524146 REF524146 ROB524146 RXX524146 SHT524146 SRP524146 TBL524146 TLH524146 TVD524146 UEZ524146 UOV524146 UYR524146 VIN524146 VSJ524146 WCF524146 WMB524146 WVX524146 P589682 JL589682 TH589682 ADD589682 AMZ589682 AWV589682 BGR589682 BQN589682 CAJ589682 CKF589682 CUB589682 DDX589682 DNT589682 DXP589682 EHL589682 ERH589682 FBD589682 FKZ589682 FUV589682 GER589682 GON589682 GYJ589682 HIF589682 HSB589682 IBX589682 ILT589682 IVP589682 JFL589682 JPH589682 JZD589682 KIZ589682 KSV589682 LCR589682 LMN589682 LWJ589682 MGF589682 MQB589682 MZX589682 NJT589682 NTP589682 ODL589682 ONH589682 OXD589682 PGZ589682 PQV589682 QAR589682 QKN589682 QUJ589682 REF589682 ROB589682 RXX589682 SHT589682 SRP589682 TBL589682 TLH589682 TVD589682 UEZ589682 UOV589682 UYR589682 VIN589682 VSJ589682 WCF589682 WMB589682 WVX589682 P655218 JL655218 TH655218 ADD655218 AMZ655218 AWV655218 BGR655218 BQN655218 CAJ655218 CKF655218 CUB655218 DDX655218 DNT655218 DXP655218 EHL655218 ERH655218 FBD655218 FKZ655218 FUV655218 GER655218 GON655218 GYJ655218 HIF655218 HSB655218 IBX655218 ILT655218 IVP655218 JFL655218 JPH655218 JZD655218 KIZ655218 KSV655218 LCR655218 LMN655218 LWJ655218 MGF655218 MQB655218 MZX655218 NJT655218 NTP655218 ODL655218 ONH655218 OXD655218 PGZ655218 PQV655218 QAR655218 QKN655218 QUJ655218 REF655218 ROB655218 RXX655218 SHT655218 SRP655218 TBL655218 TLH655218 TVD655218 UEZ655218 UOV655218 UYR655218 VIN655218 VSJ655218 WCF655218 WMB655218 WVX655218 P720754 JL720754 TH720754 ADD720754 AMZ720754 AWV720754 BGR720754 BQN720754 CAJ720754 CKF720754 CUB720754 DDX720754 DNT720754 DXP720754 EHL720754 ERH720754 FBD720754 FKZ720754 FUV720754 GER720754 GON720754 GYJ720754 HIF720754 HSB720754 IBX720754 ILT720754 IVP720754 JFL720754 JPH720754 JZD720754 KIZ720754 KSV720754 LCR720754 LMN720754 LWJ720754 MGF720754 MQB720754 MZX720754 NJT720754 NTP720754 ODL720754 ONH720754 OXD720754 PGZ720754 PQV720754 QAR720754 QKN720754 QUJ720754 REF720754 ROB720754 RXX720754 SHT720754 SRP720754 TBL720754 TLH720754 TVD720754 UEZ720754 UOV720754 UYR720754 VIN720754 VSJ720754 WCF720754 WMB720754 WVX720754 P786290 JL786290 TH786290 ADD786290 AMZ786290 AWV786290 BGR786290 BQN786290 CAJ786290 CKF786290 CUB786290 DDX786290 DNT786290 DXP786290 EHL786290 ERH786290 FBD786290 FKZ786290 FUV786290 GER786290 GON786290 GYJ786290 HIF786290 HSB786290 IBX786290 ILT786290 IVP786290 JFL786290 JPH786290 JZD786290 KIZ786290 KSV786290 LCR786290 LMN786290 LWJ786290 MGF786290 MQB786290 MZX786290 NJT786290 NTP786290 ODL786290 ONH786290 OXD786290 PGZ786290 PQV786290 QAR786290 QKN786290 QUJ786290 REF786290 ROB786290 RXX786290 SHT786290 SRP786290 TBL786290 TLH786290 TVD786290 UEZ786290 UOV786290 UYR786290 VIN786290 VSJ786290 WCF786290 WMB786290 WVX786290 P851826 JL851826 TH851826 ADD851826 AMZ851826 AWV851826 BGR851826 BQN851826 CAJ851826 CKF851826 CUB851826 DDX851826 DNT851826 DXP851826 EHL851826 ERH851826 FBD851826 FKZ851826 FUV851826 GER851826 GON851826 GYJ851826 HIF851826 HSB851826 IBX851826 ILT851826 IVP851826 JFL851826 JPH851826 JZD851826 KIZ851826 KSV851826 LCR851826 LMN851826 LWJ851826 MGF851826 MQB851826 MZX851826 NJT851826 NTP851826 ODL851826 ONH851826 OXD851826 PGZ851826 PQV851826 QAR851826 QKN851826 QUJ851826 REF851826 ROB851826 RXX851826 SHT851826 SRP851826 TBL851826 TLH851826 TVD851826 UEZ851826 UOV851826 UYR851826 VIN851826 VSJ851826 WCF851826 WMB851826 WVX851826 P917362 JL917362 TH917362 ADD917362 AMZ917362 AWV917362 BGR917362 BQN917362 CAJ917362 CKF917362 CUB917362 DDX917362 DNT917362 DXP917362 EHL917362 ERH917362 FBD917362 FKZ917362 FUV917362 GER917362 GON917362 GYJ917362 HIF917362 HSB917362 IBX917362 ILT917362 IVP917362 JFL917362 JPH917362 JZD917362 KIZ917362 KSV917362 LCR917362 LMN917362 LWJ917362 MGF917362 MQB917362 MZX917362 NJT917362 NTP917362 ODL917362 ONH917362 OXD917362 PGZ917362 PQV917362 QAR917362 QKN917362 QUJ917362 REF917362 ROB917362 RXX917362 SHT917362 SRP917362 TBL917362 TLH917362 TVD917362 UEZ917362 UOV917362 UYR917362 VIN917362 VSJ917362 WCF917362 WMB917362 WVX917362 P982898 JL982898 TH982898 ADD982898 AMZ982898 AWV982898 BGR982898 BQN982898 CAJ982898 CKF982898 CUB982898 DDX982898 DNT982898 DXP982898 EHL982898 ERH982898 FBD982898 FKZ982898 FUV982898 GER982898 GON982898 GYJ982898 HIF982898 HSB982898 IBX982898 ILT982898 IVP982898 JFL982898 JPH982898 JZD982898 KIZ982898 KSV982898 LCR982898 LMN982898 LWJ982898 MGF982898 MQB982898 MZX982898 NJT982898 NTP982898 ODL982898 ONH982898 OXD982898 PGZ982898 PQV982898 QAR982898 QKN982898 QUJ982898 REF982898 ROB982898 RXX982898 SHT982898 SRP982898 TBL982898 TLH982898 TVD982898 UEZ982898 UOV982898 UYR982898 VIN982898 VSJ982898 WCF982898 WMB982898 WVX982898 P65443 JL65443 TH65443 ADD65443 AMZ65443 AWV65443 BGR65443 BQN65443 CAJ65443 CKF65443 CUB65443 DDX65443 DNT65443 DXP65443 EHL65443 ERH65443 FBD65443 FKZ65443 FUV65443 GER65443 GON65443 GYJ65443 HIF65443 HSB65443 IBX65443 ILT65443 IVP65443 JFL65443 JPH65443 JZD65443 KIZ65443 KSV65443 LCR65443 LMN65443 LWJ65443 MGF65443 MQB65443 MZX65443 NJT65443 NTP65443 ODL65443 ONH65443 OXD65443 PGZ65443 PQV65443 QAR65443 QKN65443 QUJ65443 REF65443 ROB65443 RXX65443 SHT65443 SRP65443 TBL65443 TLH65443 TVD65443 UEZ65443 UOV65443 UYR65443 VIN65443 VSJ65443 WCF65443 WMB65443 WVX65443 P130979 JL130979 TH130979 ADD130979 AMZ130979 AWV130979 BGR130979 BQN130979 CAJ130979 CKF130979 CUB130979 DDX130979 DNT130979 DXP130979 EHL130979 ERH130979 FBD130979 FKZ130979 FUV130979 GER130979 GON130979 GYJ130979 HIF130979 HSB130979 IBX130979 ILT130979 IVP130979 JFL130979 JPH130979 JZD130979 KIZ130979 KSV130979 LCR130979 LMN130979 LWJ130979 MGF130979 MQB130979 MZX130979 NJT130979 NTP130979 ODL130979 ONH130979 OXD130979 PGZ130979 PQV130979 QAR130979 QKN130979 QUJ130979 REF130979 ROB130979 RXX130979 SHT130979 SRP130979 TBL130979 TLH130979 TVD130979 UEZ130979 UOV130979 UYR130979 VIN130979 VSJ130979 WCF130979 WMB130979 WVX130979 P196515 JL196515 TH196515 ADD196515 AMZ196515 AWV196515 BGR196515 BQN196515 CAJ196515 CKF196515 CUB196515 DDX196515 DNT196515 DXP196515 EHL196515 ERH196515 FBD196515 FKZ196515 FUV196515 GER196515 GON196515 GYJ196515 HIF196515 HSB196515 IBX196515 ILT196515 IVP196515 JFL196515 JPH196515 JZD196515 KIZ196515 KSV196515 LCR196515 LMN196515 LWJ196515 MGF196515 MQB196515 MZX196515 NJT196515 NTP196515 ODL196515 ONH196515 OXD196515 PGZ196515 PQV196515 QAR196515 QKN196515 QUJ196515 REF196515 ROB196515 RXX196515 SHT196515 SRP196515 TBL196515 TLH196515 TVD196515 UEZ196515 UOV196515 UYR196515 VIN196515 VSJ196515 WCF196515 WMB196515 WVX196515 P262051 JL262051 TH262051 ADD262051 AMZ262051 AWV262051 BGR262051 BQN262051 CAJ262051 CKF262051 CUB262051 DDX262051 DNT262051 DXP262051 EHL262051 ERH262051 FBD262051 FKZ262051 FUV262051 GER262051 GON262051 GYJ262051 HIF262051 HSB262051 IBX262051 ILT262051 IVP262051 JFL262051 JPH262051 JZD262051 KIZ262051 KSV262051 LCR262051 LMN262051 LWJ262051 MGF262051 MQB262051 MZX262051 NJT262051 NTP262051 ODL262051 ONH262051 OXD262051 PGZ262051 PQV262051 QAR262051 QKN262051 QUJ262051 REF262051 ROB262051 RXX262051 SHT262051 SRP262051 TBL262051 TLH262051 TVD262051 UEZ262051 UOV262051 UYR262051 VIN262051 VSJ262051 WCF262051 WMB262051 WVX262051 P327587 JL327587 TH327587 ADD327587 AMZ327587 AWV327587 BGR327587 BQN327587 CAJ327587 CKF327587 CUB327587 DDX327587 DNT327587 DXP327587 EHL327587 ERH327587 FBD327587 FKZ327587 FUV327587 GER327587 GON327587 GYJ327587 HIF327587 HSB327587 IBX327587 ILT327587 IVP327587 JFL327587 JPH327587 JZD327587 KIZ327587 KSV327587 LCR327587 LMN327587 LWJ327587 MGF327587 MQB327587 MZX327587 NJT327587 NTP327587 ODL327587 ONH327587 OXD327587 PGZ327587 PQV327587 QAR327587 QKN327587 QUJ327587 REF327587 ROB327587 RXX327587 SHT327587 SRP327587 TBL327587 TLH327587 TVD327587 UEZ327587 UOV327587 UYR327587 VIN327587 VSJ327587 WCF327587 WMB327587 WVX327587 P393123 JL393123 TH393123 ADD393123 AMZ393123 AWV393123 BGR393123 BQN393123 CAJ393123 CKF393123 CUB393123 DDX393123 DNT393123 DXP393123 EHL393123 ERH393123 FBD393123 FKZ393123 FUV393123 GER393123 GON393123 GYJ393123 HIF393123 HSB393123 IBX393123 ILT393123 IVP393123 JFL393123 JPH393123 JZD393123 KIZ393123 KSV393123 LCR393123 LMN393123 LWJ393123 MGF393123 MQB393123 MZX393123 NJT393123 NTP393123 ODL393123 ONH393123 OXD393123 PGZ393123 PQV393123 QAR393123 QKN393123 QUJ393123 REF393123 ROB393123 RXX393123 SHT393123 SRP393123 TBL393123 TLH393123 TVD393123 UEZ393123 UOV393123 UYR393123 VIN393123 VSJ393123 WCF393123 WMB393123 WVX393123 P458659 JL458659 TH458659 ADD458659 AMZ458659 AWV458659 BGR458659 BQN458659 CAJ458659 CKF458659 CUB458659 DDX458659 DNT458659 DXP458659 EHL458659 ERH458659 FBD458659 FKZ458659 FUV458659 GER458659 GON458659 GYJ458659 HIF458659 HSB458659 IBX458659 ILT458659 IVP458659 JFL458659 JPH458659 JZD458659 KIZ458659 KSV458659 LCR458659 LMN458659 LWJ458659 MGF458659 MQB458659 MZX458659 NJT458659 NTP458659 ODL458659 ONH458659 OXD458659 PGZ458659 PQV458659 QAR458659 QKN458659 QUJ458659 REF458659 ROB458659 RXX458659 SHT458659 SRP458659 TBL458659 TLH458659 TVD458659 UEZ458659 UOV458659 UYR458659 VIN458659 VSJ458659 WCF458659 WMB458659 WVX458659 P524195 JL524195 TH524195 ADD524195 AMZ524195 AWV524195 BGR524195 BQN524195 CAJ524195 CKF524195 CUB524195 DDX524195 DNT524195 DXP524195 EHL524195 ERH524195 FBD524195 FKZ524195 FUV524195 GER524195 GON524195 GYJ524195 HIF524195 HSB524195 IBX524195 ILT524195 IVP524195 JFL524195 JPH524195 JZD524195 KIZ524195 KSV524195 LCR524195 LMN524195 LWJ524195 MGF524195 MQB524195 MZX524195 NJT524195 NTP524195 ODL524195 ONH524195 OXD524195 PGZ524195 PQV524195 QAR524195 QKN524195 QUJ524195 REF524195 ROB524195 RXX524195 SHT524195 SRP524195 TBL524195 TLH524195 TVD524195 UEZ524195 UOV524195 UYR524195 VIN524195 VSJ524195 WCF524195 WMB524195 WVX524195 P589731 JL589731 TH589731 ADD589731 AMZ589731 AWV589731 BGR589731 BQN589731 CAJ589731 CKF589731 CUB589731 DDX589731 DNT589731 DXP589731 EHL589731 ERH589731 FBD589731 FKZ589731 FUV589731 GER589731 GON589731 GYJ589731 HIF589731 HSB589731 IBX589731 ILT589731 IVP589731 JFL589731 JPH589731 JZD589731 KIZ589731 KSV589731 LCR589731 LMN589731 LWJ589731 MGF589731 MQB589731 MZX589731 NJT589731 NTP589731 ODL589731 ONH589731 OXD589731 PGZ589731 PQV589731 QAR589731 QKN589731 QUJ589731 REF589731 ROB589731 RXX589731 SHT589731 SRP589731 TBL589731 TLH589731 TVD589731 UEZ589731 UOV589731 UYR589731 VIN589731 VSJ589731 WCF589731 WMB589731 WVX589731 P655267 JL655267 TH655267 ADD655267 AMZ655267 AWV655267 BGR655267 BQN655267 CAJ655267 CKF655267 CUB655267 DDX655267 DNT655267 DXP655267 EHL655267 ERH655267 FBD655267 FKZ655267 FUV655267 GER655267 GON655267 GYJ655267 HIF655267 HSB655267 IBX655267 ILT655267 IVP655267 JFL655267 JPH655267 JZD655267 KIZ655267 KSV655267 LCR655267 LMN655267 LWJ655267 MGF655267 MQB655267 MZX655267 NJT655267 NTP655267 ODL655267 ONH655267 OXD655267 PGZ655267 PQV655267 QAR655267 QKN655267 QUJ655267 REF655267 ROB655267 RXX655267 SHT655267 SRP655267 TBL655267 TLH655267 TVD655267 UEZ655267 UOV655267 UYR655267 VIN655267 VSJ655267 WCF655267 WMB655267 WVX655267 P720803 JL720803 TH720803 ADD720803 AMZ720803 AWV720803 BGR720803 BQN720803 CAJ720803 CKF720803 CUB720803 DDX720803 DNT720803 DXP720803 EHL720803 ERH720803 FBD720803 FKZ720803 FUV720803 GER720803 GON720803 GYJ720803 HIF720803 HSB720803 IBX720803 ILT720803 IVP720803 JFL720803 JPH720803 JZD720803 KIZ720803 KSV720803 LCR720803 LMN720803 LWJ720803 MGF720803 MQB720803 MZX720803 NJT720803 NTP720803 ODL720803 ONH720803 OXD720803 PGZ720803 PQV720803 QAR720803 QKN720803 QUJ720803 REF720803 ROB720803 RXX720803 SHT720803 SRP720803 TBL720803 TLH720803 TVD720803 UEZ720803 UOV720803 UYR720803 VIN720803 VSJ720803 WCF720803 WMB720803 WVX720803 P786339 JL786339 TH786339 ADD786339 AMZ786339 AWV786339 BGR786339 BQN786339 CAJ786339 CKF786339 CUB786339 DDX786339 DNT786339 DXP786339 EHL786339 ERH786339 FBD786339 FKZ786339 FUV786339 GER786339 GON786339 GYJ786339 HIF786339 HSB786339 IBX786339 ILT786339 IVP786339 JFL786339 JPH786339 JZD786339 KIZ786339 KSV786339 LCR786339 LMN786339 LWJ786339 MGF786339 MQB786339 MZX786339 NJT786339 NTP786339 ODL786339 ONH786339 OXD786339 PGZ786339 PQV786339 QAR786339 QKN786339 QUJ786339 REF786339 ROB786339 RXX786339 SHT786339 SRP786339 TBL786339 TLH786339 TVD786339 UEZ786339 UOV786339 UYR786339 VIN786339 VSJ786339 WCF786339 WMB786339 WVX786339 P851875 JL851875 TH851875 ADD851875 AMZ851875 AWV851875 BGR851875 BQN851875 CAJ851875 CKF851875 CUB851875 DDX851875 DNT851875 DXP851875 EHL851875 ERH851875 FBD851875 FKZ851875 FUV851875 GER851875 GON851875 GYJ851875 HIF851875 HSB851875 IBX851875 ILT851875 IVP851875 JFL851875 JPH851875 JZD851875 KIZ851875 KSV851875 LCR851875 LMN851875 LWJ851875 MGF851875 MQB851875 MZX851875 NJT851875 NTP851875 ODL851875 ONH851875 OXD851875 PGZ851875 PQV851875 QAR851875 QKN851875 QUJ851875 REF851875 ROB851875 RXX851875 SHT851875 SRP851875 TBL851875 TLH851875 TVD851875 UEZ851875 UOV851875 UYR851875 VIN851875 VSJ851875 WCF851875 WMB851875 WVX851875 P917411 JL917411 TH917411 ADD917411 AMZ917411 AWV917411 BGR917411 BQN917411 CAJ917411 CKF917411 CUB917411 DDX917411 DNT917411 DXP917411 EHL917411 ERH917411 FBD917411 FKZ917411 FUV917411 GER917411 GON917411 GYJ917411 HIF917411 HSB917411 IBX917411 ILT917411 IVP917411 JFL917411 JPH917411 JZD917411 KIZ917411 KSV917411 LCR917411 LMN917411 LWJ917411 MGF917411 MQB917411 MZX917411 NJT917411 NTP917411 ODL917411 ONH917411 OXD917411 PGZ917411 PQV917411 QAR917411 QKN917411 QUJ917411 REF917411 ROB917411 RXX917411 SHT917411 SRP917411 TBL917411 TLH917411 TVD917411 UEZ917411 UOV917411 UYR917411 VIN917411 VSJ917411 WCF917411 WMB917411 WVX917411 P982947 JL982947 TH982947 ADD982947 AMZ982947 AWV982947 BGR982947 BQN982947 CAJ982947 CKF982947 CUB982947 DDX982947 DNT982947 DXP982947 EHL982947 ERH982947 FBD982947 FKZ982947 FUV982947 GER982947 GON982947 GYJ982947 HIF982947 HSB982947 IBX982947 ILT982947 IVP982947 JFL982947 JPH982947 JZD982947 KIZ982947 KSV982947 LCR982947 LMN982947 LWJ982947 MGF982947 MQB982947 MZX982947 NJT982947 NTP982947 ODL982947 ONH982947 OXD982947 PGZ982947 PQV982947 QAR982947 QKN982947 QUJ982947 REF982947 ROB982947 RXX982947 SHT982947 SRP982947 TBL982947 TLH982947 TVD982947 UEZ982947 UOV982947 UYR982947 VIN982947 VSJ982947 WCF982947 WMB982947 WVX982947 P65492 JL65492 TH65492 ADD65492 AMZ65492 AWV65492 BGR65492 BQN65492 CAJ65492 CKF65492 CUB65492 DDX65492 DNT65492 DXP65492 EHL65492 ERH65492 FBD65492 FKZ65492 FUV65492 GER65492 GON65492 GYJ65492 HIF65492 HSB65492 IBX65492 ILT65492 IVP65492 JFL65492 JPH65492 JZD65492 KIZ65492 KSV65492 LCR65492 LMN65492 LWJ65492 MGF65492 MQB65492 MZX65492 NJT65492 NTP65492 ODL65492 ONH65492 OXD65492 PGZ65492 PQV65492 QAR65492 QKN65492 QUJ65492 REF65492 ROB65492 RXX65492 SHT65492 SRP65492 TBL65492 TLH65492 TVD65492 UEZ65492 UOV65492 UYR65492 VIN65492 VSJ65492 WCF65492 WMB65492 WVX65492 P131028 JL131028 TH131028 ADD131028 AMZ131028 AWV131028 BGR131028 BQN131028 CAJ131028 CKF131028 CUB131028 DDX131028 DNT131028 DXP131028 EHL131028 ERH131028 FBD131028 FKZ131028 FUV131028 GER131028 GON131028 GYJ131028 HIF131028 HSB131028 IBX131028 ILT131028 IVP131028 JFL131028 JPH131028 JZD131028 KIZ131028 KSV131028 LCR131028 LMN131028 LWJ131028 MGF131028 MQB131028 MZX131028 NJT131028 NTP131028 ODL131028 ONH131028 OXD131028 PGZ131028 PQV131028 QAR131028 QKN131028 QUJ131028 REF131028 ROB131028 RXX131028 SHT131028 SRP131028 TBL131028 TLH131028 TVD131028 UEZ131028 UOV131028 UYR131028 VIN131028 VSJ131028 WCF131028 WMB131028 WVX131028 P196564 JL196564 TH196564 ADD196564 AMZ196564 AWV196564 BGR196564 BQN196564 CAJ196564 CKF196564 CUB196564 DDX196564 DNT196564 DXP196564 EHL196564 ERH196564 FBD196564 FKZ196564 FUV196564 GER196564 GON196564 GYJ196564 HIF196564 HSB196564 IBX196564 ILT196564 IVP196564 JFL196564 JPH196564 JZD196564 KIZ196564 KSV196564 LCR196564 LMN196564 LWJ196564 MGF196564 MQB196564 MZX196564 NJT196564 NTP196564 ODL196564 ONH196564 OXD196564 PGZ196564 PQV196564 QAR196564 QKN196564 QUJ196564 REF196564 ROB196564 RXX196564 SHT196564 SRP196564 TBL196564 TLH196564 TVD196564 UEZ196564 UOV196564 UYR196564 VIN196564 VSJ196564 WCF196564 WMB196564 WVX196564 P262100 JL262100 TH262100 ADD262100 AMZ262100 AWV262100 BGR262100 BQN262100 CAJ262100 CKF262100 CUB262100 DDX262100 DNT262100 DXP262100 EHL262100 ERH262100 FBD262100 FKZ262100 FUV262100 GER262100 GON262100 GYJ262100 HIF262100 HSB262100 IBX262100 ILT262100 IVP262100 JFL262100 JPH262100 JZD262100 KIZ262100 KSV262100 LCR262100 LMN262100 LWJ262100 MGF262100 MQB262100 MZX262100 NJT262100 NTP262100 ODL262100 ONH262100 OXD262100 PGZ262100 PQV262100 QAR262100 QKN262100 QUJ262100 REF262100 ROB262100 RXX262100 SHT262100 SRP262100 TBL262100 TLH262100 TVD262100 UEZ262100 UOV262100 UYR262100 VIN262100 VSJ262100 WCF262100 WMB262100 WVX262100 P327636 JL327636 TH327636 ADD327636 AMZ327636 AWV327636 BGR327636 BQN327636 CAJ327636 CKF327636 CUB327636 DDX327636 DNT327636 DXP327636 EHL327636 ERH327636 FBD327636 FKZ327636 FUV327636 GER327636 GON327636 GYJ327636 HIF327636 HSB327636 IBX327636 ILT327636 IVP327636 JFL327636 JPH327636 JZD327636 KIZ327636 KSV327636 LCR327636 LMN327636 LWJ327636 MGF327636 MQB327636 MZX327636 NJT327636 NTP327636 ODL327636 ONH327636 OXD327636 PGZ327636 PQV327636 QAR327636 QKN327636 QUJ327636 REF327636 ROB327636 RXX327636 SHT327636 SRP327636 TBL327636 TLH327636 TVD327636 UEZ327636 UOV327636 UYR327636 VIN327636 VSJ327636 WCF327636 WMB327636 WVX327636 P393172 JL393172 TH393172 ADD393172 AMZ393172 AWV393172 BGR393172 BQN393172 CAJ393172 CKF393172 CUB393172 DDX393172 DNT393172 DXP393172 EHL393172 ERH393172 FBD393172 FKZ393172 FUV393172 GER393172 GON393172 GYJ393172 HIF393172 HSB393172 IBX393172 ILT393172 IVP393172 JFL393172 JPH393172 JZD393172 KIZ393172 KSV393172 LCR393172 LMN393172 LWJ393172 MGF393172 MQB393172 MZX393172 NJT393172 NTP393172 ODL393172 ONH393172 OXD393172 PGZ393172 PQV393172 QAR393172 QKN393172 QUJ393172 REF393172 ROB393172 RXX393172 SHT393172 SRP393172 TBL393172 TLH393172 TVD393172 UEZ393172 UOV393172 UYR393172 VIN393172 VSJ393172 WCF393172 WMB393172 WVX393172 P458708 JL458708 TH458708 ADD458708 AMZ458708 AWV458708 BGR458708 BQN458708 CAJ458708 CKF458708 CUB458708 DDX458708 DNT458708 DXP458708 EHL458708 ERH458708 FBD458708 FKZ458708 FUV458708 GER458708 GON458708 GYJ458708 HIF458708 HSB458708 IBX458708 ILT458708 IVP458708 JFL458708 JPH458708 JZD458708 KIZ458708 KSV458708 LCR458708 LMN458708 LWJ458708 MGF458708 MQB458708 MZX458708 NJT458708 NTP458708 ODL458708 ONH458708 OXD458708 PGZ458708 PQV458708 QAR458708 QKN458708 QUJ458708 REF458708 ROB458708 RXX458708 SHT458708 SRP458708 TBL458708 TLH458708 TVD458708 UEZ458708 UOV458708 UYR458708 VIN458708 VSJ458708 WCF458708 WMB458708 WVX458708 P524244 JL524244 TH524244 ADD524244 AMZ524244 AWV524244 BGR524244 BQN524244 CAJ524244 CKF524244 CUB524244 DDX524244 DNT524244 DXP524244 EHL524244 ERH524244 FBD524244 FKZ524244 FUV524244 GER524244 GON524244 GYJ524244 HIF524244 HSB524244 IBX524244 ILT524244 IVP524244 JFL524244 JPH524244 JZD524244 KIZ524244 KSV524244 LCR524244 LMN524244 LWJ524244 MGF524244 MQB524244 MZX524244 NJT524244 NTP524244 ODL524244 ONH524244 OXD524244 PGZ524244 PQV524244 QAR524244 QKN524244 QUJ524244 REF524244 ROB524244 RXX524244 SHT524244 SRP524244 TBL524244 TLH524244 TVD524244 UEZ524244 UOV524244 UYR524244 VIN524244 VSJ524244 WCF524244 WMB524244 WVX524244 P589780 JL589780 TH589780 ADD589780 AMZ589780 AWV589780 BGR589780 BQN589780 CAJ589780 CKF589780 CUB589780 DDX589780 DNT589780 DXP589780 EHL589780 ERH589780 FBD589780 FKZ589780 FUV589780 GER589780 GON589780 GYJ589780 HIF589780 HSB589780 IBX589780 ILT589780 IVP589780 JFL589780 JPH589780 JZD589780 KIZ589780 KSV589780 LCR589780 LMN589780 LWJ589780 MGF589780 MQB589780 MZX589780 NJT589780 NTP589780 ODL589780 ONH589780 OXD589780 PGZ589780 PQV589780 QAR589780 QKN589780 QUJ589780 REF589780 ROB589780 RXX589780 SHT589780 SRP589780 TBL589780 TLH589780 TVD589780 UEZ589780 UOV589780 UYR589780 VIN589780 VSJ589780 WCF589780 WMB589780 WVX589780 P655316 JL655316 TH655316 ADD655316 AMZ655316 AWV655316 BGR655316 BQN655316 CAJ655316 CKF655316 CUB655316 DDX655316 DNT655316 DXP655316 EHL655316 ERH655316 FBD655316 FKZ655316 FUV655316 GER655316 GON655316 GYJ655316 HIF655316 HSB655316 IBX655316 ILT655316 IVP655316 JFL655316 JPH655316 JZD655316 KIZ655316 KSV655316 LCR655316 LMN655316 LWJ655316 MGF655316 MQB655316 MZX655316 NJT655316 NTP655316 ODL655316 ONH655316 OXD655316 PGZ655316 PQV655316 QAR655316 QKN655316 QUJ655316 REF655316 ROB655316 RXX655316 SHT655316 SRP655316 TBL655316 TLH655316 TVD655316 UEZ655316 UOV655316 UYR655316 VIN655316 VSJ655316 WCF655316 WMB655316 WVX655316 P720852 JL720852 TH720852 ADD720852 AMZ720852 AWV720852 BGR720852 BQN720852 CAJ720852 CKF720852 CUB720852 DDX720852 DNT720852 DXP720852 EHL720852 ERH720852 FBD720852 FKZ720852 FUV720852 GER720852 GON720852 GYJ720852 HIF720852 HSB720852 IBX720852 ILT720852 IVP720852 JFL720852 JPH720852 JZD720852 KIZ720852 KSV720852 LCR720852 LMN720852 LWJ720852 MGF720852 MQB720852 MZX720852 NJT720852 NTP720852 ODL720852 ONH720852 OXD720852 PGZ720852 PQV720852 QAR720852 QKN720852 QUJ720852 REF720852 ROB720852 RXX720852 SHT720852 SRP720852 TBL720852 TLH720852 TVD720852 UEZ720852 UOV720852 UYR720852 VIN720852 VSJ720852 WCF720852 WMB720852 WVX720852 P786388 JL786388 TH786388 ADD786388 AMZ786388 AWV786388 BGR786388 BQN786388 CAJ786388 CKF786388 CUB786388 DDX786388 DNT786388 DXP786388 EHL786388 ERH786388 FBD786388 FKZ786388 FUV786388 GER786388 GON786388 GYJ786388 HIF786388 HSB786388 IBX786388 ILT786388 IVP786388 JFL786388 JPH786388 JZD786388 KIZ786388 KSV786388 LCR786388 LMN786388 LWJ786388 MGF786388 MQB786388 MZX786388 NJT786388 NTP786388 ODL786388 ONH786388 OXD786388 PGZ786388 PQV786388 QAR786388 QKN786388 QUJ786388 REF786388 ROB786388 RXX786388 SHT786388 SRP786388 TBL786388 TLH786388 TVD786388 UEZ786388 UOV786388 UYR786388 VIN786388 VSJ786388 WCF786388 WMB786388 WVX786388 P851924 JL851924 TH851924 ADD851924 AMZ851924 AWV851924 BGR851924 BQN851924 CAJ851924 CKF851924 CUB851924 DDX851924 DNT851924 DXP851924 EHL851924 ERH851924 FBD851924 FKZ851924 FUV851924 GER851924 GON851924 GYJ851924 HIF851924 HSB851924 IBX851924 ILT851924 IVP851924 JFL851924 JPH851924 JZD851924 KIZ851924 KSV851924 LCR851924 LMN851924 LWJ851924 MGF851924 MQB851924 MZX851924 NJT851924 NTP851924 ODL851924 ONH851924 OXD851924 PGZ851924 PQV851924 QAR851924 QKN851924 QUJ851924 REF851924 ROB851924 RXX851924 SHT851924 SRP851924 TBL851924 TLH851924 TVD851924 UEZ851924 UOV851924 UYR851924 VIN851924 VSJ851924 WCF851924 WMB851924 WVX851924 P917460 JL917460 TH917460 ADD917460 AMZ917460 AWV917460 BGR917460 BQN917460 CAJ917460 CKF917460 CUB917460 DDX917460 DNT917460 DXP917460 EHL917460 ERH917460 FBD917460 FKZ917460 FUV917460 GER917460 GON917460 GYJ917460 HIF917460 HSB917460 IBX917460 ILT917460 IVP917460 JFL917460 JPH917460 JZD917460 KIZ917460 KSV917460 LCR917460 LMN917460 LWJ917460 MGF917460 MQB917460 MZX917460 NJT917460 NTP917460 ODL917460 ONH917460 OXD917460 PGZ917460 PQV917460 QAR917460 QKN917460 QUJ917460 REF917460 ROB917460 RXX917460 SHT917460 SRP917460 TBL917460 TLH917460 TVD917460 UEZ917460 UOV917460 UYR917460 VIN917460 VSJ917460 WCF917460 WMB917460 WVX917460 P982996 JL982996 TH982996 ADD982996 AMZ982996 AWV982996 BGR982996 BQN982996 CAJ982996 CKF982996 CUB982996 DDX982996 DNT982996 DXP982996 EHL982996 ERH982996 FBD982996 FKZ982996 FUV982996 GER982996 GON982996 GYJ982996 HIF982996 HSB982996 IBX982996 ILT982996 IVP982996 JFL982996 JPH982996 JZD982996 KIZ982996 KSV982996 LCR982996 LMN982996 LWJ982996 MGF982996 MQB982996 MZX982996 NJT982996 NTP982996 ODL982996 ONH982996 OXD982996 PGZ982996 PQV982996 QAR982996 QKN982996 QUJ982996 REF982996 ROB982996 RXX982996 SHT982996 SRP982996 TBL982996 TLH982996 TVD982996 UEZ982996 UOV982996 UYR982996 VIN982996 VSJ982996 WCF982996 WMB982996 WVX982996 P65541 JL65541 TH65541 ADD65541 AMZ65541 AWV65541 BGR65541 BQN65541 CAJ65541 CKF65541 CUB65541 DDX65541 DNT65541 DXP65541 EHL65541 ERH65541 FBD65541 FKZ65541 FUV65541 GER65541 GON65541 GYJ65541 HIF65541 HSB65541 IBX65541 ILT65541 IVP65541 JFL65541 JPH65541 JZD65541 KIZ65541 KSV65541 LCR65541 LMN65541 LWJ65541 MGF65541 MQB65541 MZX65541 NJT65541 NTP65541 ODL65541 ONH65541 OXD65541 PGZ65541 PQV65541 QAR65541 QKN65541 QUJ65541 REF65541 ROB65541 RXX65541 SHT65541 SRP65541 TBL65541 TLH65541 TVD65541 UEZ65541 UOV65541 UYR65541 VIN65541 VSJ65541 WCF65541 WMB65541 WVX65541 P131077 JL131077 TH131077 ADD131077 AMZ131077 AWV131077 BGR131077 BQN131077 CAJ131077 CKF131077 CUB131077 DDX131077 DNT131077 DXP131077 EHL131077 ERH131077 FBD131077 FKZ131077 FUV131077 GER131077 GON131077 GYJ131077 HIF131077 HSB131077 IBX131077 ILT131077 IVP131077 JFL131077 JPH131077 JZD131077 KIZ131077 KSV131077 LCR131077 LMN131077 LWJ131077 MGF131077 MQB131077 MZX131077 NJT131077 NTP131077 ODL131077 ONH131077 OXD131077 PGZ131077 PQV131077 QAR131077 QKN131077 QUJ131077 REF131077 ROB131077 RXX131077 SHT131077 SRP131077 TBL131077 TLH131077 TVD131077 UEZ131077 UOV131077 UYR131077 VIN131077 VSJ131077 WCF131077 WMB131077 WVX131077 P196613 JL196613 TH196613 ADD196613 AMZ196613 AWV196613 BGR196613 BQN196613 CAJ196613 CKF196613 CUB196613 DDX196613 DNT196613 DXP196613 EHL196613 ERH196613 FBD196613 FKZ196613 FUV196613 GER196613 GON196613 GYJ196613 HIF196613 HSB196613 IBX196613 ILT196613 IVP196613 JFL196613 JPH196613 JZD196613 KIZ196613 KSV196613 LCR196613 LMN196613 LWJ196613 MGF196613 MQB196613 MZX196613 NJT196613 NTP196613 ODL196613 ONH196613 OXD196613 PGZ196613 PQV196613 QAR196613 QKN196613 QUJ196613 REF196613 ROB196613 RXX196613 SHT196613 SRP196613 TBL196613 TLH196613 TVD196613 UEZ196613 UOV196613 UYR196613 VIN196613 VSJ196613 WCF196613 WMB196613 WVX196613 P262149 JL262149 TH262149 ADD262149 AMZ262149 AWV262149 BGR262149 BQN262149 CAJ262149 CKF262149 CUB262149 DDX262149 DNT262149 DXP262149 EHL262149 ERH262149 FBD262149 FKZ262149 FUV262149 GER262149 GON262149 GYJ262149 HIF262149 HSB262149 IBX262149 ILT262149 IVP262149 JFL262149 JPH262149 JZD262149 KIZ262149 KSV262149 LCR262149 LMN262149 LWJ262149 MGF262149 MQB262149 MZX262149 NJT262149 NTP262149 ODL262149 ONH262149 OXD262149 PGZ262149 PQV262149 QAR262149 QKN262149 QUJ262149 REF262149 ROB262149 RXX262149 SHT262149 SRP262149 TBL262149 TLH262149 TVD262149 UEZ262149 UOV262149 UYR262149 VIN262149 VSJ262149 WCF262149 WMB262149 WVX262149 P327685 JL327685 TH327685 ADD327685 AMZ327685 AWV327685 BGR327685 BQN327685 CAJ327685 CKF327685 CUB327685 DDX327685 DNT327685 DXP327685 EHL327685 ERH327685 FBD327685 FKZ327685 FUV327685 GER327685 GON327685 GYJ327685 HIF327685 HSB327685 IBX327685 ILT327685 IVP327685 JFL327685 JPH327685 JZD327685 KIZ327685 KSV327685 LCR327685 LMN327685 LWJ327685 MGF327685 MQB327685 MZX327685 NJT327685 NTP327685 ODL327685 ONH327685 OXD327685 PGZ327685 PQV327685 QAR327685 QKN327685 QUJ327685 REF327685 ROB327685 RXX327685 SHT327685 SRP327685 TBL327685 TLH327685 TVD327685 UEZ327685 UOV327685 UYR327685 VIN327685 VSJ327685 WCF327685 WMB327685 WVX327685 P393221 JL393221 TH393221 ADD393221 AMZ393221 AWV393221 BGR393221 BQN393221 CAJ393221 CKF393221 CUB393221 DDX393221 DNT393221 DXP393221 EHL393221 ERH393221 FBD393221 FKZ393221 FUV393221 GER393221 GON393221 GYJ393221 HIF393221 HSB393221 IBX393221 ILT393221 IVP393221 JFL393221 JPH393221 JZD393221 KIZ393221 KSV393221 LCR393221 LMN393221 LWJ393221 MGF393221 MQB393221 MZX393221 NJT393221 NTP393221 ODL393221 ONH393221 OXD393221 PGZ393221 PQV393221 QAR393221 QKN393221 QUJ393221 REF393221 ROB393221 RXX393221 SHT393221 SRP393221 TBL393221 TLH393221 TVD393221 UEZ393221 UOV393221 UYR393221 VIN393221 VSJ393221 WCF393221 WMB393221 WVX393221 P458757 JL458757 TH458757 ADD458757 AMZ458757 AWV458757 BGR458757 BQN458757 CAJ458757 CKF458757 CUB458757 DDX458757 DNT458757 DXP458757 EHL458757 ERH458757 FBD458757 FKZ458757 FUV458757 GER458757 GON458757 GYJ458757 HIF458757 HSB458757 IBX458757 ILT458757 IVP458757 JFL458757 JPH458757 JZD458757 KIZ458757 KSV458757 LCR458757 LMN458757 LWJ458757 MGF458757 MQB458757 MZX458757 NJT458757 NTP458757 ODL458757 ONH458757 OXD458757 PGZ458757 PQV458757 QAR458757 QKN458757 QUJ458757 REF458757 ROB458757 RXX458757 SHT458757 SRP458757 TBL458757 TLH458757 TVD458757 UEZ458757 UOV458757 UYR458757 VIN458757 VSJ458757 WCF458757 WMB458757 WVX458757 P524293 JL524293 TH524293 ADD524293 AMZ524293 AWV524293 BGR524293 BQN524293 CAJ524293 CKF524293 CUB524293 DDX524293 DNT524293 DXP524293 EHL524293 ERH524293 FBD524293 FKZ524293 FUV524293 GER524293 GON524293 GYJ524293 HIF524293 HSB524293 IBX524293 ILT524293 IVP524293 JFL524293 JPH524293 JZD524293 KIZ524293 KSV524293 LCR524293 LMN524293 LWJ524293 MGF524293 MQB524293 MZX524293 NJT524293 NTP524293 ODL524293 ONH524293 OXD524293 PGZ524293 PQV524293 QAR524293 QKN524293 QUJ524293 REF524293 ROB524293 RXX524293 SHT524293 SRP524293 TBL524293 TLH524293 TVD524293 UEZ524293 UOV524293 UYR524293 VIN524293 VSJ524293 WCF524293 WMB524293 WVX524293 P589829 JL589829 TH589829 ADD589829 AMZ589829 AWV589829 BGR589829 BQN589829 CAJ589829 CKF589829 CUB589829 DDX589829 DNT589829 DXP589829 EHL589829 ERH589829 FBD589829 FKZ589829 FUV589829 GER589829 GON589829 GYJ589829 HIF589829 HSB589829 IBX589829 ILT589829 IVP589829 JFL589829 JPH589829 JZD589829 KIZ589829 KSV589829 LCR589829 LMN589829 LWJ589829 MGF589829 MQB589829 MZX589829 NJT589829 NTP589829 ODL589829 ONH589829 OXD589829 PGZ589829 PQV589829 QAR589829 QKN589829 QUJ589829 REF589829 ROB589829 RXX589829 SHT589829 SRP589829 TBL589829 TLH589829 TVD589829 UEZ589829 UOV589829 UYR589829 VIN589829 VSJ589829 WCF589829 WMB589829 WVX589829 P655365 JL655365 TH655365 ADD655365 AMZ655365 AWV655365 BGR655365 BQN655365 CAJ655365 CKF655365 CUB655365 DDX655365 DNT655365 DXP655365 EHL655365 ERH655365 FBD655365 FKZ655365 FUV655365 GER655365 GON655365 GYJ655365 HIF655365 HSB655365 IBX655365 ILT655365 IVP655365 JFL655365 JPH655365 JZD655365 KIZ655365 KSV655365 LCR655365 LMN655365 LWJ655365 MGF655365 MQB655365 MZX655365 NJT655365 NTP655365 ODL655365 ONH655365 OXD655365 PGZ655365 PQV655365 QAR655365 QKN655365 QUJ655365 REF655365 ROB655365 RXX655365 SHT655365 SRP655365 TBL655365 TLH655365 TVD655365 UEZ655365 UOV655365 UYR655365 VIN655365 VSJ655365 WCF655365 WMB655365 WVX655365 P720901 JL720901 TH720901 ADD720901 AMZ720901 AWV720901 BGR720901 BQN720901 CAJ720901 CKF720901 CUB720901 DDX720901 DNT720901 DXP720901 EHL720901 ERH720901 FBD720901 FKZ720901 FUV720901 GER720901 GON720901 GYJ720901 HIF720901 HSB720901 IBX720901 ILT720901 IVP720901 JFL720901 JPH720901 JZD720901 KIZ720901 KSV720901 LCR720901 LMN720901 LWJ720901 MGF720901 MQB720901 MZX720901 NJT720901 NTP720901 ODL720901 ONH720901 OXD720901 PGZ720901 PQV720901 QAR720901 QKN720901 QUJ720901 REF720901 ROB720901 RXX720901 SHT720901 SRP720901 TBL720901 TLH720901 TVD720901 UEZ720901 UOV720901 UYR720901 VIN720901 VSJ720901 WCF720901 WMB720901 WVX720901 P786437 JL786437 TH786437 ADD786437 AMZ786437 AWV786437 BGR786437 BQN786437 CAJ786437 CKF786437 CUB786437 DDX786437 DNT786437 DXP786437 EHL786437 ERH786437 FBD786437 FKZ786437 FUV786437 GER786437 GON786437 GYJ786437 HIF786437 HSB786437 IBX786437 ILT786437 IVP786437 JFL786437 JPH786437 JZD786437 KIZ786437 KSV786437 LCR786437 LMN786437 LWJ786437 MGF786437 MQB786437 MZX786437 NJT786437 NTP786437 ODL786437 ONH786437 OXD786437 PGZ786437 PQV786437 QAR786437 QKN786437 QUJ786437 REF786437 ROB786437 RXX786437 SHT786437 SRP786437 TBL786437 TLH786437 TVD786437 UEZ786437 UOV786437 UYR786437 VIN786437 VSJ786437 WCF786437 WMB786437 WVX786437 P851973 JL851973 TH851973 ADD851973 AMZ851973 AWV851973 BGR851973 BQN851973 CAJ851973 CKF851973 CUB851973 DDX851973 DNT851973 DXP851973 EHL851973 ERH851973 FBD851973 FKZ851973 FUV851973 GER851973 GON851973 GYJ851973 HIF851973 HSB851973 IBX851973 ILT851973 IVP851973 JFL851973 JPH851973 JZD851973 KIZ851973 KSV851973 LCR851973 LMN851973 LWJ851973 MGF851973 MQB851973 MZX851973 NJT851973 NTP851973 ODL851973 ONH851973 OXD851973 PGZ851973 PQV851973 QAR851973 QKN851973 QUJ851973 REF851973 ROB851973 RXX851973 SHT851973 SRP851973 TBL851973 TLH851973 TVD851973 UEZ851973 UOV851973 UYR851973 VIN851973 VSJ851973 WCF851973 WMB851973 WVX851973 P917509 JL917509 TH917509 ADD917509 AMZ917509 AWV917509 BGR917509 BQN917509 CAJ917509 CKF917509 CUB917509 DDX917509 DNT917509 DXP917509 EHL917509 ERH917509 FBD917509 FKZ917509 FUV917509 GER917509 GON917509 GYJ917509 HIF917509 HSB917509 IBX917509 ILT917509 IVP917509 JFL917509 JPH917509 JZD917509 KIZ917509 KSV917509 LCR917509 LMN917509 LWJ917509 MGF917509 MQB917509 MZX917509 NJT917509 NTP917509 ODL917509 ONH917509 OXD917509 PGZ917509 PQV917509 QAR917509 QKN917509 QUJ917509 REF917509 ROB917509 RXX917509 SHT917509 SRP917509 TBL917509 TLH917509 TVD917509 UEZ917509 UOV917509 UYR917509 VIN917509 VSJ917509 WCF917509 WMB917509 WVX917509 P983045 JL983045 TH983045 ADD983045 AMZ983045 AWV983045 BGR983045 BQN983045 CAJ983045 CKF983045 CUB983045 DDX983045 DNT983045 DXP983045 EHL983045 ERH983045 FBD983045 FKZ983045 FUV983045 GER983045 GON983045 GYJ983045 HIF983045 HSB983045 IBX983045 ILT983045 IVP983045 JFL983045 JPH983045 JZD983045 KIZ983045 KSV983045 LCR983045 LMN983045 LWJ983045 MGF983045 MQB983045 MZX983045 NJT983045 NTP983045 ODL983045 ONH983045 OXD983045 PGZ983045 PQV983045 QAR983045 QKN983045 QUJ983045 REF983045 ROB983045 RXX983045 SHT983045 SRP983045 TBL983045 TLH983045 TVD983045 UEZ983045 UOV983045 UYR983045 VIN983045 VSJ983045 WCF983045 WMB983045 WVX983045 WVX6 WMB6 WCF6 VSJ6 VIN6 UYR6 UOV6 UEZ6 TVD6 TLH6 TBL6 SRP6 SHT6 RXX6 ROB6 REF6 QUJ6 QKN6 QAR6 PQV6 PGZ6 OXD6 ONH6 ODL6 NTP6 NJT6 MZX6 MQB6 MGF6 LWJ6 LMN6 LCR6 KSV6 KIZ6 JZD6 JPH6 JFL6 IVP6 ILT6 IBX6 HSB6 HIF6 GYJ6 GON6 GER6 FUV6 FKZ6 FBD6 ERH6 EHL6 DXP6 DNT6 DDX6 CUB6 CKF6 CAJ6 BQN6 BGR6 AWV6 AMZ6 ADD6 TH6 JL6 P6" xr:uid="{00000000-0002-0000-0A00-000000000000}">
      <formula1>0</formula1>
      <formula2>0</formula2>
    </dataValidation>
    <dataValidation operator="equal" allowBlank="1" showInputMessage="1" showErrorMessage="1" promptTitle="ATENÇÃO!" prompt="CUIDADO PARA NÃO ULTRAPASSAR O LIMITE DA LINHA." sqref="C65202:P65202 IY65202:JL65202 SU65202:TH65202 ACQ65202:ADD65202 AMM65202:AMZ65202 AWI65202:AWV65202 BGE65202:BGR65202 BQA65202:BQN65202 BZW65202:CAJ65202 CJS65202:CKF65202 CTO65202:CUB65202 DDK65202:DDX65202 DNG65202:DNT65202 DXC65202:DXP65202 EGY65202:EHL65202 EQU65202:ERH65202 FAQ65202:FBD65202 FKM65202:FKZ65202 FUI65202:FUV65202 GEE65202:GER65202 GOA65202:GON65202 GXW65202:GYJ65202 HHS65202:HIF65202 HRO65202:HSB65202 IBK65202:IBX65202 ILG65202:ILT65202 IVC65202:IVP65202 JEY65202:JFL65202 JOU65202:JPH65202 JYQ65202:JZD65202 KIM65202:KIZ65202 KSI65202:KSV65202 LCE65202:LCR65202 LMA65202:LMN65202 LVW65202:LWJ65202 MFS65202:MGF65202 MPO65202:MQB65202 MZK65202:MZX65202 NJG65202:NJT65202 NTC65202:NTP65202 OCY65202:ODL65202 OMU65202:ONH65202 OWQ65202:OXD65202 PGM65202:PGZ65202 PQI65202:PQV65202 QAE65202:QAR65202 QKA65202:QKN65202 QTW65202:QUJ65202 RDS65202:REF65202 RNO65202:ROB65202 RXK65202:RXX65202 SHG65202:SHT65202 SRC65202:SRP65202 TAY65202:TBL65202 TKU65202:TLH65202 TUQ65202:TVD65202 UEM65202:UEZ65202 UOI65202:UOV65202 UYE65202:UYR65202 VIA65202:VIN65202 VRW65202:VSJ65202 WBS65202:WCF65202 WLO65202:WMB65202 WVK65202:WVX65202 C130738:P130738 IY130738:JL130738 SU130738:TH130738 ACQ130738:ADD130738 AMM130738:AMZ130738 AWI130738:AWV130738 BGE130738:BGR130738 BQA130738:BQN130738 BZW130738:CAJ130738 CJS130738:CKF130738 CTO130738:CUB130738 DDK130738:DDX130738 DNG130738:DNT130738 DXC130738:DXP130738 EGY130738:EHL130738 EQU130738:ERH130738 FAQ130738:FBD130738 FKM130738:FKZ130738 FUI130738:FUV130738 GEE130738:GER130738 GOA130738:GON130738 GXW130738:GYJ130738 HHS130738:HIF130738 HRO130738:HSB130738 IBK130738:IBX130738 ILG130738:ILT130738 IVC130738:IVP130738 JEY130738:JFL130738 JOU130738:JPH130738 JYQ130738:JZD130738 KIM130738:KIZ130738 KSI130738:KSV130738 LCE130738:LCR130738 LMA130738:LMN130738 LVW130738:LWJ130738 MFS130738:MGF130738 MPO130738:MQB130738 MZK130738:MZX130738 NJG130738:NJT130738 NTC130738:NTP130738 OCY130738:ODL130738 OMU130738:ONH130738 OWQ130738:OXD130738 PGM130738:PGZ130738 PQI130738:PQV130738 QAE130738:QAR130738 QKA130738:QKN130738 QTW130738:QUJ130738 RDS130738:REF130738 RNO130738:ROB130738 RXK130738:RXX130738 SHG130738:SHT130738 SRC130738:SRP130738 TAY130738:TBL130738 TKU130738:TLH130738 TUQ130738:TVD130738 UEM130738:UEZ130738 UOI130738:UOV130738 UYE130738:UYR130738 VIA130738:VIN130738 VRW130738:VSJ130738 WBS130738:WCF130738 WLO130738:WMB130738 WVK130738:WVX130738 C196274:P196274 IY196274:JL196274 SU196274:TH196274 ACQ196274:ADD196274 AMM196274:AMZ196274 AWI196274:AWV196274 BGE196274:BGR196274 BQA196274:BQN196274 BZW196274:CAJ196274 CJS196274:CKF196274 CTO196274:CUB196274 DDK196274:DDX196274 DNG196274:DNT196274 DXC196274:DXP196274 EGY196274:EHL196274 EQU196274:ERH196274 FAQ196274:FBD196274 FKM196274:FKZ196274 FUI196274:FUV196274 GEE196274:GER196274 GOA196274:GON196274 GXW196274:GYJ196274 HHS196274:HIF196274 HRO196274:HSB196274 IBK196274:IBX196274 ILG196274:ILT196274 IVC196274:IVP196274 JEY196274:JFL196274 JOU196274:JPH196274 JYQ196274:JZD196274 KIM196274:KIZ196274 KSI196274:KSV196274 LCE196274:LCR196274 LMA196274:LMN196274 LVW196274:LWJ196274 MFS196274:MGF196274 MPO196274:MQB196274 MZK196274:MZX196274 NJG196274:NJT196274 NTC196274:NTP196274 OCY196274:ODL196274 OMU196274:ONH196274 OWQ196274:OXD196274 PGM196274:PGZ196274 PQI196274:PQV196274 QAE196274:QAR196274 QKA196274:QKN196274 QTW196274:QUJ196274 RDS196274:REF196274 RNO196274:ROB196274 RXK196274:RXX196274 SHG196274:SHT196274 SRC196274:SRP196274 TAY196274:TBL196274 TKU196274:TLH196274 TUQ196274:TVD196274 UEM196274:UEZ196274 UOI196274:UOV196274 UYE196274:UYR196274 VIA196274:VIN196274 VRW196274:VSJ196274 WBS196274:WCF196274 WLO196274:WMB196274 WVK196274:WVX196274 C261810:P261810 IY261810:JL261810 SU261810:TH261810 ACQ261810:ADD261810 AMM261810:AMZ261810 AWI261810:AWV261810 BGE261810:BGR261810 BQA261810:BQN261810 BZW261810:CAJ261810 CJS261810:CKF261810 CTO261810:CUB261810 DDK261810:DDX261810 DNG261810:DNT261810 DXC261810:DXP261810 EGY261810:EHL261810 EQU261810:ERH261810 FAQ261810:FBD261810 FKM261810:FKZ261810 FUI261810:FUV261810 GEE261810:GER261810 GOA261810:GON261810 GXW261810:GYJ261810 HHS261810:HIF261810 HRO261810:HSB261810 IBK261810:IBX261810 ILG261810:ILT261810 IVC261810:IVP261810 JEY261810:JFL261810 JOU261810:JPH261810 JYQ261810:JZD261810 KIM261810:KIZ261810 KSI261810:KSV261810 LCE261810:LCR261810 LMA261810:LMN261810 LVW261810:LWJ261810 MFS261810:MGF261810 MPO261810:MQB261810 MZK261810:MZX261810 NJG261810:NJT261810 NTC261810:NTP261810 OCY261810:ODL261810 OMU261810:ONH261810 OWQ261810:OXD261810 PGM261810:PGZ261810 PQI261810:PQV261810 QAE261810:QAR261810 QKA261810:QKN261810 QTW261810:QUJ261810 RDS261810:REF261810 RNO261810:ROB261810 RXK261810:RXX261810 SHG261810:SHT261810 SRC261810:SRP261810 TAY261810:TBL261810 TKU261810:TLH261810 TUQ261810:TVD261810 UEM261810:UEZ261810 UOI261810:UOV261810 UYE261810:UYR261810 VIA261810:VIN261810 VRW261810:VSJ261810 WBS261810:WCF261810 WLO261810:WMB261810 WVK261810:WVX261810 C327346:P327346 IY327346:JL327346 SU327346:TH327346 ACQ327346:ADD327346 AMM327346:AMZ327346 AWI327346:AWV327346 BGE327346:BGR327346 BQA327346:BQN327346 BZW327346:CAJ327346 CJS327346:CKF327346 CTO327346:CUB327346 DDK327346:DDX327346 DNG327346:DNT327346 DXC327346:DXP327346 EGY327346:EHL327346 EQU327346:ERH327346 FAQ327346:FBD327346 FKM327346:FKZ327346 FUI327346:FUV327346 GEE327346:GER327346 GOA327346:GON327346 GXW327346:GYJ327346 HHS327346:HIF327346 HRO327346:HSB327346 IBK327346:IBX327346 ILG327346:ILT327346 IVC327346:IVP327346 JEY327346:JFL327346 JOU327346:JPH327346 JYQ327346:JZD327346 KIM327346:KIZ327346 KSI327346:KSV327346 LCE327346:LCR327346 LMA327346:LMN327346 LVW327346:LWJ327346 MFS327346:MGF327346 MPO327346:MQB327346 MZK327346:MZX327346 NJG327346:NJT327346 NTC327346:NTP327346 OCY327346:ODL327346 OMU327346:ONH327346 OWQ327346:OXD327346 PGM327346:PGZ327346 PQI327346:PQV327346 QAE327346:QAR327346 QKA327346:QKN327346 QTW327346:QUJ327346 RDS327346:REF327346 RNO327346:ROB327346 RXK327346:RXX327346 SHG327346:SHT327346 SRC327346:SRP327346 TAY327346:TBL327346 TKU327346:TLH327346 TUQ327346:TVD327346 UEM327346:UEZ327346 UOI327346:UOV327346 UYE327346:UYR327346 VIA327346:VIN327346 VRW327346:VSJ327346 WBS327346:WCF327346 WLO327346:WMB327346 WVK327346:WVX327346 C392882:P392882 IY392882:JL392882 SU392882:TH392882 ACQ392882:ADD392882 AMM392882:AMZ392882 AWI392882:AWV392882 BGE392882:BGR392882 BQA392882:BQN392882 BZW392882:CAJ392882 CJS392882:CKF392882 CTO392882:CUB392882 DDK392882:DDX392882 DNG392882:DNT392882 DXC392882:DXP392882 EGY392882:EHL392882 EQU392882:ERH392882 FAQ392882:FBD392882 FKM392882:FKZ392882 FUI392882:FUV392882 GEE392882:GER392882 GOA392882:GON392882 GXW392882:GYJ392882 HHS392882:HIF392882 HRO392882:HSB392882 IBK392882:IBX392882 ILG392882:ILT392882 IVC392882:IVP392882 JEY392882:JFL392882 JOU392882:JPH392882 JYQ392882:JZD392882 KIM392882:KIZ392882 KSI392882:KSV392882 LCE392882:LCR392882 LMA392882:LMN392882 LVW392882:LWJ392882 MFS392882:MGF392882 MPO392882:MQB392882 MZK392882:MZX392882 NJG392882:NJT392882 NTC392882:NTP392882 OCY392882:ODL392882 OMU392882:ONH392882 OWQ392882:OXD392882 PGM392882:PGZ392882 PQI392882:PQV392882 QAE392882:QAR392882 QKA392882:QKN392882 QTW392882:QUJ392882 RDS392882:REF392882 RNO392882:ROB392882 RXK392882:RXX392882 SHG392882:SHT392882 SRC392882:SRP392882 TAY392882:TBL392882 TKU392882:TLH392882 TUQ392882:TVD392882 UEM392882:UEZ392882 UOI392882:UOV392882 UYE392882:UYR392882 VIA392882:VIN392882 VRW392882:VSJ392882 WBS392882:WCF392882 WLO392882:WMB392882 WVK392882:WVX392882 C458418:P458418 IY458418:JL458418 SU458418:TH458418 ACQ458418:ADD458418 AMM458418:AMZ458418 AWI458418:AWV458418 BGE458418:BGR458418 BQA458418:BQN458418 BZW458418:CAJ458418 CJS458418:CKF458418 CTO458418:CUB458418 DDK458418:DDX458418 DNG458418:DNT458418 DXC458418:DXP458418 EGY458418:EHL458418 EQU458418:ERH458418 FAQ458418:FBD458418 FKM458418:FKZ458418 FUI458418:FUV458418 GEE458418:GER458418 GOA458418:GON458418 GXW458418:GYJ458418 HHS458418:HIF458418 HRO458418:HSB458418 IBK458418:IBX458418 ILG458418:ILT458418 IVC458418:IVP458418 JEY458418:JFL458418 JOU458418:JPH458418 JYQ458418:JZD458418 KIM458418:KIZ458418 KSI458418:KSV458418 LCE458418:LCR458418 LMA458418:LMN458418 LVW458418:LWJ458418 MFS458418:MGF458418 MPO458418:MQB458418 MZK458418:MZX458418 NJG458418:NJT458418 NTC458418:NTP458418 OCY458418:ODL458418 OMU458418:ONH458418 OWQ458418:OXD458418 PGM458418:PGZ458418 PQI458418:PQV458418 QAE458418:QAR458418 QKA458418:QKN458418 QTW458418:QUJ458418 RDS458418:REF458418 RNO458418:ROB458418 RXK458418:RXX458418 SHG458418:SHT458418 SRC458418:SRP458418 TAY458418:TBL458418 TKU458418:TLH458418 TUQ458418:TVD458418 UEM458418:UEZ458418 UOI458418:UOV458418 UYE458418:UYR458418 VIA458418:VIN458418 VRW458418:VSJ458418 WBS458418:WCF458418 WLO458418:WMB458418 WVK458418:WVX458418 C523954:P523954 IY523954:JL523954 SU523954:TH523954 ACQ523954:ADD523954 AMM523954:AMZ523954 AWI523954:AWV523954 BGE523954:BGR523954 BQA523954:BQN523954 BZW523954:CAJ523954 CJS523954:CKF523954 CTO523954:CUB523954 DDK523954:DDX523954 DNG523954:DNT523954 DXC523954:DXP523954 EGY523954:EHL523954 EQU523954:ERH523954 FAQ523954:FBD523954 FKM523954:FKZ523954 FUI523954:FUV523954 GEE523954:GER523954 GOA523954:GON523954 GXW523954:GYJ523954 HHS523954:HIF523954 HRO523954:HSB523954 IBK523954:IBX523954 ILG523954:ILT523954 IVC523954:IVP523954 JEY523954:JFL523954 JOU523954:JPH523954 JYQ523954:JZD523954 KIM523954:KIZ523954 KSI523954:KSV523954 LCE523954:LCR523954 LMA523954:LMN523954 LVW523954:LWJ523954 MFS523954:MGF523954 MPO523954:MQB523954 MZK523954:MZX523954 NJG523954:NJT523954 NTC523954:NTP523954 OCY523954:ODL523954 OMU523954:ONH523954 OWQ523954:OXD523954 PGM523954:PGZ523954 PQI523954:PQV523954 QAE523954:QAR523954 QKA523954:QKN523954 QTW523954:QUJ523954 RDS523954:REF523954 RNO523954:ROB523954 RXK523954:RXX523954 SHG523954:SHT523954 SRC523954:SRP523954 TAY523954:TBL523954 TKU523954:TLH523954 TUQ523954:TVD523954 UEM523954:UEZ523954 UOI523954:UOV523954 UYE523954:UYR523954 VIA523954:VIN523954 VRW523954:VSJ523954 WBS523954:WCF523954 WLO523954:WMB523954 WVK523954:WVX523954 C589490:P589490 IY589490:JL589490 SU589490:TH589490 ACQ589490:ADD589490 AMM589490:AMZ589490 AWI589490:AWV589490 BGE589490:BGR589490 BQA589490:BQN589490 BZW589490:CAJ589490 CJS589490:CKF589490 CTO589490:CUB589490 DDK589490:DDX589490 DNG589490:DNT589490 DXC589490:DXP589490 EGY589490:EHL589490 EQU589490:ERH589490 FAQ589490:FBD589490 FKM589490:FKZ589490 FUI589490:FUV589490 GEE589490:GER589490 GOA589490:GON589490 GXW589490:GYJ589490 HHS589490:HIF589490 HRO589490:HSB589490 IBK589490:IBX589490 ILG589490:ILT589490 IVC589490:IVP589490 JEY589490:JFL589490 JOU589490:JPH589490 JYQ589490:JZD589490 KIM589490:KIZ589490 KSI589490:KSV589490 LCE589490:LCR589490 LMA589490:LMN589490 LVW589490:LWJ589490 MFS589490:MGF589490 MPO589490:MQB589490 MZK589490:MZX589490 NJG589490:NJT589490 NTC589490:NTP589490 OCY589490:ODL589490 OMU589490:ONH589490 OWQ589490:OXD589490 PGM589490:PGZ589490 PQI589490:PQV589490 QAE589490:QAR589490 QKA589490:QKN589490 QTW589490:QUJ589490 RDS589490:REF589490 RNO589490:ROB589490 RXK589490:RXX589490 SHG589490:SHT589490 SRC589490:SRP589490 TAY589490:TBL589490 TKU589490:TLH589490 TUQ589490:TVD589490 UEM589490:UEZ589490 UOI589490:UOV589490 UYE589490:UYR589490 VIA589490:VIN589490 VRW589490:VSJ589490 WBS589490:WCF589490 WLO589490:WMB589490 WVK589490:WVX589490 C655026:P655026 IY655026:JL655026 SU655026:TH655026 ACQ655026:ADD655026 AMM655026:AMZ655026 AWI655026:AWV655026 BGE655026:BGR655026 BQA655026:BQN655026 BZW655026:CAJ655026 CJS655026:CKF655026 CTO655026:CUB655026 DDK655026:DDX655026 DNG655026:DNT655026 DXC655026:DXP655026 EGY655026:EHL655026 EQU655026:ERH655026 FAQ655026:FBD655026 FKM655026:FKZ655026 FUI655026:FUV655026 GEE655026:GER655026 GOA655026:GON655026 GXW655026:GYJ655026 HHS655026:HIF655026 HRO655026:HSB655026 IBK655026:IBX655026 ILG655026:ILT655026 IVC655026:IVP655026 JEY655026:JFL655026 JOU655026:JPH655026 JYQ655026:JZD655026 KIM655026:KIZ655026 KSI655026:KSV655026 LCE655026:LCR655026 LMA655026:LMN655026 LVW655026:LWJ655026 MFS655026:MGF655026 MPO655026:MQB655026 MZK655026:MZX655026 NJG655026:NJT655026 NTC655026:NTP655026 OCY655026:ODL655026 OMU655026:ONH655026 OWQ655026:OXD655026 PGM655026:PGZ655026 PQI655026:PQV655026 QAE655026:QAR655026 QKA655026:QKN655026 QTW655026:QUJ655026 RDS655026:REF655026 RNO655026:ROB655026 RXK655026:RXX655026 SHG655026:SHT655026 SRC655026:SRP655026 TAY655026:TBL655026 TKU655026:TLH655026 TUQ655026:TVD655026 UEM655026:UEZ655026 UOI655026:UOV655026 UYE655026:UYR655026 VIA655026:VIN655026 VRW655026:VSJ655026 WBS655026:WCF655026 WLO655026:WMB655026 WVK655026:WVX655026 C720562:P720562 IY720562:JL720562 SU720562:TH720562 ACQ720562:ADD720562 AMM720562:AMZ720562 AWI720562:AWV720562 BGE720562:BGR720562 BQA720562:BQN720562 BZW720562:CAJ720562 CJS720562:CKF720562 CTO720562:CUB720562 DDK720562:DDX720562 DNG720562:DNT720562 DXC720562:DXP720562 EGY720562:EHL720562 EQU720562:ERH720562 FAQ720562:FBD720562 FKM720562:FKZ720562 FUI720562:FUV720562 GEE720562:GER720562 GOA720562:GON720562 GXW720562:GYJ720562 HHS720562:HIF720562 HRO720562:HSB720562 IBK720562:IBX720562 ILG720562:ILT720562 IVC720562:IVP720562 JEY720562:JFL720562 JOU720562:JPH720562 JYQ720562:JZD720562 KIM720562:KIZ720562 KSI720562:KSV720562 LCE720562:LCR720562 LMA720562:LMN720562 LVW720562:LWJ720562 MFS720562:MGF720562 MPO720562:MQB720562 MZK720562:MZX720562 NJG720562:NJT720562 NTC720562:NTP720562 OCY720562:ODL720562 OMU720562:ONH720562 OWQ720562:OXD720562 PGM720562:PGZ720562 PQI720562:PQV720562 QAE720562:QAR720562 QKA720562:QKN720562 QTW720562:QUJ720562 RDS720562:REF720562 RNO720562:ROB720562 RXK720562:RXX720562 SHG720562:SHT720562 SRC720562:SRP720562 TAY720562:TBL720562 TKU720562:TLH720562 TUQ720562:TVD720562 UEM720562:UEZ720562 UOI720562:UOV720562 UYE720562:UYR720562 VIA720562:VIN720562 VRW720562:VSJ720562 WBS720562:WCF720562 WLO720562:WMB720562 WVK720562:WVX720562 C786098:P786098 IY786098:JL786098 SU786098:TH786098 ACQ786098:ADD786098 AMM786098:AMZ786098 AWI786098:AWV786098 BGE786098:BGR786098 BQA786098:BQN786098 BZW786098:CAJ786098 CJS786098:CKF786098 CTO786098:CUB786098 DDK786098:DDX786098 DNG786098:DNT786098 DXC786098:DXP786098 EGY786098:EHL786098 EQU786098:ERH786098 FAQ786098:FBD786098 FKM786098:FKZ786098 FUI786098:FUV786098 GEE786098:GER786098 GOA786098:GON786098 GXW786098:GYJ786098 HHS786098:HIF786098 HRO786098:HSB786098 IBK786098:IBX786098 ILG786098:ILT786098 IVC786098:IVP786098 JEY786098:JFL786098 JOU786098:JPH786098 JYQ786098:JZD786098 KIM786098:KIZ786098 KSI786098:KSV786098 LCE786098:LCR786098 LMA786098:LMN786098 LVW786098:LWJ786098 MFS786098:MGF786098 MPO786098:MQB786098 MZK786098:MZX786098 NJG786098:NJT786098 NTC786098:NTP786098 OCY786098:ODL786098 OMU786098:ONH786098 OWQ786098:OXD786098 PGM786098:PGZ786098 PQI786098:PQV786098 QAE786098:QAR786098 QKA786098:QKN786098 QTW786098:QUJ786098 RDS786098:REF786098 RNO786098:ROB786098 RXK786098:RXX786098 SHG786098:SHT786098 SRC786098:SRP786098 TAY786098:TBL786098 TKU786098:TLH786098 TUQ786098:TVD786098 UEM786098:UEZ786098 UOI786098:UOV786098 UYE786098:UYR786098 VIA786098:VIN786098 VRW786098:VSJ786098 WBS786098:WCF786098 WLO786098:WMB786098 WVK786098:WVX786098 C851634:P851634 IY851634:JL851634 SU851634:TH851634 ACQ851634:ADD851634 AMM851634:AMZ851634 AWI851634:AWV851634 BGE851634:BGR851634 BQA851634:BQN851634 BZW851634:CAJ851634 CJS851634:CKF851634 CTO851634:CUB851634 DDK851634:DDX851634 DNG851634:DNT851634 DXC851634:DXP851634 EGY851634:EHL851634 EQU851634:ERH851634 FAQ851634:FBD851634 FKM851634:FKZ851634 FUI851634:FUV851634 GEE851634:GER851634 GOA851634:GON851634 GXW851634:GYJ851634 HHS851634:HIF851634 HRO851634:HSB851634 IBK851634:IBX851634 ILG851634:ILT851634 IVC851634:IVP851634 JEY851634:JFL851634 JOU851634:JPH851634 JYQ851634:JZD851634 KIM851634:KIZ851634 KSI851634:KSV851634 LCE851634:LCR851634 LMA851634:LMN851634 LVW851634:LWJ851634 MFS851634:MGF851634 MPO851634:MQB851634 MZK851634:MZX851634 NJG851634:NJT851634 NTC851634:NTP851634 OCY851634:ODL851634 OMU851634:ONH851634 OWQ851634:OXD851634 PGM851634:PGZ851634 PQI851634:PQV851634 QAE851634:QAR851634 QKA851634:QKN851634 QTW851634:QUJ851634 RDS851634:REF851634 RNO851634:ROB851634 RXK851634:RXX851634 SHG851634:SHT851634 SRC851634:SRP851634 TAY851634:TBL851634 TKU851634:TLH851634 TUQ851634:TVD851634 UEM851634:UEZ851634 UOI851634:UOV851634 UYE851634:UYR851634 VIA851634:VIN851634 VRW851634:VSJ851634 WBS851634:WCF851634 WLO851634:WMB851634 WVK851634:WVX851634 C917170:P917170 IY917170:JL917170 SU917170:TH917170 ACQ917170:ADD917170 AMM917170:AMZ917170 AWI917170:AWV917170 BGE917170:BGR917170 BQA917170:BQN917170 BZW917170:CAJ917170 CJS917170:CKF917170 CTO917170:CUB917170 DDK917170:DDX917170 DNG917170:DNT917170 DXC917170:DXP917170 EGY917170:EHL917170 EQU917170:ERH917170 FAQ917170:FBD917170 FKM917170:FKZ917170 FUI917170:FUV917170 GEE917170:GER917170 GOA917170:GON917170 GXW917170:GYJ917170 HHS917170:HIF917170 HRO917170:HSB917170 IBK917170:IBX917170 ILG917170:ILT917170 IVC917170:IVP917170 JEY917170:JFL917170 JOU917170:JPH917170 JYQ917170:JZD917170 KIM917170:KIZ917170 KSI917170:KSV917170 LCE917170:LCR917170 LMA917170:LMN917170 LVW917170:LWJ917170 MFS917170:MGF917170 MPO917170:MQB917170 MZK917170:MZX917170 NJG917170:NJT917170 NTC917170:NTP917170 OCY917170:ODL917170 OMU917170:ONH917170 OWQ917170:OXD917170 PGM917170:PGZ917170 PQI917170:PQV917170 QAE917170:QAR917170 QKA917170:QKN917170 QTW917170:QUJ917170 RDS917170:REF917170 RNO917170:ROB917170 RXK917170:RXX917170 SHG917170:SHT917170 SRC917170:SRP917170 TAY917170:TBL917170 TKU917170:TLH917170 TUQ917170:TVD917170 UEM917170:UEZ917170 UOI917170:UOV917170 UYE917170:UYR917170 VIA917170:VIN917170 VRW917170:VSJ917170 WBS917170:WCF917170 WLO917170:WMB917170 WVK917170:WVX917170 C982706:P982706 IY982706:JL982706 SU982706:TH982706 ACQ982706:ADD982706 AMM982706:AMZ982706 AWI982706:AWV982706 BGE982706:BGR982706 BQA982706:BQN982706 BZW982706:CAJ982706 CJS982706:CKF982706 CTO982706:CUB982706 DDK982706:DDX982706 DNG982706:DNT982706 DXC982706:DXP982706 EGY982706:EHL982706 EQU982706:ERH982706 FAQ982706:FBD982706 FKM982706:FKZ982706 FUI982706:FUV982706 GEE982706:GER982706 GOA982706:GON982706 GXW982706:GYJ982706 HHS982706:HIF982706 HRO982706:HSB982706 IBK982706:IBX982706 ILG982706:ILT982706 IVC982706:IVP982706 JEY982706:JFL982706 JOU982706:JPH982706 JYQ982706:JZD982706 KIM982706:KIZ982706 KSI982706:KSV982706 LCE982706:LCR982706 LMA982706:LMN982706 LVW982706:LWJ982706 MFS982706:MGF982706 MPO982706:MQB982706 MZK982706:MZX982706 NJG982706:NJT982706 NTC982706:NTP982706 OCY982706:ODL982706 OMU982706:ONH982706 OWQ982706:OXD982706 PGM982706:PGZ982706 PQI982706:PQV982706 QAE982706:QAR982706 QKA982706:QKN982706 QTW982706:QUJ982706 RDS982706:REF982706 RNO982706:ROB982706 RXK982706:RXX982706 SHG982706:SHT982706 SRC982706:SRP982706 TAY982706:TBL982706 TKU982706:TLH982706 TUQ982706:TVD982706 UEM982706:UEZ982706 UOI982706:UOV982706 UYE982706:UYR982706 VIA982706:VIN982706 VRW982706:VSJ982706 WBS982706:WCF982706 WLO982706:WMB982706 WVK982706:WVX982706 C65251:P65251 IY65251:JL65251 SU65251:TH65251 ACQ65251:ADD65251 AMM65251:AMZ65251 AWI65251:AWV65251 BGE65251:BGR65251 BQA65251:BQN65251 BZW65251:CAJ65251 CJS65251:CKF65251 CTO65251:CUB65251 DDK65251:DDX65251 DNG65251:DNT65251 DXC65251:DXP65251 EGY65251:EHL65251 EQU65251:ERH65251 FAQ65251:FBD65251 FKM65251:FKZ65251 FUI65251:FUV65251 GEE65251:GER65251 GOA65251:GON65251 GXW65251:GYJ65251 HHS65251:HIF65251 HRO65251:HSB65251 IBK65251:IBX65251 ILG65251:ILT65251 IVC65251:IVP65251 JEY65251:JFL65251 JOU65251:JPH65251 JYQ65251:JZD65251 KIM65251:KIZ65251 KSI65251:KSV65251 LCE65251:LCR65251 LMA65251:LMN65251 LVW65251:LWJ65251 MFS65251:MGF65251 MPO65251:MQB65251 MZK65251:MZX65251 NJG65251:NJT65251 NTC65251:NTP65251 OCY65251:ODL65251 OMU65251:ONH65251 OWQ65251:OXD65251 PGM65251:PGZ65251 PQI65251:PQV65251 QAE65251:QAR65251 QKA65251:QKN65251 QTW65251:QUJ65251 RDS65251:REF65251 RNO65251:ROB65251 RXK65251:RXX65251 SHG65251:SHT65251 SRC65251:SRP65251 TAY65251:TBL65251 TKU65251:TLH65251 TUQ65251:TVD65251 UEM65251:UEZ65251 UOI65251:UOV65251 UYE65251:UYR65251 VIA65251:VIN65251 VRW65251:VSJ65251 WBS65251:WCF65251 WLO65251:WMB65251 WVK65251:WVX65251 C130787:P130787 IY130787:JL130787 SU130787:TH130787 ACQ130787:ADD130787 AMM130787:AMZ130787 AWI130787:AWV130787 BGE130787:BGR130787 BQA130787:BQN130787 BZW130787:CAJ130787 CJS130787:CKF130787 CTO130787:CUB130787 DDK130787:DDX130787 DNG130787:DNT130787 DXC130787:DXP130787 EGY130787:EHL130787 EQU130787:ERH130787 FAQ130787:FBD130787 FKM130787:FKZ130787 FUI130787:FUV130787 GEE130787:GER130787 GOA130787:GON130787 GXW130787:GYJ130787 HHS130787:HIF130787 HRO130787:HSB130787 IBK130787:IBX130787 ILG130787:ILT130787 IVC130787:IVP130787 JEY130787:JFL130787 JOU130787:JPH130787 JYQ130787:JZD130787 KIM130787:KIZ130787 KSI130787:KSV130787 LCE130787:LCR130787 LMA130787:LMN130787 LVW130787:LWJ130787 MFS130787:MGF130787 MPO130787:MQB130787 MZK130787:MZX130787 NJG130787:NJT130787 NTC130787:NTP130787 OCY130787:ODL130787 OMU130787:ONH130787 OWQ130787:OXD130787 PGM130787:PGZ130787 PQI130787:PQV130787 QAE130787:QAR130787 QKA130787:QKN130787 QTW130787:QUJ130787 RDS130787:REF130787 RNO130787:ROB130787 RXK130787:RXX130787 SHG130787:SHT130787 SRC130787:SRP130787 TAY130787:TBL130787 TKU130787:TLH130787 TUQ130787:TVD130787 UEM130787:UEZ130787 UOI130787:UOV130787 UYE130787:UYR130787 VIA130787:VIN130787 VRW130787:VSJ130787 WBS130787:WCF130787 WLO130787:WMB130787 WVK130787:WVX130787 C196323:P196323 IY196323:JL196323 SU196323:TH196323 ACQ196323:ADD196323 AMM196323:AMZ196323 AWI196323:AWV196323 BGE196323:BGR196323 BQA196323:BQN196323 BZW196323:CAJ196323 CJS196323:CKF196323 CTO196323:CUB196323 DDK196323:DDX196323 DNG196323:DNT196323 DXC196323:DXP196323 EGY196323:EHL196323 EQU196323:ERH196323 FAQ196323:FBD196323 FKM196323:FKZ196323 FUI196323:FUV196323 GEE196323:GER196323 GOA196323:GON196323 GXW196323:GYJ196323 HHS196323:HIF196323 HRO196323:HSB196323 IBK196323:IBX196323 ILG196323:ILT196323 IVC196323:IVP196323 JEY196323:JFL196323 JOU196323:JPH196323 JYQ196323:JZD196323 KIM196323:KIZ196323 KSI196323:KSV196323 LCE196323:LCR196323 LMA196323:LMN196323 LVW196323:LWJ196323 MFS196323:MGF196323 MPO196323:MQB196323 MZK196323:MZX196323 NJG196323:NJT196323 NTC196323:NTP196323 OCY196323:ODL196323 OMU196323:ONH196323 OWQ196323:OXD196323 PGM196323:PGZ196323 PQI196323:PQV196323 QAE196323:QAR196323 QKA196323:QKN196323 QTW196323:QUJ196323 RDS196323:REF196323 RNO196323:ROB196323 RXK196323:RXX196323 SHG196323:SHT196323 SRC196323:SRP196323 TAY196323:TBL196323 TKU196323:TLH196323 TUQ196323:TVD196323 UEM196323:UEZ196323 UOI196323:UOV196323 UYE196323:UYR196323 VIA196323:VIN196323 VRW196323:VSJ196323 WBS196323:WCF196323 WLO196323:WMB196323 WVK196323:WVX196323 C261859:P261859 IY261859:JL261859 SU261859:TH261859 ACQ261859:ADD261859 AMM261859:AMZ261859 AWI261859:AWV261859 BGE261859:BGR261859 BQA261859:BQN261859 BZW261859:CAJ261859 CJS261859:CKF261859 CTO261859:CUB261859 DDK261859:DDX261859 DNG261859:DNT261859 DXC261859:DXP261859 EGY261859:EHL261859 EQU261859:ERH261859 FAQ261859:FBD261859 FKM261859:FKZ261859 FUI261859:FUV261859 GEE261859:GER261859 GOA261859:GON261859 GXW261859:GYJ261859 HHS261859:HIF261859 HRO261859:HSB261859 IBK261859:IBX261859 ILG261859:ILT261859 IVC261859:IVP261859 JEY261859:JFL261859 JOU261859:JPH261859 JYQ261859:JZD261859 KIM261859:KIZ261859 KSI261859:KSV261859 LCE261859:LCR261859 LMA261859:LMN261859 LVW261859:LWJ261859 MFS261859:MGF261859 MPO261859:MQB261859 MZK261859:MZX261859 NJG261859:NJT261859 NTC261859:NTP261859 OCY261859:ODL261859 OMU261859:ONH261859 OWQ261859:OXD261859 PGM261859:PGZ261859 PQI261859:PQV261859 QAE261859:QAR261859 QKA261859:QKN261859 QTW261859:QUJ261859 RDS261859:REF261859 RNO261859:ROB261859 RXK261859:RXX261859 SHG261859:SHT261859 SRC261859:SRP261859 TAY261859:TBL261859 TKU261859:TLH261859 TUQ261859:TVD261859 UEM261859:UEZ261859 UOI261859:UOV261859 UYE261859:UYR261859 VIA261859:VIN261859 VRW261859:VSJ261859 WBS261859:WCF261859 WLO261859:WMB261859 WVK261859:WVX261859 C327395:P327395 IY327395:JL327395 SU327395:TH327395 ACQ327395:ADD327395 AMM327395:AMZ327395 AWI327395:AWV327395 BGE327395:BGR327395 BQA327395:BQN327395 BZW327395:CAJ327395 CJS327395:CKF327395 CTO327395:CUB327395 DDK327395:DDX327395 DNG327395:DNT327395 DXC327395:DXP327395 EGY327395:EHL327395 EQU327395:ERH327395 FAQ327395:FBD327395 FKM327395:FKZ327395 FUI327395:FUV327395 GEE327395:GER327395 GOA327395:GON327395 GXW327395:GYJ327395 HHS327395:HIF327395 HRO327395:HSB327395 IBK327395:IBX327395 ILG327395:ILT327395 IVC327395:IVP327395 JEY327395:JFL327395 JOU327395:JPH327395 JYQ327395:JZD327395 KIM327395:KIZ327395 KSI327395:KSV327395 LCE327395:LCR327395 LMA327395:LMN327395 LVW327395:LWJ327395 MFS327395:MGF327395 MPO327395:MQB327395 MZK327395:MZX327395 NJG327395:NJT327395 NTC327395:NTP327395 OCY327395:ODL327395 OMU327395:ONH327395 OWQ327395:OXD327395 PGM327395:PGZ327395 PQI327395:PQV327395 QAE327395:QAR327395 QKA327395:QKN327395 QTW327395:QUJ327395 RDS327395:REF327395 RNO327395:ROB327395 RXK327395:RXX327395 SHG327395:SHT327395 SRC327395:SRP327395 TAY327395:TBL327395 TKU327395:TLH327395 TUQ327395:TVD327395 UEM327395:UEZ327395 UOI327395:UOV327395 UYE327395:UYR327395 VIA327395:VIN327395 VRW327395:VSJ327395 WBS327395:WCF327395 WLO327395:WMB327395 WVK327395:WVX327395 C392931:P392931 IY392931:JL392931 SU392931:TH392931 ACQ392931:ADD392931 AMM392931:AMZ392931 AWI392931:AWV392931 BGE392931:BGR392931 BQA392931:BQN392931 BZW392931:CAJ392931 CJS392931:CKF392931 CTO392931:CUB392931 DDK392931:DDX392931 DNG392931:DNT392931 DXC392931:DXP392931 EGY392931:EHL392931 EQU392931:ERH392931 FAQ392931:FBD392931 FKM392931:FKZ392931 FUI392931:FUV392931 GEE392931:GER392931 GOA392931:GON392931 GXW392931:GYJ392931 HHS392931:HIF392931 HRO392931:HSB392931 IBK392931:IBX392931 ILG392931:ILT392931 IVC392931:IVP392931 JEY392931:JFL392931 JOU392931:JPH392931 JYQ392931:JZD392931 KIM392931:KIZ392931 KSI392931:KSV392931 LCE392931:LCR392931 LMA392931:LMN392931 LVW392931:LWJ392931 MFS392931:MGF392931 MPO392931:MQB392931 MZK392931:MZX392931 NJG392931:NJT392931 NTC392931:NTP392931 OCY392931:ODL392931 OMU392931:ONH392931 OWQ392931:OXD392931 PGM392931:PGZ392931 PQI392931:PQV392931 QAE392931:QAR392931 QKA392931:QKN392931 QTW392931:QUJ392931 RDS392931:REF392931 RNO392931:ROB392931 RXK392931:RXX392931 SHG392931:SHT392931 SRC392931:SRP392931 TAY392931:TBL392931 TKU392931:TLH392931 TUQ392931:TVD392931 UEM392931:UEZ392931 UOI392931:UOV392931 UYE392931:UYR392931 VIA392931:VIN392931 VRW392931:VSJ392931 WBS392931:WCF392931 WLO392931:WMB392931 WVK392931:WVX392931 C458467:P458467 IY458467:JL458467 SU458467:TH458467 ACQ458467:ADD458467 AMM458467:AMZ458467 AWI458467:AWV458467 BGE458467:BGR458467 BQA458467:BQN458467 BZW458467:CAJ458467 CJS458467:CKF458467 CTO458467:CUB458467 DDK458467:DDX458467 DNG458467:DNT458467 DXC458467:DXP458467 EGY458467:EHL458467 EQU458467:ERH458467 FAQ458467:FBD458467 FKM458467:FKZ458467 FUI458467:FUV458467 GEE458467:GER458467 GOA458467:GON458467 GXW458467:GYJ458467 HHS458467:HIF458467 HRO458467:HSB458467 IBK458467:IBX458467 ILG458467:ILT458467 IVC458467:IVP458467 JEY458467:JFL458467 JOU458467:JPH458467 JYQ458467:JZD458467 KIM458467:KIZ458467 KSI458467:KSV458467 LCE458467:LCR458467 LMA458467:LMN458467 LVW458467:LWJ458467 MFS458467:MGF458467 MPO458467:MQB458467 MZK458467:MZX458467 NJG458467:NJT458467 NTC458467:NTP458467 OCY458467:ODL458467 OMU458467:ONH458467 OWQ458467:OXD458467 PGM458467:PGZ458467 PQI458467:PQV458467 QAE458467:QAR458467 QKA458467:QKN458467 QTW458467:QUJ458467 RDS458467:REF458467 RNO458467:ROB458467 RXK458467:RXX458467 SHG458467:SHT458467 SRC458467:SRP458467 TAY458467:TBL458467 TKU458467:TLH458467 TUQ458467:TVD458467 UEM458467:UEZ458467 UOI458467:UOV458467 UYE458467:UYR458467 VIA458467:VIN458467 VRW458467:VSJ458467 WBS458467:WCF458467 WLO458467:WMB458467 WVK458467:WVX458467 C524003:P524003 IY524003:JL524003 SU524003:TH524003 ACQ524003:ADD524003 AMM524003:AMZ524003 AWI524003:AWV524003 BGE524003:BGR524003 BQA524003:BQN524003 BZW524003:CAJ524003 CJS524003:CKF524003 CTO524003:CUB524003 DDK524003:DDX524003 DNG524003:DNT524003 DXC524003:DXP524003 EGY524003:EHL524003 EQU524003:ERH524003 FAQ524003:FBD524003 FKM524003:FKZ524003 FUI524003:FUV524003 GEE524003:GER524003 GOA524003:GON524003 GXW524003:GYJ524003 HHS524003:HIF524003 HRO524003:HSB524003 IBK524003:IBX524003 ILG524003:ILT524003 IVC524003:IVP524003 JEY524003:JFL524003 JOU524003:JPH524003 JYQ524003:JZD524003 KIM524003:KIZ524003 KSI524003:KSV524003 LCE524003:LCR524003 LMA524003:LMN524003 LVW524003:LWJ524003 MFS524003:MGF524003 MPO524003:MQB524003 MZK524003:MZX524003 NJG524003:NJT524003 NTC524003:NTP524003 OCY524003:ODL524003 OMU524003:ONH524003 OWQ524003:OXD524003 PGM524003:PGZ524003 PQI524003:PQV524003 QAE524003:QAR524003 QKA524003:QKN524003 QTW524003:QUJ524003 RDS524003:REF524003 RNO524003:ROB524003 RXK524003:RXX524003 SHG524003:SHT524003 SRC524003:SRP524003 TAY524003:TBL524003 TKU524003:TLH524003 TUQ524003:TVD524003 UEM524003:UEZ524003 UOI524003:UOV524003 UYE524003:UYR524003 VIA524003:VIN524003 VRW524003:VSJ524003 WBS524003:WCF524003 WLO524003:WMB524003 WVK524003:WVX524003 C589539:P589539 IY589539:JL589539 SU589539:TH589539 ACQ589539:ADD589539 AMM589539:AMZ589539 AWI589539:AWV589539 BGE589539:BGR589539 BQA589539:BQN589539 BZW589539:CAJ589539 CJS589539:CKF589539 CTO589539:CUB589539 DDK589539:DDX589539 DNG589539:DNT589539 DXC589539:DXP589539 EGY589539:EHL589539 EQU589539:ERH589539 FAQ589539:FBD589539 FKM589539:FKZ589539 FUI589539:FUV589539 GEE589539:GER589539 GOA589539:GON589539 GXW589539:GYJ589539 HHS589539:HIF589539 HRO589539:HSB589539 IBK589539:IBX589539 ILG589539:ILT589539 IVC589539:IVP589539 JEY589539:JFL589539 JOU589539:JPH589539 JYQ589539:JZD589539 KIM589539:KIZ589539 KSI589539:KSV589539 LCE589539:LCR589539 LMA589539:LMN589539 LVW589539:LWJ589539 MFS589539:MGF589539 MPO589539:MQB589539 MZK589539:MZX589539 NJG589539:NJT589539 NTC589539:NTP589539 OCY589539:ODL589539 OMU589539:ONH589539 OWQ589539:OXD589539 PGM589539:PGZ589539 PQI589539:PQV589539 QAE589539:QAR589539 QKA589539:QKN589539 QTW589539:QUJ589539 RDS589539:REF589539 RNO589539:ROB589539 RXK589539:RXX589539 SHG589539:SHT589539 SRC589539:SRP589539 TAY589539:TBL589539 TKU589539:TLH589539 TUQ589539:TVD589539 UEM589539:UEZ589539 UOI589539:UOV589539 UYE589539:UYR589539 VIA589539:VIN589539 VRW589539:VSJ589539 WBS589539:WCF589539 WLO589539:WMB589539 WVK589539:WVX589539 C655075:P655075 IY655075:JL655075 SU655075:TH655075 ACQ655075:ADD655075 AMM655075:AMZ655075 AWI655075:AWV655075 BGE655075:BGR655075 BQA655075:BQN655075 BZW655075:CAJ655075 CJS655075:CKF655075 CTO655075:CUB655075 DDK655075:DDX655075 DNG655075:DNT655075 DXC655075:DXP655075 EGY655075:EHL655075 EQU655075:ERH655075 FAQ655075:FBD655075 FKM655075:FKZ655075 FUI655075:FUV655075 GEE655075:GER655075 GOA655075:GON655075 GXW655075:GYJ655075 HHS655075:HIF655075 HRO655075:HSB655075 IBK655075:IBX655075 ILG655075:ILT655075 IVC655075:IVP655075 JEY655075:JFL655075 JOU655075:JPH655075 JYQ655075:JZD655075 KIM655075:KIZ655075 KSI655075:KSV655075 LCE655075:LCR655075 LMA655075:LMN655075 LVW655075:LWJ655075 MFS655075:MGF655075 MPO655075:MQB655075 MZK655075:MZX655075 NJG655075:NJT655075 NTC655075:NTP655075 OCY655075:ODL655075 OMU655075:ONH655075 OWQ655075:OXD655075 PGM655075:PGZ655075 PQI655075:PQV655075 QAE655075:QAR655075 QKA655075:QKN655075 QTW655075:QUJ655075 RDS655075:REF655075 RNO655075:ROB655075 RXK655075:RXX655075 SHG655075:SHT655075 SRC655075:SRP655075 TAY655075:TBL655075 TKU655075:TLH655075 TUQ655075:TVD655075 UEM655075:UEZ655075 UOI655075:UOV655075 UYE655075:UYR655075 VIA655075:VIN655075 VRW655075:VSJ655075 WBS655075:WCF655075 WLO655075:WMB655075 WVK655075:WVX655075 C720611:P720611 IY720611:JL720611 SU720611:TH720611 ACQ720611:ADD720611 AMM720611:AMZ720611 AWI720611:AWV720611 BGE720611:BGR720611 BQA720611:BQN720611 BZW720611:CAJ720611 CJS720611:CKF720611 CTO720611:CUB720611 DDK720611:DDX720611 DNG720611:DNT720611 DXC720611:DXP720611 EGY720611:EHL720611 EQU720611:ERH720611 FAQ720611:FBD720611 FKM720611:FKZ720611 FUI720611:FUV720611 GEE720611:GER720611 GOA720611:GON720611 GXW720611:GYJ720611 HHS720611:HIF720611 HRO720611:HSB720611 IBK720611:IBX720611 ILG720611:ILT720611 IVC720611:IVP720611 JEY720611:JFL720611 JOU720611:JPH720611 JYQ720611:JZD720611 KIM720611:KIZ720611 KSI720611:KSV720611 LCE720611:LCR720611 LMA720611:LMN720611 LVW720611:LWJ720611 MFS720611:MGF720611 MPO720611:MQB720611 MZK720611:MZX720611 NJG720611:NJT720611 NTC720611:NTP720611 OCY720611:ODL720611 OMU720611:ONH720611 OWQ720611:OXD720611 PGM720611:PGZ720611 PQI720611:PQV720611 QAE720611:QAR720611 QKA720611:QKN720611 QTW720611:QUJ720611 RDS720611:REF720611 RNO720611:ROB720611 RXK720611:RXX720611 SHG720611:SHT720611 SRC720611:SRP720611 TAY720611:TBL720611 TKU720611:TLH720611 TUQ720611:TVD720611 UEM720611:UEZ720611 UOI720611:UOV720611 UYE720611:UYR720611 VIA720611:VIN720611 VRW720611:VSJ720611 WBS720611:WCF720611 WLO720611:WMB720611 WVK720611:WVX720611 C786147:P786147 IY786147:JL786147 SU786147:TH786147 ACQ786147:ADD786147 AMM786147:AMZ786147 AWI786147:AWV786147 BGE786147:BGR786147 BQA786147:BQN786147 BZW786147:CAJ786147 CJS786147:CKF786147 CTO786147:CUB786147 DDK786147:DDX786147 DNG786147:DNT786147 DXC786147:DXP786147 EGY786147:EHL786147 EQU786147:ERH786147 FAQ786147:FBD786147 FKM786147:FKZ786147 FUI786147:FUV786147 GEE786147:GER786147 GOA786147:GON786147 GXW786147:GYJ786147 HHS786147:HIF786147 HRO786147:HSB786147 IBK786147:IBX786147 ILG786147:ILT786147 IVC786147:IVP786147 JEY786147:JFL786147 JOU786147:JPH786147 JYQ786147:JZD786147 KIM786147:KIZ786147 KSI786147:KSV786147 LCE786147:LCR786147 LMA786147:LMN786147 LVW786147:LWJ786147 MFS786147:MGF786147 MPO786147:MQB786147 MZK786147:MZX786147 NJG786147:NJT786147 NTC786147:NTP786147 OCY786147:ODL786147 OMU786147:ONH786147 OWQ786147:OXD786147 PGM786147:PGZ786147 PQI786147:PQV786147 QAE786147:QAR786147 QKA786147:QKN786147 QTW786147:QUJ786147 RDS786147:REF786147 RNO786147:ROB786147 RXK786147:RXX786147 SHG786147:SHT786147 SRC786147:SRP786147 TAY786147:TBL786147 TKU786147:TLH786147 TUQ786147:TVD786147 UEM786147:UEZ786147 UOI786147:UOV786147 UYE786147:UYR786147 VIA786147:VIN786147 VRW786147:VSJ786147 WBS786147:WCF786147 WLO786147:WMB786147 WVK786147:WVX786147 C851683:P851683 IY851683:JL851683 SU851683:TH851683 ACQ851683:ADD851683 AMM851683:AMZ851683 AWI851683:AWV851683 BGE851683:BGR851683 BQA851683:BQN851683 BZW851683:CAJ851683 CJS851683:CKF851683 CTO851683:CUB851683 DDK851683:DDX851683 DNG851683:DNT851683 DXC851683:DXP851683 EGY851683:EHL851683 EQU851683:ERH851683 FAQ851683:FBD851683 FKM851683:FKZ851683 FUI851683:FUV851683 GEE851683:GER851683 GOA851683:GON851683 GXW851683:GYJ851683 HHS851683:HIF851683 HRO851683:HSB851683 IBK851683:IBX851683 ILG851683:ILT851683 IVC851683:IVP851683 JEY851683:JFL851683 JOU851683:JPH851683 JYQ851683:JZD851683 KIM851683:KIZ851683 KSI851683:KSV851683 LCE851683:LCR851683 LMA851683:LMN851683 LVW851683:LWJ851683 MFS851683:MGF851683 MPO851683:MQB851683 MZK851683:MZX851683 NJG851683:NJT851683 NTC851683:NTP851683 OCY851683:ODL851683 OMU851683:ONH851683 OWQ851683:OXD851683 PGM851683:PGZ851683 PQI851683:PQV851683 QAE851683:QAR851683 QKA851683:QKN851683 QTW851683:QUJ851683 RDS851683:REF851683 RNO851683:ROB851683 RXK851683:RXX851683 SHG851683:SHT851683 SRC851683:SRP851683 TAY851683:TBL851683 TKU851683:TLH851683 TUQ851683:TVD851683 UEM851683:UEZ851683 UOI851683:UOV851683 UYE851683:UYR851683 VIA851683:VIN851683 VRW851683:VSJ851683 WBS851683:WCF851683 WLO851683:WMB851683 WVK851683:WVX851683 C917219:P917219 IY917219:JL917219 SU917219:TH917219 ACQ917219:ADD917219 AMM917219:AMZ917219 AWI917219:AWV917219 BGE917219:BGR917219 BQA917219:BQN917219 BZW917219:CAJ917219 CJS917219:CKF917219 CTO917219:CUB917219 DDK917219:DDX917219 DNG917219:DNT917219 DXC917219:DXP917219 EGY917219:EHL917219 EQU917219:ERH917219 FAQ917219:FBD917219 FKM917219:FKZ917219 FUI917219:FUV917219 GEE917219:GER917219 GOA917219:GON917219 GXW917219:GYJ917219 HHS917219:HIF917219 HRO917219:HSB917219 IBK917219:IBX917219 ILG917219:ILT917219 IVC917219:IVP917219 JEY917219:JFL917219 JOU917219:JPH917219 JYQ917219:JZD917219 KIM917219:KIZ917219 KSI917219:KSV917219 LCE917219:LCR917219 LMA917219:LMN917219 LVW917219:LWJ917219 MFS917219:MGF917219 MPO917219:MQB917219 MZK917219:MZX917219 NJG917219:NJT917219 NTC917219:NTP917219 OCY917219:ODL917219 OMU917219:ONH917219 OWQ917219:OXD917219 PGM917219:PGZ917219 PQI917219:PQV917219 QAE917219:QAR917219 QKA917219:QKN917219 QTW917219:QUJ917219 RDS917219:REF917219 RNO917219:ROB917219 RXK917219:RXX917219 SHG917219:SHT917219 SRC917219:SRP917219 TAY917219:TBL917219 TKU917219:TLH917219 TUQ917219:TVD917219 UEM917219:UEZ917219 UOI917219:UOV917219 UYE917219:UYR917219 VIA917219:VIN917219 VRW917219:VSJ917219 WBS917219:WCF917219 WLO917219:WMB917219 WVK917219:WVX917219 C982755:P982755 IY982755:JL982755 SU982755:TH982755 ACQ982755:ADD982755 AMM982755:AMZ982755 AWI982755:AWV982755 BGE982755:BGR982755 BQA982755:BQN982755 BZW982755:CAJ982755 CJS982755:CKF982755 CTO982755:CUB982755 DDK982755:DDX982755 DNG982755:DNT982755 DXC982755:DXP982755 EGY982755:EHL982755 EQU982755:ERH982755 FAQ982755:FBD982755 FKM982755:FKZ982755 FUI982755:FUV982755 GEE982755:GER982755 GOA982755:GON982755 GXW982755:GYJ982755 HHS982755:HIF982755 HRO982755:HSB982755 IBK982755:IBX982755 ILG982755:ILT982755 IVC982755:IVP982755 JEY982755:JFL982755 JOU982755:JPH982755 JYQ982755:JZD982755 KIM982755:KIZ982755 KSI982755:KSV982755 LCE982755:LCR982755 LMA982755:LMN982755 LVW982755:LWJ982755 MFS982755:MGF982755 MPO982755:MQB982755 MZK982755:MZX982755 NJG982755:NJT982755 NTC982755:NTP982755 OCY982755:ODL982755 OMU982755:ONH982755 OWQ982755:OXD982755 PGM982755:PGZ982755 PQI982755:PQV982755 QAE982755:QAR982755 QKA982755:QKN982755 QTW982755:QUJ982755 RDS982755:REF982755 RNO982755:ROB982755 RXK982755:RXX982755 SHG982755:SHT982755 SRC982755:SRP982755 TAY982755:TBL982755 TKU982755:TLH982755 TUQ982755:TVD982755 UEM982755:UEZ982755 UOI982755:UOV982755 UYE982755:UYR982755 VIA982755:VIN982755 VRW982755:VSJ982755 WBS982755:WCF982755 WLO982755:WMB982755 WVK982755:WVX982755 C65300:P65300 IY65300:JL65300 SU65300:TH65300 ACQ65300:ADD65300 AMM65300:AMZ65300 AWI65300:AWV65300 BGE65300:BGR65300 BQA65300:BQN65300 BZW65300:CAJ65300 CJS65300:CKF65300 CTO65300:CUB65300 DDK65300:DDX65300 DNG65300:DNT65300 DXC65300:DXP65300 EGY65300:EHL65300 EQU65300:ERH65300 FAQ65300:FBD65300 FKM65300:FKZ65300 FUI65300:FUV65300 GEE65300:GER65300 GOA65300:GON65300 GXW65300:GYJ65300 HHS65300:HIF65300 HRO65300:HSB65300 IBK65300:IBX65300 ILG65300:ILT65300 IVC65300:IVP65300 JEY65300:JFL65300 JOU65300:JPH65300 JYQ65300:JZD65300 KIM65300:KIZ65300 KSI65300:KSV65300 LCE65300:LCR65300 LMA65300:LMN65300 LVW65300:LWJ65300 MFS65300:MGF65300 MPO65300:MQB65300 MZK65300:MZX65300 NJG65300:NJT65300 NTC65300:NTP65300 OCY65300:ODL65300 OMU65300:ONH65300 OWQ65300:OXD65300 PGM65300:PGZ65300 PQI65300:PQV65300 QAE65300:QAR65300 QKA65300:QKN65300 QTW65300:QUJ65300 RDS65300:REF65300 RNO65300:ROB65300 RXK65300:RXX65300 SHG65300:SHT65300 SRC65300:SRP65300 TAY65300:TBL65300 TKU65300:TLH65300 TUQ65300:TVD65300 UEM65300:UEZ65300 UOI65300:UOV65300 UYE65300:UYR65300 VIA65300:VIN65300 VRW65300:VSJ65300 WBS65300:WCF65300 WLO65300:WMB65300 WVK65300:WVX65300 C130836:P130836 IY130836:JL130836 SU130836:TH130836 ACQ130836:ADD130836 AMM130836:AMZ130836 AWI130836:AWV130836 BGE130836:BGR130836 BQA130836:BQN130836 BZW130836:CAJ130836 CJS130836:CKF130836 CTO130836:CUB130836 DDK130836:DDX130836 DNG130836:DNT130836 DXC130836:DXP130836 EGY130836:EHL130836 EQU130836:ERH130836 FAQ130836:FBD130836 FKM130836:FKZ130836 FUI130836:FUV130836 GEE130836:GER130836 GOA130836:GON130836 GXW130836:GYJ130836 HHS130836:HIF130836 HRO130836:HSB130836 IBK130836:IBX130836 ILG130836:ILT130836 IVC130836:IVP130836 JEY130836:JFL130836 JOU130836:JPH130836 JYQ130836:JZD130836 KIM130836:KIZ130836 KSI130836:KSV130836 LCE130836:LCR130836 LMA130836:LMN130836 LVW130836:LWJ130836 MFS130836:MGF130836 MPO130836:MQB130836 MZK130836:MZX130836 NJG130836:NJT130836 NTC130836:NTP130836 OCY130836:ODL130836 OMU130836:ONH130836 OWQ130836:OXD130836 PGM130836:PGZ130836 PQI130836:PQV130836 QAE130836:QAR130836 QKA130836:QKN130836 QTW130836:QUJ130836 RDS130836:REF130836 RNO130836:ROB130836 RXK130836:RXX130836 SHG130836:SHT130836 SRC130836:SRP130836 TAY130836:TBL130836 TKU130836:TLH130836 TUQ130836:TVD130836 UEM130836:UEZ130836 UOI130836:UOV130836 UYE130836:UYR130836 VIA130836:VIN130836 VRW130836:VSJ130836 WBS130836:WCF130836 WLO130836:WMB130836 WVK130836:WVX130836 C196372:P196372 IY196372:JL196372 SU196372:TH196372 ACQ196372:ADD196372 AMM196372:AMZ196372 AWI196372:AWV196372 BGE196372:BGR196372 BQA196372:BQN196372 BZW196372:CAJ196372 CJS196372:CKF196372 CTO196372:CUB196372 DDK196372:DDX196372 DNG196372:DNT196372 DXC196372:DXP196372 EGY196372:EHL196372 EQU196372:ERH196372 FAQ196372:FBD196372 FKM196372:FKZ196372 FUI196372:FUV196372 GEE196372:GER196372 GOA196372:GON196372 GXW196372:GYJ196372 HHS196372:HIF196372 HRO196372:HSB196372 IBK196372:IBX196372 ILG196372:ILT196372 IVC196372:IVP196372 JEY196372:JFL196372 JOU196372:JPH196372 JYQ196372:JZD196372 KIM196372:KIZ196372 KSI196372:KSV196372 LCE196372:LCR196372 LMA196372:LMN196372 LVW196372:LWJ196372 MFS196372:MGF196372 MPO196372:MQB196372 MZK196372:MZX196372 NJG196372:NJT196372 NTC196372:NTP196372 OCY196372:ODL196372 OMU196372:ONH196372 OWQ196372:OXD196372 PGM196372:PGZ196372 PQI196372:PQV196372 QAE196372:QAR196372 QKA196372:QKN196372 QTW196372:QUJ196372 RDS196372:REF196372 RNO196372:ROB196372 RXK196372:RXX196372 SHG196372:SHT196372 SRC196372:SRP196372 TAY196372:TBL196372 TKU196372:TLH196372 TUQ196372:TVD196372 UEM196372:UEZ196372 UOI196372:UOV196372 UYE196372:UYR196372 VIA196372:VIN196372 VRW196372:VSJ196372 WBS196372:WCF196372 WLO196372:WMB196372 WVK196372:WVX196372 C261908:P261908 IY261908:JL261908 SU261908:TH261908 ACQ261908:ADD261908 AMM261908:AMZ261908 AWI261908:AWV261908 BGE261908:BGR261908 BQA261908:BQN261908 BZW261908:CAJ261908 CJS261908:CKF261908 CTO261908:CUB261908 DDK261908:DDX261908 DNG261908:DNT261908 DXC261908:DXP261908 EGY261908:EHL261908 EQU261908:ERH261908 FAQ261908:FBD261908 FKM261908:FKZ261908 FUI261908:FUV261908 GEE261908:GER261908 GOA261908:GON261908 GXW261908:GYJ261908 HHS261908:HIF261908 HRO261908:HSB261908 IBK261908:IBX261908 ILG261908:ILT261908 IVC261908:IVP261908 JEY261908:JFL261908 JOU261908:JPH261908 JYQ261908:JZD261908 KIM261908:KIZ261908 KSI261908:KSV261908 LCE261908:LCR261908 LMA261908:LMN261908 LVW261908:LWJ261908 MFS261908:MGF261908 MPO261908:MQB261908 MZK261908:MZX261908 NJG261908:NJT261908 NTC261908:NTP261908 OCY261908:ODL261908 OMU261908:ONH261908 OWQ261908:OXD261908 PGM261908:PGZ261908 PQI261908:PQV261908 QAE261908:QAR261908 QKA261908:QKN261908 QTW261908:QUJ261908 RDS261908:REF261908 RNO261908:ROB261908 RXK261908:RXX261908 SHG261908:SHT261908 SRC261908:SRP261908 TAY261908:TBL261908 TKU261908:TLH261908 TUQ261908:TVD261908 UEM261908:UEZ261908 UOI261908:UOV261908 UYE261908:UYR261908 VIA261908:VIN261908 VRW261908:VSJ261908 WBS261908:WCF261908 WLO261908:WMB261908 WVK261908:WVX261908 C327444:P327444 IY327444:JL327444 SU327444:TH327444 ACQ327444:ADD327444 AMM327444:AMZ327444 AWI327444:AWV327444 BGE327444:BGR327444 BQA327444:BQN327444 BZW327444:CAJ327444 CJS327444:CKF327444 CTO327444:CUB327444 DDK327444:DDX327444 DNG327444:DNT327444 DXC327444:DXP327444 EGY327444:EHL327444 EQU327444:ERH327444 FAQ327444:FBD327444 FKM327444:FKZ327444 FUI327444:FUV327444 GEE327444:GER327444 GOA327444:GON327444 GXW327444:GYJ327444 HHS327444:HIF327444 HRO327444:HSB327444 IBK327444:IBX327444 ILG327444:ILT327444 IVC327444:IVP327444 JEY327444:JFL327444 JOU327444:JPH327444 JYQ327444:JZD327444 KIM327444:KIZ327444 KSI327444:KSV327444 LCE327444:LCR327444 LMA327444:LMN327444 LVW327444:LWJ327444 MFS327444:MGF327444 MPO327444:MQB327444 MZK327444:MZX327444 NJG327444:NJT327444 NTC327444:NTP327444 OCY327444:ODL327444 OMU327444:ONH327444 OWQ327444:OXD327444 PGM327444:PGZ327444 PQI327444:PQV327444 QAE327444:QAR327444 QKA327444:QKN327444 QTW327444:QUJ327444 RDS327444:REF327444 RNO327444:ROB327444 RXK327444:RXX327444 SHG327444:SHT327444 SRC327444:SRP327444 TAY327444:TBL327444 TKU327444:TLH327444 TUQ327444:TVD327444 UEM327444:UEZ327444 UOI327444:UOV327444 UYE327444:UYR327444 VIA327444:VIN327444 VRW327444:VSJ327444 WBS327444:WCF327444 WLO327444:WMB327444 WVK327444:WVX327444 C392980:P392980 IY392980:JL392980 SU392980:TH392980 ACQ392980:ADD392980 AMM392980:AMZ392980 AWI392980:AWV392980 BGE392980:BGR392980 BQA392980:BQN392980 BZW392980:CAJ392980 CJS392980:CKF392980 CTO392980:CUB392980 DDK392980:DDX392980 DNG392980:DNT392980 DXC392980:DXP392980 EGY392980:EHL392980 EQU392980:ERH392980 FAQ392980:FBD392980 FKM392980:FKZ392980 FUI392980:FUV392980 GEE392980:GER392980 GOA392980:GON392980 GXW392980:GYJ392980 HHS392980:HIF392980 HRO392980:HSB392980 IBK392980:IBX392980 ILG392980:ILT392980 IVC392980:IVP392980 JEY392980:JFL392980 JOU392980:JPH392980 JYQ392980:JZD392980 KIM392980:KIZ392980 KSI392980:KSV392980 LCE392980:LCR392980 LMA392980:LMN392980 LVW392980:LWJ392980 MFS392980:MGF392980 MPO392980:MQB392980 MZK392980:MZX392980 NJG392980:NJT392980 NTC392980:NTP392980 OCY392980:ODL392980 OMU392980:ONH392980 OWQ392980:OXD392980 PGM392980:PGZ392980 PQI392980:PQV392980 QAE392980:QAR392980 QKA392980:QKN392980 QTW392980:QUJ392980 RDS392980:REF392980 RNO392980:ROB392980 RXK392980:RXX392980 SHG392980:SHT392980 SRC392980:SRP392980 TAY392980:TBL392980 TKU392980:TLH392980 TUQ392980:TVD392980 UEM392980:UEZ392980 UOI392980:UOV392980 UYE392980:UYR392980 VIA392980:VIN392980 VRW392980:VSJ392980 WBS392980:WCF392980 WLO392980:WMB392980 WVK392980:WVX392980 C458516:P458516 IY458516:JL458516 SU458516:TH458516 ACQ458516:ADD458516 AMM458516:AMZ458516 AWI458516:AWV458516 BGE458516:BGR458516 BQA458516:BQN458516 BZW458516:CAJ458516 CJS458516:CKF458516 CTO458516:CUB458516 DDK458516:DDX458516 DNG458516:DNT458516 DXC458516:DXP458516 EGY458516:EHL458516 EQU458516:ERH458516 FAQ458516:FBD458516 FKM458516:FKZ458516 FUI458516:FUV458516 GEE458516:GER458516 GOA458516:GON458516 GXW458516:GYJ458516 HHS458516:HIF458516 HRO458516:HSB458516 IBK458516:IBX458516 ILG458516:ILT458516 IVC458516:IVP458516 JEY458516:JFL458516 JOU458516:JPH458516 JYQ458516:JZD458516 KIM458516:KIZ458516 KSI458516:KSV458516 LCE458516:LCR458516 LMA458516:LMN458516 LVW458516:LWJ458516 MFS458516:MGF458516 MPO458516:MQB458516 MZK458516:MZX458516 NJG458516:NJT458516 NTC458516:NTP458516 OCY458516:ODL458516 OMU458516:ONH458516 OWQ458516:OXD458516 PGM458516:PGZ458516 PQI458516:PQV458516 QAE458516:QAR458516 QKA458516:QKN458516 QTW458516:QUJ458516 RDS458516:REF458516 RNO458516:ROB458516 RXK458516:RXX458516 SHG458516:SHT458516 SRC458516:SRP458516 TAY458516:TBL458516 TKU458516:TLH458516 TUQ458516:TVD458516 UEM458516:UEZ458516 UOI458516:UOV458516 UYE458516:UYR458516 VIA458516:VIN458516 VRW458516:VSJ458516 WBS458516:WCF458516 WLO458516:WMB458516 WVK458516:WVX458516 C524052:P524052 IY524052:JL524052 SU524052:TH524052 ACQ524052:ADD524052 AMM524052:AMZ524052 AWI524052:AWV524052 BGE524052:BGR524052 BQA524052:BQN524052 BZW524052:CAJ524052 CJS524052:CKF524052 CTO524052:CUB524052 DDK524052:DDX524052 DNG524052:DNT524052 DXC524052:DXP524052 EGY524052:EHL524052 EQU524052:ERH524052 FAQ524052:FBD524052 FKM524052:FKZ524052 FUI524052:FUV524052 GEE524052:GER524052 GOA524052:GON524052 GXW524052:GYJ524052 HHS524052:HIF524052 HRO524052:HSB524052 IBK524052:IBX524052 ILG524052:ILT524052 IVC524052:IVP524052 JEY524052:JFL524052 JOU524052:JPH524052 JYQ524052:JZD524052 KIM524052:KIZ524052 KSI524052:KSV524052 LCE524052:LCR524052 LMA524052:LMN524052 LVW524052:LWJ524052 MFS524052:MGF524052 MPO524052:MQB524052 MZK524052:MZX524052 NJG524052:NJT524052 NTC524052:NTP524052 OCY524052:ODL524052 OMU524052:ONH524052 OWQ524052:OXD524052 PGM524052:PGZ524052 PQI524052:PQV524052 QAE524052:QAR524052 QKA524052:QKN524052 QTW524052:QUJ524052 RDS524052:REF524052 RNO524052:ROB524052 RXK524052:RXX524052 SHG524052:SHT524052 SRC524052:SRP524052 TAY524052:TBL524052 TKU524052:TLH524052 TUQ524052:TVD524052 UEM524052:UEZ524052 UOI524052:UOV524052 UYE524052:UYR524052 VIA524052:VIN524052 VRW524052:VSJ524052 WBS524052:WCF524052 WLO524052:WMB524052 WVK524052:WVX524052 C589588:P589588 IY589588:JL589588 SU589588:TH589588 ACQ589588:ADD589588 AMM589588:AMZ589588 AWI589588:AWV589588 BGE589588:BGR589588 BQA589588:BQN589588 BZW589588:CAJ589588 CJS589588:CKF589588 CTO589588:CUB589588 DDK589588:DDX589588 DNG589588:DNT589588 DXC589588:DXP589588 EGY589588:EHL589588 EQU589588:ERH589588 FAQ589588:FBD589588 FKM589588:FKZ589588 FUI589588:FUV589588 GEE589588:GER589588 GOA589588:GON589588 GXW589588:GYJ589588 HHS589588:HIF589588 HRO589588:HSB589588 IBK589588:IBX589588 ILG589588:ILT589588 IVC589588:IVP589588 JEY589588:JFL589588 JOU589588:JPH589588 JYQ589588:JZD589588 KIM589588:KIZ589588 KSI589588:KSV589588 LCE589588:LCR589588 LMA589588:LMN589588 LVW589588:LWJ589588 MFS589588:MGF589588 MPO589588:MQB589588 MZK589588:MZX589588 NJG589588:NJT589588 NTC589588:NTP589588 OCY589588:ODL589588 OMU589588:ONH589588 OWQ589588:OXD589588 PGM589588:PGZ589588 PQI589588:PQV589588 QAE589588:QAR589588 QKA589588:QKN589588 QTW589588:QUJ589588 RDS589588:REF589588 RNO589588:ROB589588 RXK589588:RXX589588 SHG589588:SHT589588 SRC589588:SRP589588 TAY589588:TBL589588 TKU589588:TLH589588 TUQ589588:TVD589588 UEM589588:UEZ589588 UOI589588:UOV589588 UYE589588:UYR589588 VIA589588:VIN589588 VRW589588:VSJ589588 WBS589588:WCF589588 WLO589588:WMB589588 WVK589588:WVX589588 C655124:P655124 IY655124:JL655124 SU655124:TH655124 ACQ655124:ADD655124 AMM655124:AMZ655124 AWI655124:AWV655124 BGE655124:BGR655124 BQA655124:BQN655124 BZW655124:CAJ655124 CJS655124:CKF655124 CTO655124:CUB655124 DDK655124:DDX655124 DNG655124:DNT655124 DXC655124:DXP655124 EGY655124:EHL655124 EQU655124:ERH655124 FAQ655124:FBD655124 FKM655124:FKZ655124 FUI655124:FUV655124 GEE655124:GER655124 GOA655124:GON655124 GXW655124:GYJ655124 HHS655124:HIF655124 HRO655124:HSB655124 IBK655124:IBX655124 ILG655124:ILT655124 IVC655124:IVP655124 JEY655124:JFL655124 JOU655124:JPH655124 JYQ655124:JZD655124 KIM655124:KIZ655124 KSI655124:KSV655124 LCE655124:LCR655124 LMA655124:LMN655124 LVW655124:LWJ655124 MFS655124:MGF655124 MPO655124:MQB655124 MZK655124:MZX655124 NJG655124:NJT655124 NTC655124:NTP655124 OCY655124:ODL655124 OMU655124:ONH655124 OWQ655124:OXD655124 PGM655124:PGZ655124 PQI655124:PQV655124 QAE655124:QAR655124 QKA655124:QKN655124 QTW655124:QUJ655124 RDS655124:REF655124 RNO655124:ROB655124 RXK655124:RXX655124 SHG655124:SHT655124 SRC655124:SRP655124 TAY655124:TBL655124 TKU655124:TLH655124 TUQ655124:TVD655124 UEM655124:UEZ655124 UOI655124:UOV655124 UYE655124:UYR655124 VIA655124:VIN655124 VRW655124:VSJ655124 WBS655124:WCF655124 WLO655124:WMB655124 WVK655124:WVX655124 C720660:P720660 IY720660:JL720660 SU720660:TH720660 ACQ720660:ADD720660 AMM720660:AMZ720660 AWI720660:AWV720660 BGE720660:BGR720660 BQA720660:BQN720660 BZW720660:CAJ720660 CJS720660:CKF720660 CTO720660:CUB720660 DDK720660:DDX720660 DNG720660:DNT720660 DXC720660:DXP720660 EGY720660:EHL720660 EQU720660:ERH720660 FAQ720660:FBD720660 FKM720660:FKZ720660 FUI720660:FUV720660 GEE720660:GER720660 GOA720660:GON720660 GXW720660:GYJ720660 HHS720660:HIF720660 HRO720660:HSB720660 IBK720660:IBX720660 ILG720660:ILT720660 IVC720660:IVP720660 JEY720660:JFL720660 JOU720660:JPH720660 JYQ720660:JZD720660 KIM720660:KIZ720660 KSI720660:KSV720660 LCE720660:LCR720660 LMA720660:LMN720660 LVW720660:LWJ720660 MFS720660:MGF720660 MPO720660:MQB720660 MZK720660:MZX720660 NJG720660:NJT720660 NTC720660:NTP720660 OCY720660:ODL720660 OMU720660:ONH720660 OWQ720660:OXD720660 PGM720660:PGZ720660 PQI720660:PQV720660 QAE720660:QAR720660 QKA720660:QKN720660 QTW720660:QUJ720660 RDS720660:REF720660 RNO720660:ROB720660 RXK720660:RXX720660 SHG720660:SHT720660 SRC720660:SRP720660 TAY720660:TBL720660 TKU720660:TLH720660 TUQ720660:TVD720660 UEM720660:UEZ720660 UOI720660:UOV720660 UYE720660:UYR720660 VIA720660:VIN720660 VRW720660:VSJ720660 WBS720660:WCF720660 WLO720660:WMB720660 WVK720660:WVX720660 C786196:P786196 IY786196:JL786196 SU786196:TH786196 ACQ786196:ADD786196 AMM786196:AMZ786196 AWI786196:AWV786196 BGE786196:BGR786196 BQA786196:BQN786196 BZW786196:CAJ786196 CJS786196:CKF786196 CTO786196:CUB786196 DDK786196:DDX786196 DNG786196:DNT786196 DXC786196:DXP786196 EGY786196:EHL786196 EQU786196:ERH786196 FAQ786196:FBD786196 FKM786196:FKZ786196 FUI786196:FUV786196 GEE786196:GER786196 GOA786196:GON786196 GXW786196:GYJ786196 HHS786196:HIF786196 HRO786196:HSB786196 IBK786196:IBX786196 ILG786196:ILT786196 IVC786196:IVP786196 JEY786196:JFL786196 JOU786196:JPH786196 JYQ786196:JZD786196 KIM786196:KIZ786196 KSI786196:KSV786196 LCE786196:LCR786196 LMA786196:LMN786196 LVW786196:LWJ786196 MFS786196:MGF786196 MPO786196:MQB786196 MZK786196:MZX786196 NJG786196:NJT786196 NTC786196:NTP786196 OCY786196:ODL786196 OMU786196:ONH786196 OWQ786196:OXD786196 PGM786196:PGZ786196 PQI786196:PQV786196 QAE786196:QAR786196 QKA786196:QKN786196 QTW786196:QUJ786196 RDS786196:REF786196 RNO786196:ROB786196 RXK786196:RXX786196 SHG786196:SHT786196 SRC786196:SRP786196 TAY786196:TBL786196 TKU786196:TLH786196 TUQ786196:TVD786196 UEM786196:UEZ786196 UOI786196:UOV786196 UYE786196:UYR786196 VIA786196:VIN786196 VRW786196:VSJ786196 WBS786196:WCF786196 WLO786196:WMB786196 WVK786196:WVX786196 C851732:P851732 IY851732:JL851732 SU851732:TH851732 ACQ851732:ADD851732 AMM851732:AMZ851732 AWI851732:AWV851732 BGE851732:BGR851732 BQA851732:BQN851732 BZW851732:CAJ851732 CJS851732:CKF851732 CTO851732:CUB851732 DDK851732:DDX851732 DNG851732:DNT851732 DXC851732:DXP851732 EGY851732:EHL851732 EQU851732:ERH851732 FAQ851732:FBD851732 FKM851732:FKZ851732 FUI851732:FUV851732 GEE851732:GER851732 GOA851732:GON851732 GXW851732:GYJ851732 HHS851732:HIF851732 HRO851732:HSB851732 IBK851732:IBX851732 ILG851732:ILT851732 IVC851732:IVP851732 JEY851732:JFL851732 JOU851732:JPH851732 JYQ851732:JZD851732 KIM851732:KIZ851732 KSI851732:KSV851732 LCE851732:LCR851732 LMA851732:LMN851732 LVW851732:LWJ851732 MFS851732:MGF851732 MPO851732:MQB851732 MZK851732:MZX851732 NJG851732:NJT851732 NTC851732:NTP851732 OCY851732:ODL851732 OMU851732:ONH851732 OWQ851732:OXD851732 PGM851732:PGZ851732 PQI851732:PQV851732 QAE851732:QAR851732 QKA851732:QKN851732 QTW851732:QUJ851732 RDS851732:REF851732 RNO851732:ROB851732 RXK851732:RXX851732 SHG851732:SHT851732 SRC851732:SRP851732 TAY851732:TBL851732 TKU851732:TLH851732 TUQ851732:TVD851732 UEM851732:UEZ851732 UOI851732:UOV851732 UYE851732:UYR851732 VIA851732:VIN851732 VRW851732:VSJ851732 WBS851732:WCF851732 WLO851732:WMB851732 WVK851732:WVX851732 C917268:P917268 IY917268:JL917268 SU917268:TH917268 ACQ917268:ADD917268 AMM917268:AMZ917268 AWI917268:AWV917268 BGE917268:BGR917268 BQA917268:BQN917268 BZW917268:CAJ917268 CJS917268:CKF917268 CTO917268:CUB917268 DDK917268:DDX917268 DNG917268:DNT917268 DXC917268:DXP917268 EGY917268:EHL917268 EQU917268:ERH917268 FAQ917268:FBD917268 FKM917268:FKZ917268 FUI917268:FUV917268 GEE917268:GER917268 GOA917268:GON917268 GXW917268:GYJ917268 HHS917268:HIF917268 HRO917268:HSB917268 IBK917268:IBX917268 ILG917268:ILT917268 IVC917268:IVP917268 JEY917268:JFL917268 JOU917268:JPH917268 JYQ917268:JZD917268 KIM917268:KIZ917268 KSI917268:KSV917268 LCE917268:LCR917268 LMA917268:LMN917268 LVW917268:LWJ917268 MFS917268:MGF917268 MPO917268:MQB917268 MZK917268:MZX917268 NJG917268:NJT917268 NTC917268:NTP917268 OCY917268:ODL917268 OMU917268:ONH917268 OWQ917268:OXD917268 PGM917268:PGZ917268 PQI917268:PQV917268 QAE917268:QAR917268 QKA917268:QKN917268 QTW917268:QUJ917268 RDS917268:REF917268 RNO917268:ROB917268 RXK917268:RXX917268 SHG917268:SHT917268 SRC917268:SRP917268 TAY917268:TBL917268 TKU917268:TLH917268 TUQ917268:TVD917268 UEM917268:UEZ917268 UOI917268:UOV917268 UYE917268:UYR917268 VIA917268:VIN917268 VRW917268:VSJ917268 WBS917268:WCF917268 WLO917268:WMB917268 WVK917268:WVX917268 C982804:P982804 IY982804:JL982804 SU982804:TH982804 ACQ982804:ADD982804 AMM982804:AMZ982804 AWI982804:AWV982804 BGE982804:BGR982804 BQA982804:BQN982804 BZW982804:CAJ982804 CJS982804:CKF982804 CTO982804:CUB982804 DDK982804:DDX982804 DNG982804:DNT982804 DXC982804:DXP982804 EGY982804:EHL982804 EQU982804:ERH982804 FAQ982804:FBD982804 FKM982804:FKZ982804 FUI982804:FUV982804 GEE982804:GER982804 GOA982804:GON982804 GXW982804:GYJ982804 HHS982804:HIF982804 HRO982804:HSB982804 IBK982804:IBX982804 ILG982804:ILT982804 IVC982804:IVP982804 JEY982804:JFL982804 JOU982804:JPH982804 JYQ982804:JZD982804 KIM982804:KIZ982804 KSI982804:KSV982804 LCE982804:LCR982804 LMA982804:LMN982804 LVW982804:LWJ982804 MFS982804:MGF982804 MPO982804:MQB982804 MZK982804:MZX982804 NJG982804:NJT982804 NTC982804:NTP982804 OCY982804:ODL982804 OMU982804:ONH982804 OWQ982804:OXD982804 PGM982804:PGZ982804 PQI982804:PQV982804 QAE982804:QAR982804 QKA982804:QKN982804 QTW982804:QUJ982804 RDS982804:REF982804 RNO982804:ROB982804 RXK982804:RXX982804 SHG982804:SHT982804 SRC982804:SRP982804 TAY982804:TBL982804 TKU982804:TLH982804 TUQ982804:TVD982804 UEM982804:UEZ982804 UOI982804:UOV982804 UYE982804:UYR982804 VIA982804:VIN982804 VRW982804:VSJ982804 WBS982804:WCF982804 WLO982804:WMB982804 WVK982804:WVX982804 C65349:P65349 IY65349:JL65349 SU65349:TH65349 ACQ65349:ADD65349 AMM65349:AMZ65349 AWI65349:AWV65349 BGE65349:BGR65349 BQA65349:BQN65349 BZW65349:CAJ65349 CJS65349:CKF65349 CTO65349:CUB65349 DDK65349:DDX65349 DNG65349:DNT65349 DXC65349:DXP65349 EGY65349:EHL65349 EQU65349:ERH65349 FAQ65349:FBD65349 FKM65349:FKZ65349 FUI65349:FUV65349 GEE65349:GER65349 GOA65349:GON65349 GXW65349:GYJ65349 HHS65349:HIF65349 HRO65349:HSB65349 IBK65349:IBX65349 ILG65349:ILT65349 IVC65349:IVP65349 JEY65349:JFL65349 JOU65349:JPH65349 JYQ65349:JZD65349 KIM65349:KIZ65349 KSI65349:KSV65349 LCE65349:LCR65349 LMA65349:LMN65349 LVW65349:LWJ65349 MFS65349:MGF65349 MPO65349:MQB65349 MZK65349:MZX65349 NJG65349:NJT65349 NTC65349:NTP65349 OCY65349:ODL65349 OMU65349:ONH65349 OWQ65349:OXD65349 PGM65349:PGZ65349 PQI65349:PQV65349 QAE65349:QAR65349 QKA65349:QKN65349 QTW65349:QUJ65349 RDS65349:REF65349 RNO65349:ROB65349 RXK65349:RXX65349 SHG65349:SHT65349 SRC65349:SRP65349 TAY65349:TBL65349 TKU65349:TLH65349 TUQ65349:TVD65349 UEM65349:UEZ65349 UOI65349:UOV65349 UYE65349:UYR65349 VIA65349:VIN65349 VRW65349:VSJ65349 WBS65349:WCF65349 WLO65349:WMB65349 WVK65349:WVX65349 C130885:P130885 IY130885:JL130885 SU130885:TH130885 ACQ130885:ADD130885 AMM130885:AMZ130885 AWI130885:AWV130885 BGE130885:BGR130885 BQA130885:BQN130885 BZW130885:CAJ130885 CJS130885:CKF130885 CTO130885:CUB130885 DDK130885:DDX130885 DNG130885:DNT130885 DXC130885:DXP130885 EGY130885:EHL130885 EQU130885:ERH130885 FAQ130885:FBD130885 FKM130885:FKZ130885 FUI130885:FUV130885 GEE130885:GER130885 GOA130885:GON130885 GXW130885:GYJ130885 HHS130885:HIF130885 HRO130885:HSB130885 IBK130885:IBX130885 ILG130885:ILT130885 IVC130885:IVP130885 JEY130885:JFL130885 JOU130885:JPH130885 JYQ130885:JZD130885 KIM130885:KIZ130885 KSI130885:KSV130885 LCE130885:LCR130885 LMA130885:LMN130885 LVW130885:LWJ130885 MFS130885:MGF130885 MPO130885:MQB130885 MZK130885:MZX130885 NJG130885:NJT130885 NTC130885:NTP130885 OCY130885:ODL130885 OMU130885:ONH130885 OWQ130885:OXD130885 PGM130885:PGZ130885 PQI130885:PQV130885 QAE130885:QAR130885 QKA130885:QKN130885 QTW130885:QUJ130885 RDS130885:REF130885 RNO130885:ROB130885 RXK130885:RXX130885 SHG130885:SHT130885 SRC130885:SRP130885 TAY130885:TBL130885 TKU130885:TLH130885 TUQ130885:TVD130885 UEM130885:UEZ130885 UOI130885:UOV130885 UYE130885:UYR130885 VIA130885:VIN130885 VRW130885:VSJ130885 WBS130885:WCF130885 WLO130885:WMB130885 WVK130885:WVX130885 C196421:P196421 IY196421:JL196421 SU196421:TH196421 ACQ196421:ADD196421 AMM196421:AMZ196421 AWI196421:AWV196421 BGE196421:BGR196421 BQA196421:BQN196421 BZW196421:CAJ196421 CJS196421:CKF196421 CTO196421:CUB196421 DDK196421:DDX196421 DNG196421:DNT196421 DXC196421:DXP196421 EGY196421:EHL196421 EQU196421:ERH196421 FAQ196421:FBD196421 FKM196421:FKZ196421 FUI196421:FUV196421 GEE196421:GER196421 GOA196421:GON196421 GXW196421:GYJ196421 HHS196421:HIF196421 HRO196421:HSB196421 IBK196421:IBX196421 ILG196421:ILT196421 IVC196421:IVP196421 JEY196421:JFL196421 JOU196421:JPH196421 JYQ196421:JZD196421 KIM196421:KIZ196421 KSI196421:KSV196421 LCE196421:LCR196421 LMA196421:LMN196421 LVW196421:LWJ196421 MFS196421:MGF196421 MPO196421:MQB196421 MZK196421:MZX196421 NJG196421:NJT196421 NTC196421:NTP196421 OCY196421:ODL196421 OMU196421:ONH196421 OWQ196421:OXD196421 PGM196421:PGZ196421 PQI196421:PQV196421 QAE196421:QAR196421 QKA196421:QKN196421 QTW196421:QUJ196421 RDS196421:REF196421 RNO196421:ROB196421 RXK196421:RXX196421 SHG196421:SHT196421 SRC196421:SRP196421 TAY196421:TBL196421 TKU196421:TLH196421 TUQ196421:TVD196421 UEM196421:UEZ196421 UOI196421:UOV196421 UYE196421:UYR196421 VIA196421:VIN196421 VRW196421:VSJ196421 WBS196421:WCF196421 WLO196421:WMB196421 WVK196421:WVX196421 C261957:P261957 IY261957:JL261957 SU261957:TH261957 ACQ261957:ADD261957 AMM261957:AMZ261957 AWI261957:AWV261957 BGE261957:BGR261957 BQA261957:BQN261957 BZW261957:CAJ261957 CJS261957:CKF261957 CTO261957:CUB261957 DDK261957:DDX261957 DNG261957:DNT261957 DXC261957:DXP261957 EGY261957:EHL261957 EQU261957:ERH261957 FAQ261957:FBD261957 FKM261957:FKZ261957 FUI261957:FUV261957 GEE261957:GER261957 GOA261957:GON261957 GXW261957:GYJ261957 HHS261957:HIF261957 HRO261957:HSB261957 IBK261957:IBX261957 ILG261957:ILT261957 IVC261957:IVP261957 JEY261957:JFL261957 JOU261957:JPH261957 JYQ261957:JZD261957 KIM261957:KIZ261957 KSI261957:KSV261957 LCE261957:LCR261957 LMA261957:LMN261957 LVW261957:LWJ261957 MFS261957:MGF261957 MPO261957:MQB261957 MZK261957:MZX261957 NJG261957:NJT261957 NTC261957:NTP261957 OCY261957:ODL261957 OMU261957:ONH261957 OWQ261957:OXD261957 PGM261957:PGZ261957 PQI261957:PQV261957 QAE261957:QAR261957 QKA261957:QKN261957 QTW261957:QUJ261957 RDS261957:REF261957 RNO261957:ROB261957 RXK261957:RXX261957 SHG261957:SHT261957 SRC261957:SRP261957 TAY261957:TBL261957 TKU261957:TLH261957 TUQ261957:TVD261957 UEM261957:UEZ261957 UOI261957:UOV261957 UYE261957:UYR261957 VIA261957:VIN261957 VRW261957:VSJ261957 WBS261957:WCF261957 WLO261957:WMB261957 WVK261957:WVX261957 C327493:P327493 IY327493:JL327493 SU327493:TH327493 ACQ327493:ADD327493 AMM327493:AMZ327493 AWI327493:AWV327493 BGE327493:BGR327493 BQA327493:BQN327493 BZW327493:CAJ327493 CJS327493:CKF327493 CTO327493:CUB327493 DDK327493:DDX327493 DNG327493:DNT327493 DXC327493:DXP327493 EGY327493:EHL327493 EQU327493:ERH327493 FAQ327493:FBD327493 FKM327493:FKZ327493 FUI327493:FUV327493 GEE327493:GER327493 GOA327493:GON327493 GXW327493:GYJ327493 HHS327493:HIF327493 HRO327493:HSB327493 IBK327493:IBX327493 ILG327493:ILT327493 IVC327493:IVP327493 JEY327493:JFL327493 JOU327493:JPH327493 JYQ327493:JZD327493 KIM327493:KIZ327493 KSI327493:KSV327493 LCE327493:LCR327493 LMA327493:LMN327493 LVW327493:LWJ327493 MFS327493:MGF327493 MPO327493:MQB327493 MZK327493:MZX327493 NJG327493:NJT327493 NTC327493:NTP327493 OCY327493:ODL327493 OMU327493:ONH327493 OWQ327493:OXD327493 PGM327493:PGZ327493 PQI327493:PQV327493 QAE327493:QAR327493 QKA327493:QKN327493 QTW327493:QUJ327493 RDS327493:REF327493 RNO327493:ROB327493 RXK327493:RXX327493 SHG327493:SHT327493 SRC327493:SRP327493 TAY327493:TBL327493 TKU327493:TLH327493 TUQ327493:TVD327493 UEM327493:UEZ327493 UOI327493:UOV327493 UYE327493:UYR327493 VIA327493:VIN327493 VRW327493:VSJ327493 WBS327493:WCF327493 WLO327493:WMB327493 WVK327493:WVX327493 C393029:P393029 IY393029:JL393029 SU393029:TH393029 ACQ393029:ADD393029 AMM393029:AMZ393029 AWI393029:AWV393029 BGE393029:BGR393029 BQA393029:BQN393029 BZW393029:CAJ393029 CJS393029:CKF393029 CTO393029:CUB393029 DDK393029:DDX393029 DNG393029:DNT393029 DXC393029:DXP393029 EGY393029:EHL393029 EQU393029:ERH393029 FAQ393029:FBD393029 FKM393029:FKZ393029 FUI393029:FUV393029 GEE393029:GER393029 GOA393029:GON393029 GXW393029:GYJ393029 HHS393029:HIF393029 HRO393029:HSB393029 IBK393029:IBX393029 ILG393029:ILT393029 IVC393029:IVP393029 JEY393029:JFL393029 JOU393029:JPH393029 JYQ393029:JZD393029 KIM393029:KIZ393029 KSI393029:KSV393029 LCE393029:LCR393029 LMA393029:LMN393029 LVW393029:LWJ393029 MFS393029:MGF393029 MPO393029:MQB393029 MZK393029:MZX393029 NJG393029:NJT393029 NTC393029:NTP393029 OCY393029:ODL393029 OMU393029:ONH393029 OWQ393029:OXD393029 PGM393029:PGZ393029 PQI393029:PQV393029 QAE393029:QAR393029 QKA393029:QKN393029 QTW393029:QUJ393029 RDS393029:REF393029 RNO393029:ROB393029 RXK393029:RXX393029 SHG393029:SHT393029 SRC393029:SRP393029 TAY393029:TBL393029 TKU393029:TLH393029 TUQ393029:TVD393029 UEM393029:UEZ393029 UOI393029:UOV393029 UYE393029:UYR393029 VIA393029:VIN393029 VRW393029:VSJ393029 WBS393029:WCF393029 WLO393029:WMB393029 WVK393029:WVX393029 C458565:P458565 IY458565:JL458565 SU458565:TH458565 ACQ458565:ADD458565 AMM458565:AMZ458565 AWI458565:AWV458565 BGE458565:BGR458565 BQA458565:BQN458565 BZW458565:CAJ458565 CJS458565:CKF458565 CTO458565:CUB458565 DDK458565:DDX458565 DNG458565:DNT458565 DXC458565:DXP458565 EGY458565:EHL458565 EQU458565:ERH458565 FAQ458565:FBD458565 FKM458565:FKZ458565 FUI458565:FUV458565 GEE458565:GER458565 GOA458565:GON458565 GXW458565:GYJ458565 HHS458565:HIF458565 HRO458565:HSB458565 IBK458565:IBX458565 ILG458565:ILT458565 IVC458565:IVP458565 JEY458565:JFL458565 JOU458565:JPH458565 JYQ458565:JZD458565 KIM458565:KIZ458565 KSI458565:KSV458565 LCE458565:LCR458565 LMA458565:LMN458565 LVW458565:LWJ458565 MFS458565:MGF458565 MPO458565:MQB458565 MZK458565:MZX458565 NJG458565:NJT458565 NTC458565:NTP458565 OCY458565:ODL458565 OMU458565:ONH458565 OWQ458565:OXD458565 PGM458565:PGZ458565 PQI458565:PQV458565 QAE458565:QAR458565 QKA458565:QKN458565 QTW458565:QUJ458565 RDS458565:REF458565 RNO458565:ROB458565 RXK458565:RXX458565 SHG458565:SHT458565 SRC458565:SRP458565 TAY458565:TBL458565 TKU458565:TLH458565 TUQ458565:TVD458565 UEM458565:UEZ458565 UOI458565:UOV458565 UYE458565:UYR458565 VIA458565:VIN458565 VRW458565:VSJ458565 WBS458565:WCF458565 WLO458565:WMB458565 WVK458565:WVX458565 C524101:P524101 IY524101:JL524101 SU524101:TH524101 ACQ524101:ADD524101 AMM524101:AMZ524101 AWI524101:AWV524101 BGE524101:BGR524101 BQA524101:BQN524101 BZW524101:CAJ524101 CJS524101:CKF524101 CTO524101:CUB524101 DDK524101:DDX524101 DNG524101:DNT524101 DXC524101:DXP524101 EGY524101:EHL524101 EQU524101:ERH524101 FAQ524101:FBD524101 FKM524101:FKZ524101 FUI524101:FUV524101 GEE524101:GER524101 GOA524101:GON524101 GXW524101:GYJ524101 HHS524101:HIF524101 HRO524101:HSB524101 IBK524101:IBX524101 ILG524101:ILT524101 IVC524101:IVP524101 JEY524101:JFL524101 JOU524101:JPH524101 JYQ524101:JZD524101 KIM524101:KIZ524101 KSI524101:KSV524101 LCE524101:LCR524101 LMA524101:LMN524101 LVW524101:LWJ524101 MFS524101:MGF524101 MPO524101:MQB524101 MZK524101:MZX524101 NJG524101:NJT524101 NTC524101:NTP524101 OCY524101:ODL524101 OMU524101:ONH524101 OWQ524101:OXD524101 PGM524101:PGZ524101 PQI524101:PQV524101 QAE524101:QAR524101 QKA524101:QKN524101 QTW524101:QUJ524101 RDS524101:REF524101 RNO524101:ROB524101 RXK524101:RXX524101 SHG524101:SHT524101 SRC524101:SRP524101 TAY524101:TBL524101 TKU524101:TLH524101 TUQ524101:TVD524101 UEM524101:UEZ524101 UOI524101:UOV524101 UYE524101:UYR524101 VIA524101:VIN524101 VRW524101:VSJ524101 WBS524101:WCF524101 WLO524101:WMB524101 WVK524101:WVX524101 C589637:P589637 IY589637:JL589637 SU589637:TH589637 ACQ589637:ADD589637 AMM589637:AMZ589637 AWI589637:AWV589637 BGE589637:BGR589637 BQA589637:BQN589637 BZW589637:CAJ589637 CJS589637:CKF589637 CTO589637:CUB589637 DDK589637:DDX589637 DNG589637:DNT589637 DXC589637:DXP589637 EGY589637:EHL589637 EQU589637:ERH589637 FAQ589637:FBD589637 FKM589637:FKZ589637 FUI589637:FUV589637 GEE589637:GER589637 GOA589637:GON589637 GXW589637:GYJ589637 HHS589637:HIF589637 HRO589637:HSB589637 IBK589637:IBX589637 ILG589637:ILT589637 IVC589637:IVP589637 JEY589637:JFL589637 JOU589637:JPH589637 JYQ589637:JZD589637 KIM589637:KIZ589637 KSI589637:KSV589637 LCE589637:LCR589637 LMA589637:LMN589637 LVW589637:LWJ589637 MFS589637:MGF589637 MPO589637:MQB589637 MZK589637:MZX589637 NJG589637:NJT589637 NTC589637:NTP589637 OCY589637:ODL589637 OMU589637:ONH589637 OWQ589637:OXD589637 PGM589637:PGZ589637 PQI589637:PQV589637 QAE589637:QAR589637 QKA589637:QKN589637 QTW589637:QUJ589637 RDS589637:REF589637 RNO589637:ROB589637 RXK589637:RXX589637 SHG589637:SHT589637 SRC589637:SRP589637 TAY589637:TBL589637 TKU589637:TLH589637 TUQ589637:TVD589637 UEM589637:UEZ589637 UOI589637:UOV589637 UYE589637:UYR589637 VIA589637:VIN589637 VRW589637:VSJ589637 WBS589637:WCF589637 WLO589637:WMB589637 WVK589637:WVX589637 C655173:P655173 IY655173:JL655173 SU655173:TH655173 ACQ655173:ADD655173 AMM655173:AMZ655173 AWI655173:AWV655173 BGE655173:BGR655173 BQA655173:BQN655173 BZW655173:CAJ655173 CJS655173:CKF655173 CTO655173:CUB655173 DDK655173:DDX655173 DNG655173:DNT655173 DXC655173:DXP655173 EGY655173:EHL655173 EQU655173:ERH655173 FAQ655173:FBD655173 FKM655173:FKZ655173 FUI655173:FUV655173 GEE655173:GER655173 GOA655173:GON655173 GXW655173:GYJ655173 HHS655173:HIF655173 HRO655173:HSB655173 IBK655173:IBX655173 ILG655173:ILT655173 IVC655173:IVP655173 JEY655173:JFL655173 JOU655173:JPH655173 JYQ655173:JZD655173 KIM655173:KIZ655173 KSI655173:KSV655173 LCE655173:LCR655173 LMA655173:LMN655173 LVW655173:LWJ655173 MFS655173:MGF655173 MPO655173:MQB655173 MZK655173:MZX655173 NJG655173:NJT655173 NTC655173:NTP655173 OCY655173:ODL655173 OMU655173:ONH655173 OWQ655173:OXD655173 PGM655173:PGZ655173 PQI655173:PQV655173 QAE655173:QAR655173 QKA655173:QKN655173 QTW655173:QUJ655173 RDS655173:REF655173 RNO655173:ROB655173 RXK655173:RXX655173 SHG655173:SHT655173 SRC655173:SRP655173 TAY655173:TBL655173 TKU655173:TLH655173 TUQ655173:TVD655173 UEM655173:UEZ655173 UOI655173:UOV655173 UYE655173:UYR655173 VIA655173:VIN655173 VRW655173:VSJ655173 WBS655173:WCF655173 WLO655173:WMB655173 WVK655173:WVX655173 C720709:P720709 IY720709:JL720709 SU720709:TH720709 ACQ720709:ADD720709 AMM720709:AMZ720709 AWI720709:AWV720709 BGE720709:BGR720709 BQA720709:BQN720709 BZW720709:CAJ720709 CJS720709:CKF720709 CTO720709:CUB720709 DDK720709:DDX720709 DNG720709:DNT720709 DXC720709:DXP720709 EGY720709:EHL720709 EQU720709:ERH720709 FAQ720709:FBD720709 FKM720709:FKZ720709 FUI720709:FUV720709 GEE720709:GER720709 GOA720709:GON720709 GXW720709:GYJ720709 HHS720709:HIF720709 HRO720709:HSB720709 IBK720709:IBX720709 ILG720709:ILT720709 IVC720709:IVP720709 JEY720709:JFL720709 JOU720709:JPH720709 JYQ720709:JZD720709 KIM720709:KIZ720709 KSI720709:KSV720709 LCE720709:LCR720709 LMA720709:LMN720709 LVW720709:LWJ720709 MFS720709:MGF720709 MPO720709:MQB720709 MZK720709:MZX720709 NJG720709:NJT720709 NTC720709:NTP720709 OCY720709:ODL720709 OMU720709:ONH720709 OWQ720709:OXD720709 PGM720709:PGZ720709 PQI720709:PQV720709 QAE720709:QAR720709 QKA720709:QKN720709 QTW720709:QUJ720709 RDS720709:REF720709 RNO720709:ROB720709 RXK720709:RXX720709 SHG720709:SHT720709 SRC720709:SRP720709 TAY720709:TBL720709 TKU720709:TLH720709 TUQ720709:TVD720709 UEM720709:UEZ720709 UOI720709:UOV720709 UYE720709:UYR720709 VIA720709:VIN720709 VRW720709:VSJ720709 WBS720709:WCF720709 WLO720709:WMB720709 WVK720709:WVX720709 C786245:P786245 IY786245:JL786245 SU786245:TH786245 ACQ786245:ADD786245 AMM786245:AMZ786245 AWI786245:AWV786245 BGE786245:BGR786245 BQA786245:BQN786245 BZW786245:CAJ786245 CJS786245:CKF786245 CTO786245:CUB786245 DDK786245:DDX786245 DNG786245:DNT786245 DXC786245:DXP786245 EGY786245:EHL786245 EQU786245:ERH786245 FAQ786245:FBD786245 FKM786245:FKZ786245 FUI786245:FUV786245 GEE786245:GER786245 GOA786245:GON786245 GXW786245:GYJ786245 HHS786245:HIF786245 HRO786245:HSB786245 IBK786245:IBX786245 ILG786245:ILT786245 IVC786245:IVP786245 JEY786245:JFL786245 JOU786245:JPH786245 JYQ786245:JZD786245 KIM786245:KIZ786245 KSI786245:KSV786245 LCE786245:LCR786245 LMA786245:LMN786245 LVW786245:LWJ786245 MFS786245:MGF786245 MPO786245:MQB786245 MZK786245:MZX786245 NJG786245:NJT786245 NTC786245:NTP786245 OCY786245:ODL786245 OMU786245:ONH786245 OWQ786245:OXD786245 PGM786245:PGZ786245 PQI786245:PQV786245 QAE786245:QAR786245 QKA786245:QKN786245 QTW786245:QUJ786245 RDS786245:REF786245 RNO786245:ROB786245 RXK786245:RXX786245 SHG786245:SHT786245 SRC786245:SRP786245 TAY786245:TBL786245 TKU786245:TLH786245 TUQ786245:TVD786245 UEM786245:UEZ786245 UOI786245:UOV786245 UYE786245:UYR786245 VIA786245:VIN786245 VRW786245:VSJ786245 WBS786245:WCF786245 WLO786245:WMB786245 WVK786245:WVX786245 C851781:P851781 IY851781:JL851781 SU851781:TH851781 ACQ851781:ADD851781 AMM851781:AMZ851781 AWI851781:AWV851781 BGE851781:BGR851781 BQA851781:BQN851781 BZW851781:CAJ851781 CJS851781:CKF851781 CTO851781:CUB851781 DDK851781:DDX851781 DNG851781:DNT851781 DXC851781:DXP851781 EGY851781:EHL851781 EQU851781:ERH851781 FAQ851781:FBD851781 FKM851781:FKZ851781 FUI851781:FUV851781 GEE851781:GER851781 GOA851781:GON851781 GXW851781:GYJ851781 HHS851781:HIF851781 HRO851781:HSB851781 IBK851781:IBX851781 ILG851781:ILT851781 IVC851781:IVP851781 JEY851781:JFL851781 JOU851781:JPH851781 JYQ851781:JZD851781 KIM851781:KIZ851781 KSI851781:KSV851781 LCE851781:LCR851781 LMA851781:LMN851781 LVW851781:LWJ851781 MFS851781:MGF851781 MPO851781:MQB851781 MZK851781:MZX851781 NJG851781:NJT851781 NTC851781:NTP851781 OCY851781:ODL851781 OMU851781:ONH851781 OWQ851781:OXD851781 PGM851781:PGZ851781 PQI851781:PQV851781 QAE851781:QAR851781 QKA851781:QKN851781 QTW851781:QUJ851781 RDS851781:REF851781 RNO851781:ROB851781 RXK851781:RXX851781 SHG851781:SHT851781 SRC851781:SRP851781 TAY851781:TBL851781 TKU851781:TLH851781 TUQ851781:TVD851781 UEM851781:UEZ851781 UOI851781:UOV851781 UYE851781:UYR851781 VIA851781:VIN851781 VRW851781:VSJ851781 WBS851781:WCF851781 WLO851781:WMB851781 WVK851781:WVX851781 C917317:P917317 IY917317:JL917317 SU917317:TH917317 ACQ917317:ADD917317 AMM917317:AMZ917317 AWI917317:AWV917317 BGE917317:BGR917317 BQA917317:BQN917317 BZW917317:CAJ917317 CJS917317:CKF917317 CTO917317:CUB917317 DDK917317:DDX917317 DNG917317:DNT917317 DXC917317:DXP917317 EGY917317:EHL917317 EQU917317:ERH917317 FAQ917317:FBD917317 FKM917317:FKZ917317 FUI917317:FUV917317 GEE917317:GER917317 GOA917317:GON917317 GXW917317:GYJ917317 HHS917317:HIF917317 HRO917317:HSB917317 IBK917317:IBX917317 ILG917317:ILT917317 IVC917317:IVP917317 JEY917317:JFL917317 JOU917317:JPH917317 JYQ917317:JZD917317 KIM917317:KIZ917317 KSI917317:KSV917317 LCE917317:LCR917317 LMA917317:LMN917317 LVW917317:LWJ917317 MFS917317:MGF917317 MPO917317:MQB917317 MZK917317:MZX917317 NJG917317:NJT917317 NTC917317:NTP917317 OCY917317:ODL917317 OMU917317:ONH917317 OWQ917317:OXD917317 PGM917317:PGZ917317 PQI917317:PQV917317 QAE917317:QAR917317 QKA917317:QKN917317 QTW917317:QUJ917317 RDS917317:REF917317 RNO917317:ROB917317 RXK917317:RXX917317 SHG917317:SHT917317 SRC917317:SRP917317 TAY917317:TBL917317 TKU917317:TLH917317 TUQ917317:TVD917317 UEM917317:UEZ917317 UOI917317:UOV917317 UYE917317:UYR917317 VIA917317:VIN917317 VRW917317:VSJ917317 WBS917317:WCF917317 WLO917317:WMB917317 WVK917317:WVX917317 C982853:P982853 IY982853:JL982853 SU982853:TH982853 ACQ982853:ADD982853 AMM982853:AMZ982853 AWI982853:AWV982853 BGE982853:BGR982853 BQA982853:BQN982853 BZW982853:CAJ982853 CJS982853:CKF982853 CTO982853:CUB982853 DDK982853:DDX982853 DNG982853:DNT982853 DXC982853:DXP982853 EGY982853:EHL982853 EQU982853:ERH982853 FAQ982853:FBD982853 FKM982853:FKZ982853 FUI982853:FUV982853 GEE982853:GER982853 GOA982853:GON982853 GXW982853:GYJ982853 HHS982853:HIF982853 HRO982853:HSB982853 IBK982853:IBX982853 ILG982853:ILT982853 IVC982853:IVP982853 JEY982853:JFL982853 JOU982853:JPH982853 JYQ982853:JZD982853 KIM982853:KIZ982853 KSI982853:KSV982853 LCE982853:LCR982853 LMA982853:LMN982853 LVW982853:LWJ982853 MFS982853:MGF982853 MPO982853:MQB982853 MZK982853:MZX982853 NJG982853:NJT982853 NTC982853:NTP982853 OCY982853:ODL982853 OMU982853:ONH982853 OWQ982853:OXD982853 PGM982853:PGZ982853 PQI982853:PQV982853 QAE982853:QAR982853 QKA982853:QKN982853 QTW982853:QUJ982853 RDS982853:REF982853 RNO982853:ROB982853 RXK982853:RXX982853 SHG982853:SHT982853 SRC982853:SRP982853 TAY982853:TBL982853 TKU982853:TLH982853 TUQ982853:TVD982853 UEM982853:UEZ982853 UOI982853:UOV982853 UYE982853:UYR982853 VIA982853:VIN982853 VRW982853:VSJ982853 WBS982853:WCF982853 WLO982853:WMB982853 WVK982853:WVX982853 C65399:P65399 IY65399:JL65399 SU65399:TH65399 ACQ65399:ADD65399 AMM65399:AMZ65399 AWI65399:AWV65399 BGE65399:BGR65399 BQA65399:BQN65399 BZW65399:CAJ65399 CJS65399:CKF65399 CTO65399:CUB65399 DDK65399:DDX65399 DNG65399:DNT65399 DXC65399:DXP65399 EGY65399:EHL65399 EQU65399:ERH65399 FAQ65399:FBD65399 FKM65399:FKZ65399 FUI65399:FUV65399 GEE65399:GER65399 GOA65399:GON65399 GXW65399:GYJ65399 HHS65399:HIF65399 HRO65399:HSB65399 IBK65399:IBX65399 ILG65399:ILT65399 IVC65399:IVP65399 JEY65399:JFL65399 JOU65399:JPH65399 JYQ65399:JZD65399 KIM65399:KIZ65399 KSI65399:KSV65399 LCE65399:LCR65399 LMA65399:LMN65399 LVW65399:LWJ65399 MFS65399:MGF65399 MPO65399:MQB65399 MZK65399:MZX65399 NJG65399:NJT65399 NTC65399:NTP65399 OCY65399:ODL65399 OMU65399:ONH65399 OWQ65399:OXD65399 PGM65399:PGZ65399 PQI65399:PQV65399 QAE65399:QAR65399 QKA65399:QKN65399 QTW65399:QUJ65399 RDS65399:REF65399 RNO65399:ROB65399 RXK65399:RXX65399 SHG65399:SHT65399 SRC65399:SRP65399 TAY65399:TBL65399 TKU65399:TLH65399 TUQ65399:TVD65399 UEM65399:UEZ65399 UOI65399:UOV65399 UYE65399:UYR65399 VIA65399:VIN65399 VRW65399:VSJ65399 WBS65399:WCF65399 WLO65399:WMB65399 WVK65399:WVX65399 C130935:P130935 IY130935:JL130935 SU130935:TH130935 ACQ130935:ADD130935 AMM130935:AMZ130935 AWI130935:AWV130935 BGE130935:BGR130935 BQA130935:BQN130935 BZW130935:CAJ130935 CJS130935:CKF130935 CTO130935:CUB130935 DDK130935:DDX130935 DNG130935:DNT130935 DXC130935:DXP130935 EGY130935:EHL130935 EQU130935:ERH130935 FAQ130935:FBD130935 FKM130935:FKZ130935 FUI130935:FUV130935 GEE130935:GER130935 GOA130935:GON130935 GXW130935:GYJ130935 HHS130935:HIF130935 HRO130935:HSB130935 IBK130935:IBX130935 ILG130935:ILT130935 IVC130935:IVP130935 JEY130935:JFL130935 JOU130935:JPH130935 JYQ130935:JZD130935 KIM130935:KIZ130935 KSI130935:KSV130935 LCE130935:LCR130935 LMA130935:LMN130935 LVW130935:LWJ130935 MFS130935:MGF130935 MPO130935:MQB130935 MZK130935:MZX130935 NJG130935:NJT130935 NTC130935:NTP130935 OCY130935:ODL130935 OMU130935:ONH130935 OWQ130935:OXD130935 PGM130935:PGZ130935 PQI130935:PQV130935 QAE130935:QAR130935 QKA130935:QKN130935 QTW130935:QUJ130935 RDS130935:REF130935 RNO130935:ROB130935 RXK130935:RXX130935 SHG130935:SHT130935 SRC130935:SRP130935 TAY130935:TBL130935 TKU130935:TLH130935 TUQ130935:TVD130935 UEM130935:UEZ130935 UOI130935:UOV130935 UYE130935:UYR130935 VIA130935:VIN130935 VRW130935:VSJ130935 WBS130935:WCF130935 WLO130935:WMB130935 WVK130935:WVX130935 C196471:P196471 IY196471:JL196471 SU196471:TH196471 ACQ196471:ADD196471 AMM196471:AMZ196471 AWI196471:AWV196471 BGE196471:BGR196471 BQA196471:BQN196471 BZW196471:CAJ196471 CJS196471:CKF196471 CTO196471:CUB196471 DDK196471:DDX196471 DNG196471:DNT196471 DXC196471:DXP196471 EGY196471:EHL196471 EQU196471:ERH196471 FAQ196471:FBD196471 FKM196471:FKZ196471 FUI196471:FUV196471 GEE196471:GER196471 GOA196471:GON196471 GXW196471:GYJ196471 HHS196471:HIF196471 HRO196471:HSB196471 IBK196471:IBX196471 ILG196471:ILT196471 IVC196471:IVP196471 JEY196471:JFL196471 JOU196471:JPH196471 JYQ196471:JZD196471 KIM196471:KIZ196471 KSI196471:KSV196471 LCE196471:LCR196471 LMA196471:LMN196471 LVW196471:LWJ196471 MFS196471:MGF196471 MPO196471:MQB196471 MZK196471:MZX196471 NJG196471:NJT196471 NTC196471:NTP196471 OCY196471:ODL196471 OMU196471:ONH196471 OWQ196471:OXD196471 PGM196471:PGZ196471 PQI196471:PQV196471 QAE196471:QAR196471 QKA196471:QKN196471 QTW196471:QUJ196471 RDS196471:REF196471 RNO196471:ROB196471 RXK196471:RXX196471 SHG196471:SHT196471 SRC196471:SRP196471 TAY196471:TBL196471 TKU196471:TLH196471 TUQ196471:TVD196471 UEM196471:UEZ196471 UOI196471:UOV196471 UYE196471:UYR196471 VIA196471:VIN196471 VRW196471:VSJ196471 WBS196471:WCF196471 WLO196471:WMB196471 WVK196471:WVX196471 C262007:P262007 IY262007:JL262007 SU262007:TH262007 ACQ262007:ADD262007 AMM262007:AMZ262007 AWI262007:AWV262007 BGE262007:BGR262007 BQA262007:BQN262007 BZW262007:CAJ262007 CJS262007:CKF262007 CTO262007:CUB262007 DDK262007:DDX262007 DNG262007:DNT262007 DXC262007:DXP262007 EGY262007:EHL262007 EQU262007:ERH262007 FAQ262007:FBD262007 FKM262007:FKZ262007 FUI262007:FUV262007 GEE262007:GER262007 GOA262007:GON262007 GXW262007:GYJ262007 HHS262007:HIF262007 HRO262007:HSB262007 IBK262007:IBX262007 ILG262007:ILT262007 IVC262007:IVP262007 JEY262007:JFL262007 JOU262007:JPH262007 JYQ262007:JZD262007 KIM262007:KIZ262007 KSI262007:KSV262007 LCE262007:LCR262007 LMA262007:LMN262007 LVW262007:LWJ262007 MFS262007:MGF262007 MPO262007:MQB262007 MZK262007:MZX262007 NJG262007:NJT262007 NTC262007:NTP262007 OCY262007:ODL262007 OMU262007:ONH262007 OWQ262007:OXD262007 PGM262007:PGZ262007 PQI262007:PQV262007 QAE262007:QAR262007 QKA262007:QKN262007 QTW262007:QUJ262007 RDS262007:REF262007 RNO262007:ROB262007 RXK262007:RXX262007 SHG262007:SHT262007 SRC262007:SRP262007 TAY262007:TBL262007 TKU262007:TLH262007 TUQ262007:TVD262007 UEM262007:UEZ262007 UOI262007:UOV262007 UYE262007:UYR262007 VIA262007:VIN262007 VRW262007:VSJ262007 WBS262007:WCF262007 WLO262007:WMB262007 WVK262007:WVX262007 C327543:P327543 IY327543:JL327543 SU327543:TH327543 ACQ327543:ADD327543 AMM327543:AMZ327543 AWI327543:AWV327543 BGE327543:BGR327543 BQA327543:BQN327543 BZW327543:CAJ327543 CJS327543:CKF327543 CTO327543:CUB327543 DDK327543:DDX327543 DNG327543:DNT327543 DXC327543:DXP327543 EGY327543:EHL327543 EQU327543:ERH327543 FAQ327543:FBD327543 FKM327543:FKZ327543 FUI327543:FUV327543 GEE327543:GER327543 GOA327543:GON327543 GXW327543:GYJ327543 HHS327543:HIF327543 HRO327543:HSB327543 IBK327543:IBX327543 ILG327543:ILT327543 IVC327543:IVP327543 JEY327543:JFL327543 JOU327543:JPH327543 JYQ327543:JZD327543 KIM327543:KIZ327543 KSI327543:KSV327543 LCE327543:LCR327543 LMA327543:LMN327543 LVW327543:LWJ327543 MFS327543:MGF327543 MPO327543:MQB327543 MZK327543:MZX327543 NJG327543:NJT327543 NTC327543:NTP327543 OCY327543:ODL327543 OMU327543:ONH327543 OWQ327543:OXD327543 PGM327543:PGZ327543 PQI327543:PQV327543 QAE327543:QAR327543 QKA327543:QKN327543 QTW327543:QUJ327543 RDS327543:REF327543 RNO327543:ROB327543 RXK327543:RXX327543 SHG327543:SHT327543 SRC327543:SRP327543 TAY327543:TBL327543 TKU327543:TLH327543 TUQ327543:TVD327543 UEM327543:UEZ327543 UOI327543:UOV327543 UYE327543:UYR327543 VIA327543:VIN327543 VRW327543:VSJ327543 WBS327543:WCF327543 WLO327543:WMB327543 WVK327543:WVX327543 C393079:P393079 IY393079:JL393079 SU393079:TH393079 ACQ393079:ADD393079 AMM393079:AMZ393079 AWI393079:AWV393079 BGE393079:BGR393079 BQA393079:BQN393079 BZW393079:CAJ393079 CJS393079:CKF393079 CTO393079:CUB393079 DDK393079:DDX393079 DNG393079:DNT393079 DXC393079:DXP393079 EGY393079:EHL393079 EQU393079:ERH393079 FAQ393079:FBD393079 FKM393079:FKZ393079 FUI393079:FUV393079 GEE393079:GER393079 GOA393079:GON393079 GXW393079:GYJ393079 HHS393079:HIF393079 HRO393079:HSB393079 IBK393079:IBX393079 ILG393079:ILT393079 IVC393079:IVP393079 JEY393079:JFL393079 JOU393079:JPH393079 JYQ393079:JZD393079 KIM393079:KIZ393079 KSI393079:KSV393079 LCE393079:LCR393079 LMA393079:LMN393079 LVW393079:LWJ393079 MFS393079:MGF393079 MPO393079:MQB393079 MZK393079:MZX393079 NJG393079:NJT393079 NTC393079:NTP393079 OCY393079:ODL393079 OMU393079:ONH393079 OWQ393079:OXD393079 PGM393079:PGZ393079 PQI393079:PQV393079 QAE393079:QAR393079 QKA393079:QKN393079 QTW393079:QUJ393079 RDS393079:REF393079 RNO393079:ROB393079 RXK393079:RXX393079 SHG393079:SHT393079 SRC393079:SRP393079 TAY393079:TBL393079 TKU393079:TLH393079 TUQ393079:TVD393079 UEM393079:UEZ393079 UOI393079:UOV393079 UYE393079:UYR393079 VIA393079:VIN393079 VRW393079:VSJ393079 WBS393079:WCF393079 WLO393079:WMB393079 WVK393079:WVX393079 C458615:P458615 IY458615:JL458615 SU458615:TH458615 ACQ458615:ADD458615 AMM458615:AMZ458615 AWI458615:AWV458615 BGE458615:BGR458615 BQA458615:BQN458615 BZW458615:CAJ458615 CJS458615:CKF458615 CTO458615:CUB458615 DDK458615:DDX458615 DNG458615:DNT458615 DXC458615:DXP458615 EGY458615:EHL458615 EQU458615:ERH458615 FAQ458615:FBD458615 FKM458615:FKZ458615 FUI458615:FUV458615 GEE458615:GER458615 GOA458615:GON458615 GXW458615:GYJ458615 HHS458615:HIF458615 HRO458615:HSB458615 IBK458615:IBX458615 ILG458615:ILT458615 IVC458615:IVP458615 JEY458615:JFL458615 JOU458615:JPH458615 JYQ458615:JZD458615 KIM458615:KIZ458615 KSI458615:KSV458615 LCE458615:LCR458615 LMA458615:LMN458615 LVW458615:LWJ458615 MFS458615:MGF458615 MPO458615:MQB458615 MZK458615:MZX458615 NJG458615:NJT458615 NTC458615:NTP458615 OCY458615:ODL458615 OMU458615:ONH458615 OWQ458615:OXD458615 PGM458615:PGZ458615 PQI458615:PQV458615 QAE458615:QAR458615 QKA458615:QKN458615 QTW458615:QUJ458615 RDS458615:REF458615 RNO458615:ROB458615 RXK458615:RXX458615 SHG458615:SHT458615 SRC458615:SRP458615 TAY458615:TBL458615 TKU458615:TLH458615 TUQ458615:TVD458615 UEM458615:UEZ458615 UOI458615:UOV458615 UYE458615:UYR458615 VIA458615:VIN458615 VRW458615:VSJ458615 WBS458615:WCF458615 WLO458615:WMB458615 WVK458615:WVX458615 C524151:P524151 IY524151:JL524151 SU524151:TH524151 ACQ524151:ADD524151 AMM524151:AMZ524151 AWI524151:AWV524151 BGE524151:BGR524151 BQA524151:BQN524151 BZW524151:CAJ524151 CJS524151:CKF524151 CTO524151:CUB524151 DDK524151:DDX524151 DNG524151:DNT524151 DXC524151:DXP524151 EGY524151:EHL524151 EQU524151:ERH524151 FAQ524151:FBD524151 FKM524151:FKZ524151 FUI524151:FUV524151 GEE524151:GER524151 GOA524151:GON524151 GXW524151:GYJ524151 HHS524151:HIF524151 HRO524151:HSB524151 IBK524151:IBX524151 ILG524151:ILT524151 IVC524151:IVP524151 JEY524151:JFL524151 JOU524151:JPH524151 JYQ524151:JZD524151 KIM524151:KIZ524151 KSI524151:KSV524151 LCE524151:LCR524151 LMA524151:LMN524151 LVW524151:LWJ524151 MFS524151:MGF524151 MPO524151:MQB524151 MZK524151:MZX524151 NJG524151:NJT524151 NTC524151:NTP524151 OCY524151:ODL524151 OMU524151:ONH524151 OWQ524151:OXD524151 PGM524151:PGZ524151 PQI524151:PQV524151 QAE524151:QAR524151 QKA524151:QKN524151 QTW524151:QUJ524151 RDS524151:REF524151 RNO524151:ROB524151 RXK524151:RXX524151 SHG524151:SHT524151 SRC524151:SRP524151 TAY524151:TBL524151 TKU524151:TLH524151 TUQ524151:TVD524151 UEM524151:UEZ524151 UOI524151:UOV524151 UYE524151:UYR524151 VIA524151:VIN524151 VRW524151:VSJ524151 WBS524151:WCF524151 WLO524151:WMB524151 WVK524151:WVX524151 C589687:P589687 IY589687:JL589687 SU589687:TH589687 ACQ589687:ADD589687 AMM589687:AMZ589687 AWI589687:AWV589687 BGE589687:BGR589687 BQA589687:BQN589687 BZW589687:CAJ589687 CJS589687:CKF589687 CTO589687:CUB589687 DDK589687:DDX589687 DNG589687:DNT589687 DXC589687:DXP589687 EGY589687:EHL589687 EQU589687:ERH589687 FAQ589687:FBD589687 FKM589687:FKZ589687 FUI589687:FUV589687 GEE589687:GER589687 GOA589687:GON589687 GXW589687:GYJ589687 HHS589687:HIF589687 HRO589687:HSB589687 IBK589687:IBX589687 ILG589687:ILT589687 IVC589687:IVP589687 JEY589687:JFL589687 JOU589687:JPH589687 JYQ589687:JZD589687 KIM589687:KIZ589687 KSI589687:KSV589687 LCE589687:LCR589687 LMA589687:LMN589687 LVW589687:LWJ589687 MFS589687:MGF589687 MPO589687:MQB589687 MZK589687:MZX589687 NJG589687:NJT589687 NTC589687:NTP589687 OCY589687:ODL589687 OMU589687:ONH589687 OWQ589687:OXD589687 PGM589687:PGZ589687 PQI589687:PQV589687 QAE589687:QAR589687 QKA589687:QKN589687 QTW589687:QUJ589687 RDS589687:REF589687 RNO589687:ROB589687 RXK589687:RXX589687 SHG589687:SHT589687 SRC589687:SRP589687 TAY589687:TBL589687 TKU589687:TLH589687 TUQ589687:TVD589687 UEM589687:UEZ589687 UOI589687:UOV589687 UYE589687:UYR589687 VIA589687:VIN589687 VRW589687:VSJ589687 WBS589687:WCF589687 WLO589687:WMB589687 WVK589687:WVX589687 C655223:P655223 IY655223:JL655223 SU655223:TH655223 ACQ655223:ADD655223 AMM655223:AMZ655223 AWI655223:AWV655223 BGE655223:BGR655223 BQA655223:BQN655223 BZW655223:CAJ655223 CJS655223:CKF655223 CTO655223:CUB655223 DDK655223:DDX655223 DNG655223:DNT655223 DXC655223:DXP655223 EGY655223:EHL655223 EQU655223:ERH655223 FAQ655223:FBD655223 FKM655223:FKZ655223 FUI655223:FUV655223 GEE655223:GER655223 GOA655223:GON655223 GXW655223:GYJ655223 HHS655223:HIF655223 HRO655223:HSB655223 IBK655223:IBX655223 ILG655223:ILT655223 IVC655223:IVP655223 JEY655223:JFL655223 JOU655223:JPH655223 JYQ655223:JZD655223 KIM655223:KIZ655223 KSI655223:KSV655223 LCE655223:LCR655223 LMA655223:LMN655223 LVW655223:LWJ655223 MFS655223:MGF655223 MPO655223:MQB655223 MZK655223:MZX655223 NJG655223:NJT655223 NTC655223:NTP655223 OCY655223:ODL655223 OMU655223:ONH655223 OWQ655223:OXD655223 PGM655223:PGZ655223 PQI655223:PQV655223 QAE655223:QAR655223 QKA655223:QKN655223 QTW655223:QUJ655223 RDS655223:REF655223 RNO655223:ROB655223 RXK655223:RXX655223 SHG655223:SHT655223 SRC655223:SRP655223 TAY655223:TBL655223 TKU655223:TLH655223 TUQ655223:TVD655223 UEM655223:UEZ655223 UOI655223:UOV655223 UYE655223:UYR655223 VIA655223:VIN655223 VRW655223:VSJ655223 WBS655223:WCF655223 WLO655223:WMB655223 WVK655223:WVX655223 C720759:P720759 IY720759:JL720759 SU720759:TH720759 ACQ720759:ADD720759 AMM720759:AMZ720759 AWI720759:AWV720759 BGE720759:BGR720759 BQA720759:BQN720759 BZW720759:CAJ720759 CJS720759:CKF720759 CTO720759:CUB720759 DDK720759:DDX720759 DNG720759:DNT720759 DXC720759:DXP720759 EGY720759:EHL720759 EQU720759:ERH720759 FAQ720759:FBD720759 FKM720759:FKZ720759 FUI720759:FUV720759 GEE720759:GER720759 GOA720759:GON720759 GXW720759:GYJ720759 HHS720759:HIF720759 HRO720759:HSB720759 IBK720759:IBX720759 ILG720759:ILT720759 IVC720759:IVP720759 JEY720759:JFL720759 JOU720759:JPH720759 JYQ720759:JZD720759 KIM720759:KIZ720759 KSI720759:KSV720759 LCE720759:LCR720759 LMA720759:LMN720759 LVW720759:LWJ720759 MFS720759:MGF720759 MPO720759:MQB720759 MZK720759:MZX720759 NJG720759:NJT720759 NTC720759:NTP720759 OCY720759:ODL720759 OMU720759:ONH720759 OWQ720759:OXD720759 PGM720759:PGZ720759 PQI720759:PQV720759 QAE720759:QAR720759 QKA720759:QKN720759 QTW720759:QUJ720759 RDS720759:REF720759 RNO720759:ROB720759 RXK720759:RXX720759 SHG720759:SHT720759 SRC720759:SRP720759 TAY720759:TBL720759 TKU720759:TLH720759 TUQ720759:TVD720759 UEM720759:UEZ720759 UOI720759:UOV720759 UYE720759:UYR720759 VIA720759:VIN720759 VRW720759:VSJ720759 WBS720759:WCF720759 WLO720759:WMB720759 WVK720759:WVX720759 C786295:P786295 IY786295:JL786295 SU786295:TH786295 ACQ786295:ADD786295 AMM786295:AMZ786295 AWI786295:AWV786295 BGE786295:BGR786295 BQA786295:BQN786295 BZW786295:CAJ786295 CJS786295:CKF786295 CTO786295:CUB786295 DDK786295:DDX786295 DNG786295:DNT786295 DXC786295:DXP786295 EGY786295:EHL786295 EQU786295:ERH786295 FAQ786295:FBD786295 FKM786295:FKZ786295 FUI786295:FUV786295 GEE786295:GER786295 GOA786295:GON786295 GXW786295:GYJ786295 HHS786295:HIF786295 HRO786295:HSB786295 IBK786295:IBX786295 ILG786295:ILT786295 IVC786295:IVP786295 JEY786295:JFL786295 JOU786295:JPH786295 JYQ786295:JZD786295 KIM786295:KIZ786295 KSI786295:KSV786295 LCE786295:LCR786295 LMA786295:LMN786295 LVW786295:LWJ786295 MFS786295:MGF786295 MPO786295:MQB786295 MZK786295:MZX786295 NJG786295:NJT786295 NTC786295:NTP786295 OCY786295:ODL786295 OMU786295:ONH786295 OWQ786295:OXD786295 PGM786295:PGZ786295 PQI786295:PQV786295 QAE786295:QAR786295 QKA786295:QKN786295 QTW786295:QUJ786295 RDS786295:REF786295 RNO786295:ROB786295 RXK786295:RXX786295 SHG786295:SHT786295 SRC786295:SRP786295 TAY786295:TBL786295 TKU786295:TLH786295 TUQ786295:TVD786295 UEM786295:UEZ786295 UOI786295:UOV786295 UYE786295:UYR786295 VIA786295:VIN786295 VRW786295:VSJ786295 WBS786295:WCF786295 WLO786295:WMB786295 WVK786295:WVX786295 C851831:P851831 IY851831:JL851831 SU851831:TH851831 ACQ851831:ADD851831 AMM851831:AMZ851831 AWI851831:AWV851831 BGE851831:BGR851831 BQA851831:BQN851831 BZW851831:CAJ851831 CJS851831:CKF851831 CTO851831:CUB851831 DDK851831:DDX851831 DNG851831:DNT851831 DXC851831:DXP851831 EGY851831:EHL851831 EQU851831:ERH851831 FAQ851831:FBD851831 FKM851831:FKZ851831 FUI851831:FUV851831 GEE851831:GER851831 GOA851831:GON851831 GXW851831:GYJ851831 HHS851831:HIF851831 HRO851831:HSB851831 IBK851831:IBX851831 ILG851831:ILT851831 IVC851831:IVP851831 JEY851831:JFL851831 JOU851831:JPH851831 JYQ851831:JZD851831 KIM851831:KIZ851831 KSI851831:KSV851831 LCE851831:LCR851831 LMA851831:LMN851831 LVW851831:LWJ851831 MFS851831:MGF851831 MPO851831:MQB851831 MZK851831:MZX851831 NJG851831:NJT851831 NTC851831:NTP851831 OCY851831:ODL851831 OMU851831:ONH851831 OWQ851831:OXD851831 PGM851831:PGZ851831 PQI851831:PQV851831 QAE851831:QAR851831 QKA851831:QKN851831 QTW851831:QUJ851831 RDS851831:REF851831 RNO851831:ROB851831 RXK851831:RXX851831 SHG851831:SHT851831 SRC851831:SRP851831 TAY851831:TBL851831 TKU851831:TLH851831 TUQ851831:TVD851831 UEM851831:UEZ851831 UOI851831:UOV851831 UYE851831:UYR851831 VIA851831:VIN851831 VRW851831:VSJ851831 WBS851831:WCF851831 WLO851831:WMB851831 WVK851831:WVX851831 C917367:P917367 IY917367:JL917367 SU917367:TH917367 ACQ917367:ADD917367 AMM917367:AMZ917367 AWI917367:AWV917367 BGE917367:BGR917367 BQA917367:BQN917367 BZW917367:CAJ917367 CJS917367:CKF917367 CTO917367:CUB917367 DDK917367:DDX917367 DNG917367:DNT917367 DXC917367:DXP917367 EGY917367:EHL917367 EQU917367:ERH917367 FAQ917367:FBD917367 FKM917367:FKZ917367 FUI917367:FUV917367 GEE917367:GER917367 GOA917367:GON917367 GXW917367:GYJ917367 HHS917367:HIF917367 HRO917367:HSB917367 IBK917367:IBX917367 ILG917367:ILT917367 IVC917367:IVP917367 JEY917367:JFL917367 JOU917367:JPH917367 JYQ917367:JZD917367 KIM917367:KIZ917367 KSI917367:KSV917367 LCE917367:LCR917367 LMA917367:LMN917367 LVW917367:LWJ917367 MFS917367:MGF917367 MPO917367:MQB917367 MZK917367:MZX917367 NJG917367:NJT917367 NTC917367:NTP917367 OCY917367:ODL917367 OMU917367:ONH917367 OWQ917367:OXD917367 PGM917367:PGZ917367 PQI917367:PQV917367 QAE917367:QAR917367 QKA917367:QKN917367 QTW917367:QUJ917367 RDS917367:REF917367 RNO917367:ROB917367 RXK917367:RXX917367 SHG917367:SHT917367 SRC917367:SRP917367 TAY917367:TBL917367 TKU917367:TLH917367 TUQ917367:TVD917367 UEM917367:UEZ917367 UOI917367:UOV917367 UYE917367:UYR917367 VIA917367:VIN917367 VRW917367:VSJ917367 WBS917367:WCF917367 WLO917367:WMB917367 WVK917367:WVX917367 C982903:P982903 IY982903:JL982903 SU982903:TH982903 ACQ982903:ADD982903 AMM982903:AMZ982903 AWI982903:AWV982903 BGE982903:BGR982903 BQA982903:BQN982903 BZW982903:CAJ982903 CJS982903:CKF982903 CTO982903:CUB982903 DDK982903:DDX982903 DNG982903:DNT982903 DXC982903:DXP982903 EGY982903:EHL982903 EQU982903:ERH982903 FAQ982903:FBD982903 FKM982903:FKZ982903 FUI982903:FUV982903 GEE982903:GER982903 GOA982903:GON982903 GXW982903:GYJ982903 HHS982903:HIF982903 HRO982903:HSB982903 IBK982903:IBX982903 ILG982903:ILT982903 IVC982903:IVP982903 JEY982903:JFL982903 JOU982903:JPH982903 JYQ982903:JZD982903 KIM982903:KIZ982903 KSI982903:KSV982903 LCE982903:LCR982903 LMA982903:LMN982903 LVW982903:LWJ982903 MFS982903:MGF982903 MPO982903:MQB982903 MZK982903:MZX982903 NJG982903:NJT982903 NTC982903:NTP982903 OCY982903:ODL982903 OMU982903:ONH982903 OWQ982903:OXD982903 PGM982903:PGZ982903 PQI982903:PQV982903 QAE982903:QAR982903 QKA982903:QKN982903 QTW982903:QUJ982903 RDS982903:REF982903 RNO982903:ROB982903 RXK982903:RXX982903 SHG982903:SHT982903 SRC982903:SRP982903 TAY982903:TBL982903 TKU982903:TLH982903 TUQ982903:TVD982903 UEM982903:UEZ982903 UOI982903:UOV982903 UYE982903:UYR982903 VIA982903:VIN982903 VRW982903:VSJ982903 WBS982903:WCF982903 WLO982903:WMB982903 WVK982903:WVX982903 C65448:P65448 IY65448:JL65448 SU65448:TH65448 ACQ65448:ADD65448 AMM65448:AMZ65448 AWI65448:AWV65448 BGE65448:BGR65448 BQA65448:BQN65448 BZW65448:CAJ65448 CJS65448:CKF65448 CTO65448:CUB65448 DDK65448:DDX65448 DNG65448:DNT65448 DXC65448:DXP65448 EGY65448:EHL65448 EQU65448:ERH65448 FAQ65448:FBD65448 FKM65448:FKZ65448 FUI65448:FUV65448 GEE65448:GER65448 GOA65448:GON65448 GXW65448:GYJ65448 HHS65448:HIF65448 HRO65448:HSB65448 IBK65448:IBX65448 ILG65448:ILT65448 IVC65448:IVP65448 JEY65448:JFL65448 JOU65448:JPH65448 JYQ65448:JZD65448 KIM65448:KIZ65448 KSI65448:KSV65448 LCE65448:LCR65448 LMA65448:LMN65448 LVW65448:LWJ65448 MFS65448:MGF65448 MPO65448:MQB65448 MZK65448:MZX65448 NJG65448:NJT65448 NTC65448:NTP65448 OCY65448:ODL65448 OMU65448:ONH65448 OWQ65448:OXD65448 PGM65448:PGZ65448 PQI65448:PQV65448 QAE65448:QAR65448 QKA65448:QKN65448 QTW65448:QUJ65448 RDS65448:REF65448 RNO65448:ROB65448 RXK65448:RXX65448 SHG65448:SHT65448 SRC65448:SRP65448 TAY65448:TBL65448 TKU65448:TLH65448 TUQ65448:TVD65448 UEM65448:UEZ65448 UOI65448:UOV65448 UYE65448:UYR65448 VIA65448:VIN65448 VRW65448:VSJ65448 WBS65448:WCF65448 WLO65448:WMB65448 WVK65448:WVX65448 C130984:P130984 IY130984:JL130984 SU130984:TH130984 ACQ130984:ADD130984 AMM130984:AMZ130984 AWI130984:AWV130984 BGE130984:BGR130984 BQA130984:BQN130984 BZW130984:CAJ130984 CJS130984:CKF130984 CTO130984:CUB130984 DDK130984:DDX130984 DNG130984:DNT130984 DXC130984:DXP130984 EGY130984:EHL130984 EQU130984:ERH130984 FAQ130984:FBD130984 FKM130984:FKZ130984 FUI130984:FUV130984 GEE130984:GER130984 GOA130984:GON130984 GXW130984:GYJ130984 HHS130984:HIF130984 HRO130984:HSB130984 IBK130984:IBX130984 ILG130984:ILT130984 IVC130984:IVP130984 JEY130984:JFL130984 JOU130984:JPH130984 JYQ130984:JZD130984 KIM130984:KIZ130984 KSI130984:KSV130984 LCE130984:LCR130984 LMA130984:LMN130984 LVW130984:LWJ130984 MFS130984:MGF130984 MPO130984:MQB130984 MZK130984:MZX130984 NJG130984:NJT130984 NTC130984:NTP130984 OCY130984:ODL130984 OMU130984:ONH130984 OWQ130984:OXD130984 PGM130984:PGZ130984 PQI130984:PQV130984 QAE130984:QAR130984 QKA130984:QKN130984 QTW130984:QUJ130984 RDS130984:REF130984 RNO130984:ROB130984 RXK130984:RXX130984 SHG130984:SHT130984 SRC130984:SRP130984 TAY130984:TBL130984 TKU130984:TLH130984 TUQ130984:TVD130984 UEM130984:UEZ130984 UOI130984:UOV130984 UYE130984:UYR130984 VIA130984:VIN130984 VRW130984:VSJ130984 WBS130984:WCF130984 WLO130984:WMB130984 WVK130984:WVX130984 C196520:P196520 IY196520:JL196520 SU196520:TH196520 ACQ196520:ADD196520 AMM196520:AMZ196520 AWI196520:AWV196520 BGE196520:BGR196520 BQA196520:BQN196520 BZW196520:CAJ196520 CJS196520:CKF196520 CTO196520:CUB196520 DDK196520:DDX196520 DNG196520:DNT196520 DXC196520:DXP196520 EGY196520:EHL196520 EQU196520:ERH196520 FAQ196520:FBD196520 FKM196520:FKZ196520 FUI196520:FUV196520 GEE196520:GER196520 GOA196520:GON196520 GXW196520:GYJ196520 HHS196520:HIF196520 HRO196520:HSB196520 IBK196520:IBX196520 ILG196520:ILT196520 IVC196520:IVP196520 JEY196520:JFL196520 JOU196520:JPH196520 JYQ196520:JZD196520 KIM196520:KIZ196520 KSI196520:KSV196520 LCE196520:LCR196520 LMA196520:LMN196520 LVW196520:LWJ196520 MFS196520:MGF196520 MPO196520:MQB196520 MZK196520:MZX196520 NJG196520:NJT196520 NTC196520:NTP196520 OCY196520:ODL196520 OMU196520:ONH196520 OWQ196520:OXD196520 PGM196520:PGZ196520 PQI196520:PQV196520 QAE196520:QAR196520 QKA196520:QKN196520 QTW196520:QUJ196520 RDS196520:REF196520 RNO196520:ROB196520 RXK196520:RXX196520 SHG196520:SHT196520 SRC196520:SRP196520 TAY196520:TBL196520 TKU196520:TLH196520 TUQ196520:TVD196520 UEM196520:UEZ196520 UOI196520:UOV196520 UYE196520:UYR196520 VIA196520:VIN196520 VRW196520:VSJ196520 WBS196520:WCF196520 WLO196520:WMB196520 WVK196520:WVX196520 C262056:P262056 IY262056:JL262056 SU262056:TH262056 ACQ262056:ADD262056 AMM262056:AMZ262056 AWI262056:AWV262056 BGE262056:BGR262056 BQA262056:BQN262056 BZW262056:CAJ262056 CJS262056:CKF262056 CTO262056:CUB262056 DDK262056:DDX262056 DNG262056:DNT262056 DXC262056:DXP262056 EGY262056:EHL262056 EQU262056:ERH262056 FAQ262056:FBD262056 FKM262056:FKZ262056 FUI262056:FUV262056 GEE262056:GER262056 GOA262056:GON262056 GXW262056:GYJ262056 HHS262056:HIF262056 HRO262056:HSB262056 IBK262056:IBX262056 ILG262056:ILT262056 IVC262056:IVP262056 JEY262056:JFL262056 JOU262056:JPH262056 JYQ262056:JZD262056 KIM262056:KIZ262056 KSI262056:KSV262056 LCE262056:LCR262056 LMA262056:LMN262056 LVW262056:LWJ262056 MFS262056:MGF262056 MPO262056:MQB262056 MZK262056:MZX262056 NJG262056:NJT262056 NTC262056:NTP262056 OCY262056:ODL262056 OMU262056:ONH262056 OWQ262056:OXD262056 PGM262056:PGZ262056 PQI262056:PQV262056 QAE262056:QAR262056 QKA262056:QKN262056 QTW262056:QUJ262056 RDS262056:REF262056 RNO262056:ROB262056 RXK262056:RXX262056 SHG262056:SHT262056 SRC262056:SRP262056 TAY262056:TBL262056 TKU262056:TLH262056 TUQ262056:TVD262056 UEM262056:UEZ262056 UOI262056:UOV262056 UYE262056:UYR262056 VIA262056:VIN262056 VRW262056:VSJ262056 WBS262056:WCF262056 WLO262056:WMB262056 WVK262056:WVX262056 C327592:P327592 IY327592:JL327592 SU327592:TH327592 ACQ327592:ADD327592 AMM327592:AMZ327592 AWI327592:AWV327592 BGE327592:BGR327592 BQA327592:BQN327592 BZW327592:CAJ327592 CJS327592:CKF327592 CTO327592:CUB327592 DDK327592:DDX327592 DNG327592:DNT327592 DXC327592:DXP327592 EGY327592:EHL327592 EQU327592:ERH327592 FAQ327592:FBD327592 FKM327592:FKZ327592 FUI327592:FUV327592 GEE327592:GER327592 GOA327592:GON327592 GXW327592:GYJ327592 HHS327592:HIF327592 HRO327592:HSB327592 IBK327592:IBX327592 ILG327592:ILT327592 IVC327592:IVP327592 JEY327592:JFL327592 JOU327592:JPH327592 JYQ327592:JZD327592 KIM327592:KIZ327592 KSI327592:KSV327592 LCE327592:LCR327592 LMA327592:LMN327592 LVW327592:LWJ327592 MFS327592:MGF327592 MPO327592:MQB327592 MZK327592:MZX327592 NJG327592:NJT327592 NTC327592:NTP327592 OCY327592:ODL327592 OMU327592:ONH327592 OWQ327592:OXD327592 PGM327592:PGZ327592 PQI327592:PQV327592 QAE327592:QAR327592 QKA327592:QKN327592 QTW327592:QUJ327592 RDS327592:REF327592 RNO327592:ROB327592 RXK327592:RXX327592 SHG327592:SHT327592 SRC327592:SRP327592 TAY327592:TBL327592 TKU327592:TLH327592 TUQ327592:TVD327592 UEM327592:UEZ327592 UOI327592:UOV327592 UYE327592:UYR327592 VIA327592:VIN327592 VRW327592:VSJ327592 WBS327592:WCF327592 WLO327592:WMB327592 WVK327592:WVX327592 C393128:P393128 IY393128:JL393128 SU393128:TH393128 ACQ393128:ADD393128 AMM393128:AMZ393128 AWI393128:AWV393128 BGE393128:BGR393128 BQA393128:BQN393128 BZW393128:CAJ393128 CJS393128:CKF393128 CTO393128:CUB393128 DDK393128:DDX393128 DNG393128:DNT393128 DXC393128:DXP393128 EGY393128:EHL393128 EQU393128:ERH393128 FAQ393128:FBD393128 FKM393128:FKZ393128 FUI393128:FUV393128 GEE393128:GER393128 GOA393128:GON393128 GXW393128:GYJ393128 HHS393128:HIF393128 HRO393128:HSB393128 IBK393128:IBX393128 ILG393128:ILT393128 IVC393128:IVP393128 JEY393128:JFL393128 JOU393128:JPH393128 JYQ393128:JZD393128 KIM393128:KIZ393128 KSI393128:KSV393128 LCE393128:LCR393128 LMA393128:LMN393128 LVW393128:LWJ393128 MFS393128:MGF393128 MPO393128:MQB393128 MZK393128:MZX393128 NJG393128:NJT393128 NTC393128:NTP393128 OCY393128:ODL393128 OMU393128:ONH393128 OWQ393128:OXD393128 PGM393128:PGZ393128 PQI393128:PQV393128 QAE393128:QAR393128 QKA393128:QKN393128 QTW393128:QUJ393128 RDS393128:REF393128 RNO393128:ROB393128 RXK393128:RXX393128 SHG393128:SHT393128 SRC393128:SRP393128 TAY393128:TBL393128 TKU393128:TLH393128 TUQ393128:TVD393128 UEM393128:UEZ393128 UOI393128:UOV393128 UYE393128:UYR393128 VIA393128:VIN393128 VRW393128:VSJ393128 WBS393128:WCF393128 WLO393128:WMB393128 WVK393128:WVX393128 C458664:P458664 IY458664:JL458664 SU458664:TH458664 ACQ458664:ADD458664 AMM458664:AMZ458664 AWI458664:AWV458664 BGE458664:BGR458664 BQA458664:BQN458664 BZW458664:CAJ458664 CJS458664:CKF458664 CTO458664:CUB458664 DDK458664:DDX458664 DNG458664:DNT458664 DXC458664:DXP458664 EGY458664:EHL458664 EQU458664:ERH458664 FAQ458664:FBD458664 FKM458664:FKZ458664 FUI458664:FUV458664 GEE458664:GER458664 GOA458664:GON458664 GXW458664:GYJ458664 HHS458664:HIF458664 HRO458664:HSB458664 IBK458664:IBX458664 ILG458664:ILT458664 IVC458664:IVP458664 JEY458664:JFL458664 JOU458664:JPH458664 JYQ458664:JZD458664 KIM458664:KIZ458664 KSI458664:KSV458664 LCE458664:LCR458664 LMA458664:LMN458664 LVW458664:LWJ458664 MFS458664:MGF458664 MPO458664:MQB458664 MZK458664:MZX458664 NJG458664:NJT458664 NTC458664:NTP458664 OCY458664:ODL458664 OMU458664:ONH458664 OWQ458664:OXD458664 PGM458664:PGZ458664 PQI458664:PQV458664 QAE458664:QAR458664 QKA458664:QKN458664 QTW458664:QUJ458664 RDS458664:REF458664 RNO458664:ROB458664 RXK458664:RXX458664 SHG458664:SHT458664 SRC458664:SRP458664 TAY458664:TBL458664 TKU458664:TLH458664 TUQ458664:TVD458664 UEM458664:UEZ458664 UOI458664:UOV458664 UYE458664:UYR458664 VIA458664:VIN458664 VRW458664:VSJ458664 WBS458664:WCF458664 WLO458664:WMB458664 WVK458664:WVX458664 C524200:P524200 IY524200:JL524200 SU524200:TH524200 ACQ524200:ADD524200 AMM524200:AMZ524200 AWI524200:AWV524200 BGE524200:BGR524200 BQA524200:BQN524200 BZW524200:CAJ524200 CJS524200:CKF524200 CTO524200:CUB524200 DDK524200:DDX524200 DNG524200:DNT524200 DXC524200:DXP524200 EGY524200:EHL524200 EQU524200:ERH524200 FAQ524200:FBD524200 FKM524200:FKZ524200 FUI524200:FUV524200 GEE524200:GER524200 GOA524200:GON524200 GXW524200:GYJ524200 HHS524200:HIF524200 HRO524200:HSB524200 IBK524200:IBX524200 ILG524200:ILT524200 IVC524200:IVP524200 JEY524200:JFL524200 JOU524200:JPH524200 JYQ524200:JZD524200 KIM524200:KIZ524200 KSI524200:KSV524200 LCE524200:LCR524200 LMA524200:LMN524200 LVW524200:LWJ524200 MFS524200:MGF524200 MPO524200:MQB524200 MZK524200:MZX524200 NJG524200:NJT524200 NTC524200:NTP524200 OCY524200:ODL524200 OMU524200:ONH524200 OWQ524200:OXD524200 PGM524200:PGZ524200 PQI524200:PQV524200 QAE524200:QAR524200 QKA524200:QKN524200 QTW524200:QUJ524200 RDS524200:REF524200 RNO524200:ROB524200 RXK524200:RXX524200 SHG524200:SHT524200 SRC524200:SRP524200 TAY524200:TBL524200 TKU524200:TLH524200 TUQ524200:TVD524200 UEM524200:UEZ524200 UOI524200:UOV524200 UYE524200:UYR524200 VIA524200:VIN524200 VRW524200:VSJ524200 WBS524200:WCF524200 WLO524200:WMB524200 WVK524200:WVX524200 C589736:P589736 IY589736:JL589736 SU589736:TH589736 ACQ589736:ADD589736 AMM589736:AMZ589736 AWI589736:AWV589736 BGE589736:BGR589736 BQA589736:BQN589736 BZW589736:CAJ589736 CJS589736:CKF589736 CTO589736:CUB589736 DDK589736:DDX589736 DNG589736:DNT589736 DXC589736:DXP589736 EGY589736:EHL589736 EQU589736:ERH589736 FAQ589736:FBD589736 FKM589736:FKZ589736 FUI589736:FUV589736 GEE589736:GER589736 GOA589736:GON589736 GXW589736:GYJ589736 HHS589736:HIF589736 HRO589736:HSB589736 IBK589736:IBX589736 ILG589736:ILT589736 IVC589736:IVP589736 JEY589736:JFL589736 JOU589736:JPH589736 JYQ589736:JZD589736 KIM589736:KIZ589736 KSI589736:KSV589736 LCE589736:LCR589736 LMA589736:LMN589736 LVW589736:LWJ589736 MFS589736:MGF589736 MPO589736:MQB589736 MZK589736:MZX589736 NJG589736:NJT589736 NTC589736:NTP589736 OCY589736:ODL589736 OMU589736:ONH589736 OWQ589736:OXD589736 PGM589736:PGZ589736 PQI589736:PQV589736 QAE589736:QAR589736 QKA589736:QKN589736 QTW589736:QUJ589736 RDS589736:REF589736 RNO589736:ROB589736 RXK589736:RXX589736 SHG589736:SHT589736 SRC589736:SRP589736 TAY589736:TBL589736 TKU589736:TLH589736 TUQ589736:TVD589736 UEM589736:UEZ589736 UOI589736:UOV589736 UYE589736:UYR589736 VIA589736:VIN589736 VRW589736:VSJ589736 WBS589736:WCF589736 WLO589736:WMB589736 WVK589736:WVX589736 C655272:P655272 IY655272:JL655272 SU655272:TH655272 ACQ655272:ADD655272 AMM655272:AMZ655272 AWI655272:AWV655272 BGE655272:BGR655272 BQA655272:BQN655272 BZW655272:CAJ655272 CJS655272:CKF655272 CTO655272:CUB655272 DDK655272:DDX655272 DNG655272:DNT655272 DXC655272:DXP655272 EGY655272:EHL655272 EQU655272:ERH655272 FAQ655272:FBD655272 FKM655272:FKZ655272 FUI655272:FUV655272 GEE655272:GER655272 GOA655272:GON655272 GXW655272:GYJ655272 HHS655272:HIF655272 HRO655272:HSB655272 IBK655272:IBX655272 ILG655272:ILT655272 IVC655272:IVP655272 JEY655272:JFL655272 JOU655272:JPH655272 JYQ655272:JZD655272 KIM655272:KIZ655272 KSI655272:KSV655272 LCE655272:LCR655272 LMA655272:LMN655272 LVW655272:LWJ655272 MFS655272:MGF655272 MPO655272:MQB655272 MZK655272:MZX655272 NJG655272:NJT655272 NTC655272:NTP655272 OCY655272:ODL655272 OMU655272:ONH655272 OWQ655272:OXD655272 PGM655272:PGZ655272 PQI655272:PQV655272 QAE655272:QAR655272 QKA655272:QKN655272 QTW655272:QUJ655272 RDS655272:REF655272 RNO655272:ROB655272 RXK655272:RXX655272 SHG655272:SHT655272 SRC655272:SRP655272 TAY655272:TBL655272 TKU655272:TLH655272 TUQ655272:TVD655272 UEM655272:UEZ655272 UOI655272:UOV655272 UYE655272:UYR655272 VIA655272:VIN655272 VRW655272:VSJ655272 WBS655272:WCF655272 WLO655272:WMB655272 WVK655272:WVX655272 C720808:P720808 IY720808:JL720808 SU720808:TH720808 ACQ720808:ADD720808 AMM720808:AMZ720808 AWI720808:AWV720808 BGE720808:BGR720808 BQA720808:BQN720808 BZW720808:CAJ720808 CJS720808:CKF720808 CTO720808:CUB720808 DDK720808:DDX720808 DNG720808:DNT720808 DXC720808:DXP720808 EGY720808:EHL720808 EQU720808:ERH720808 FAQ720808:FBD720808 FKM720808:FKZ720808 FUI720808:FUV720808 GEE720808:GER720808 GOA720808:GON720808 GXW720808:GYJ720808 HHS720808:HIF720808 HRO720808:HSB720808 IBK720808:IBX720808 ILG720808:ILT720808 IVC720808:IVP720808 JEY720808:JFL720808 JOU720808:JPH720808 JYQ720808:JZD720808 KIM720808:KIZ720808 KSI720808:KSV720808 LCE720808:LCR720808 LMA720808:LMN720808 LVW720808:LWJ720808 MFS720808:MGF720808 MPO720808:MQB720808 MZK720808:MZX720808 NJG720808:NJT720808 NTC720808:NTP720808 OCY720808:ODL720808 OMU720808:ONH720808 OWQ720808:OXD720808 PGM720808:PGZ720808 PQI720808:PQV720808 QAE720808:QAR720808 QKA720808:QKN720808 QTW720808:QUJ720808 RDS720808:REF720808 RNO720808:ROB720808 RXK720808:RXX720808 SHG720808:SHT720808 SRC720808:SRP720808 TAY720808:TBL720808 TKU720808:TLH720808 TUQ720808:TVD720808 UEM720808:UEZ720808 UOI720808:UOV720808 UYE720808:UYR720808 VIA720808:VIN720808 VRW720808:VSJ720808 WBS720808:WCF720808 WLO720808:WMB720808 WVK720808:WVX720808 C786344:P786344 IY786344:JL786344 SU786344:TH786344 ACQ786344:ADD786344 AMM786344:AMZ786344 AWI786344:AWV786344 BGE786344:BGR786344 BQA786344:BQN786344 BZW786344:CAJ786344 CJS786344:CKF786344 CTO786344:CUB786344 DDK786344:DDX786344 DNG786344:DNT786344 DXC786344:DXP786344 EGY786344:EHL786344 EQU786344:ERH786344 FAQ786344:FBD786344 FKM786344:FKZ786344 FUI786344:FUV786344 GEE786344:GER786344 GOA786344:GON786344 GXW786344:GYJ786344 HHS786344:HIF786344 HRO786344:HSB786344 IBK786344:IBX786344 ILG786344:ILT786344 IVC786344:IVP786344 JEY786344:JFL786344 JOU786344:JPH786344 JYQ786344:JZD786344 KIM786344:KIZ786344 KSI786344:KSV786344 LCE786344:LCR786344 LMA786344:LMN786344 LVW786344:LWJ786344 MFS786344:MGF786344 MPO786344:MQB786344 MZK786344:MZX786344 NJG786344:NJT786344 NTC786344:NTP786344 OCY786344:ODL786344 OMU786344:ONH786344 OWQ786344:OXD786344 PGM786344:PGZ786344 PQI786344:PQV786344 QAE786344:QAR786344 QKA786344:QKN786344 QTW786344:QUJ786344 RDS786344:REF786344 RNO786344:ROB786344 RXK786344:RXX786344 SHG786344:SHT786344 SRC786344:SRP786344 TAY786344:TBL786344 TKU786344:TLH786344 TUQ786344:TVD786344 UEM786344:UEZ786344 UOI786344:UOV786344 UYE786344:UYR786344 VIA786344:VIN786344 VRW786344:VSJ786344 WBS786344:WCF786344 WLO786344:WMB786344 WVK786344:WVX786344 C851880:P851880 IY851880:JL851880 SU851880:TH851880 ACQ851880:ADD851880 AMM851880:AMZ851880 AWI851880:AWV851880 BGE851880:BGR851880 BQA851880:BQN851880 BZW851880:CAJ851880 CJS851880:CKF851880 CTO851880:CUB851880 DDK851880:DDX851880 DNG851880:DNT851880 DXC851880:DXP851880 EGY851880:EHL851880 EQU851880:ERH851880 FAQ851880:FBD851880 FKM851880:FKZ851880 FUI851880:FUV851880 GEE851880:GER851880 GOA851880:GON851880 GXW851880:GYJ851880 HHS851880:HIF851880 HRO851880:HSB851880 IBK851880:IBX851880 ILG851880:ILT851880 IVC851880:IVP851880 JEY851880:JFL851880 JOU851880:JPH851880 JYQ851880:JZD851880 KIM851880:KIZ851880 KSI851880:KSV851880 LCE851880:LCR851880 LMA851880:LMN851880 LVW851880:LWJ851880 MFS851880:MGF851880 MPO851880:MQB851880 MZK851880:MZX851880 NJG851880:NJT851880 NTC851880:NTP851880 OCY851880:ODL851880 OMU851880:ONH851880 OWQ851880:OXD851880 PGM851880:PGZ851880 PQI851880:PQV851880 QAE851880:QAR851880 QKA851880:QKN851880 QTW851880:QUJ851880 RDS851880:REF851880 RNO851880:ROB851880 RXK851880:RXX851880 SHG851880:SHT851880 SRC851880:SRP851880 TAY851880:TBL851880 TKU851880:TLH851880 TUQ851880:TVD851880 UEM851880:UEZ851880 UOI851880:UOV851880 UYE851880:UYR851880 VIA851880:VIN851880 VRW851880:VSJ851880 WBS851880:WCF851880 WLO851880:WMB851880 WVK851880:WVX851880 C917416:P917416 IY917416:JL917416 SU917416:TH917416 ACQ917416:ADD917416 AMM917416:AMZ917416 AWI917416:AWV917416 BGE917416:BGR917416 BQA917416:BQN917416 BZW917416:CAJ917416 CJS917416:CKF917416 CTO917416:CUB917416 DDK917416:DDX917416 DNG917416:DNT917416 DXC917416:DXP917416 EGY917416:EHL917416 EQU917416:ERH917416 FAQ917416:FBD917416 FKM917416:FKZ917416 FUI917416:FUV917416 GEE917416:GER917416 GOA917416:GON917416 GXW917416:GYJ917416 HHS917416:HIF917416 HRO917416:HSB917416 IBK917416:IBX917416 ILG917416:ILT917416 IVC917416:IVP917416 JEY917416:JFL917416 JOU917416:JPH917416 JYQ917416:JZD917416 KIM917416:KIZ917416 KSI917416:KSV917416 LCE917416:LCR917416 LMA917416:LMN917416 LVW917416:LWJ917416 MFS917416:MGF917416 MPO917416:MQB917416 MZK917416:MZX917416 NJG917416:NJT917416 NTC917416:NTP917416 OCY917416:ODL917416 OMU917416:ONH917416 OWQ917416:OXD917416 PGM917416:PGZ917416 PQI917416:PQV917416 QAE917416:QAR917416 QKA917416:QKN917416 QTW917416:QUJ917416 RDS917416:REF917416 RNO917416:ROB917416 RXK917416:RXX917416 SHG917416:SHT917416 SRC917416:SRP917416 TAY917416:TBL917416 TKU917416:TLH917416 TUQ917416:TVD917416 UEM917416:UEZ917416 UOI917416:UOV917416 UYE917416:UYR917416 VIA917416:VIN917416 VRW917416:VSJ917416 WBS917416:WCF917416 WLO917416:WMB917416 WVK917416:WVX917416 C982952:P982952 IY982952:JL982952 SU982952:TH982952 ACQ982952:ADD982952 AMM982952:AMZ982952 AWI982952:AWV982952 BGE982952:BGR982952 BQA982952:BQN982952 BZW982952:CAJ982952 CJS982952:CKF982952 CTO982952:CUB982952 DDK982952:DDX982952 DNG982952:DNT982952 DXC982952:DXP982952 EGY982952:EHL982952 EQU982952:ERH982952 FAQ982952:FBD982952 FKM982952:FKZ982952 FUI982952:FUV982952 GEE982952:GER982952 GOA982952:GON982952 GXW982952:GYJ982952 HHS982952:HIF982952 HRO982952:HSB982952 IBK982952:IBX982952 ILG982952:ILT982952 IVC982952:IVP982952 JEY982952:JFL982952 JOU982952:JPH982952 JYQ982952:JZD982952 KIM982952:KIZ982952 KSI982952:KSV982952 LCE982952:LCR982952 LMA982952:LMN982952 LVW982952:LWJ982952 MFS982952:MGF982952 MPO982952:MQB982952 MZK982952:MZX982952 NJG982952:NJT982952 NTC982952:NTP982952 OCY982952:ODL982952 OMU982952:ONH982952 OWQ982952:OXD982952 PGM982952:PGZ982952 PQI982952:PQV982952 QAE982952:QAR982952 QKA982952:QKN982952 QTW982952:QUJ982952 RDS982952:REF982952 RNO982952:ROB982952 RXK982952:RXX982952 SHG982952:SHT982952 SRC982952:SRP982952 TAY982952:TBL982952 TKU982952:TLH982952 TUQ982952:TVD982952 UEM982952:UEZ982952 UOI982952:UOV982952 UYE982952:UYR982952 VIA982952:VIN982952 VRW982952:VSJ982952 WBS982952:WCF982952 WLO982952:WMB982952 WVK982952:WVX982952 C65497:P65497 IY65497:JL65497 SU65497:TH65497 ACQ65497:ADD65497 AMM65497:AMZ65497 AWI65497:AWV65497 BGE65497:BGR65497 BQA65497:BQN65497 BZW65497:CAJ65497 CJS65497:CKF65497 CTO65497:CUB65497 DDK65497:DDX65497 DNG65497:DNT65497 DXC65497:DXP65497 EGY65497:EHL65497 EQU65497:ERH65497 FAQ65497:FBD65497 FKM65497:FKZ65497 FUI65497:FUV65497 GEE65497:GER65497 GOA65497:GON65497 GXW65497:GYJ65497 HHS65497:HIF65497 HRO65497:HSB65497 IBK65497:IBX65497 ILG65497:ILT65497 IVC65497:IVP65497 JEY65497:JFL65497 JOU65497:JPH65497 JYQ65497:JZD65497 KIM65497:KIZ65497 KSI65497:KSV65497 LCE65497:LCR65497 LMA65497:LMN65497 LVW65497:LWJ65497 MFS65497:MGF65497 MPO65497:MQB65497 MZK65497:MZX65497 NJG65497:NJT65497 NTC65497:NTP65497 OCY65497:ODL65497 OMU65497:ONH65497 OWQ65497:OXD65497 PGM65497:PGZ65497 PQI65497:PQV65497 QAE65497:QAR65497 QKA65497:QKN65497 QTW65497:QUJ65497 RDS65497:REF65497 RNO65497:ROB65497 RXK65497:RXX65497 SHG65497:SHT65497 SRC65497:SRP65497 TAY65497:TBL65497 TKU65497:TLH65497 TUQ65497:TVD65497 UEM65497:UEZ65497 UOI65497:UOV65497 UYE65497:UYR65497 VIA65497:VIN65497 VRW65497:VSJ65497 WBS65497:WCF65497 WLO65497:WMB65497 WVK65497:WVX65497 C131033:P131033 IY131033:JL131033 SU131033:TH131033 ACQ131033:ADD131033 AMM131033:AMZ131033 AWI131033:AWV131033 BGE131033:BGR131033 BQA131033:BQN131033 BZW131033:CAJ131033 CJS131033:CKF131033 CTO131033:CUB131033 DDK131033:DDX131033 DNG131033:DNT131033 DXC131033:DXP131033 EGY131033:EHL131033 EQU131033:ERH131033 FAQ131033:FBD131033 FKM131033:FKZ131033 FUI131033:FUV131033 GEE131033:GER131033 GOA131033:GON131033 GXW131033:GYJ131033 HHS131033:HIF131033 HRO131033:HSB131033 IBK131033:IBX131033 ILG131033:ILT131033 IVC131033:IVP131033 JEY131033:JFL131033 JOU131033:JPH131033 JYQ131033:JZD131033 KIM131033:KIZ131033 KSI131033:KSV131033 LCE131033:LCR131033 LMA131033:LMN131033 LVW131033:LWJ131033 MFS131033:MGF131033 MPO131033:MQB131033 MZK131033:MZX131033 NJG131033:NJT131033 NTC131033:NTP131033 OCY131033:ODL131033 OMU131033:ONH131033 OWQ131033:OXD131033 PGM131033:PGZ131033 PQI131033:PQV131033 QAE131033:QAR131033 QKA131033:QKN131033 QTW131033:QUJ131033 RDS131033:REF131033 RNO131033:ROB131033 RXK131033:RXX131033 SHG131033:SHT131033 SRC131033:SRP131033 TAY131033:TBL131033 TKU131033:TLH131033 TUQ131033:TVD131033 UEM131033:UEZ131033 UOI131033:UOV131033 UYE131033:UYR131033 VIA131033:VIN131033 VRW131033:VSJ131033 WBS131033:WCF131033 WLO131033:WMB131033 WVK131033:WVX131033 C196569:P196569 IY196569:JL196569 SU196569:TH196569 ACQ196569:ADD196569 AMM196569:AMZ196569 AWI196569:AWV196569 BGE196569:BGR196569 BQA196569:BQN196569 BZW196569:CAJ196569 CJS196569:CKF196569 CTO196569:CUB196569 DDK196569:DDX196569 DNG196569:DNT196569 DXC196569:DXP196569 EGY196569:EHL196569 EQU196569:ERH196569 FAQ196569:FBD196569 FKM196569:FKZ196569 FUI196569:FUV196569 GEE196569:GER196569 GOA196569:GON196569 GXW196569:GYJ196569 HHS196569:HIF196569 HRO196569:HSB196569 IBK196569:IBX196569 ILG196569:ILT196569 IVC196569:IVP196569 JEY196569:JFL196569 JOU196569:JPH196569 JYQ196569:JZD196569 KIM196569:KIZ196569 KSI196569:KSV196569 LCE196569:LCR196569 LMA196569:LMN196569 LVW196569:LWJ196569 MFS196569:MGF196569 MPO196569:MQB196569 MZK196569:MZX196569 NJG196569:NJT196569 NTC196569:NTP196569 OCY196569:ODL196569 OMU196569:ONH196569 OWQ196569:OXD196569 PGM196569:PGZ196569 PQI196569:PQV196569 QAE196569:QAR196569 QKA196569:QKN196569 QTW196569:QUJ196569 RDS196569:REF196569 RNO196569:ROB196569 RXK196569:RXX196569 SHG196569:SHT196569 SRC196569:SRP196569 TAY196569:TBL196569 TKU196569:TLH196569 TUQ196569:TVD196569 UEM196569:UEZ196569 UOI196569:UOV196569 UYE196569:UYR196569 VIA196569:VIN196569 VRW196569:VSJ196569 WBS196569:WCF196569 WLO196569:WMB196569 WVK196569:WVX196569 C262105:P262105 IY262105:JL262105 SU262105:TH262105 ACQ262105:ADD262105 AMM262105:AMZ262105 AWI262105:AWV262105 BGE262105:BGR262105 BQA262105:BQN262105 BZW262105:CAJ262105 CJS262105:CKF262105 CTO262105:CUB262105 DDK262105:DDX262105 DNG262105:DNT262105 DXC262105:DXP262105 EGY262105:EHL262105 EQU262105:ERH262105 FAQ262105:FBD262105 FKM262105:FKZ262105 FUI262105:FUV262105 GEE262105:GER262105 GOA262105:GON262105 GXW262105:GYJ262105 HHS262105:HIF262105 HRO262105:HSB262105 IBK262105:IBX262105 ILG262105:ILT262105 IVC262105:IVP262105 JEY262105:JFL262105 JOU262105:JPH262105 JYQ262105:JZD262105 KIM262105:KIZ262105 KSI262105:KSV262105 LCE262105:LCR262105 LMA262105:LMN262105 LVW262105:LWJ262105 MFS262105:MGF262105 MPO262105:MQB262105 MZK262105:MZX262105 NJG262105:NJT262105 NTC262105:NTP262105 OCY262105:ODL262105 OMU262105:ONH262105 OWQ262105:OXD262105 PGM262105:PGZ262105 PQI262105:PQV262105 QAE262105:QAR262105 QKA262105:QKN262105 QTW262105:QUJ262105 RDS262105:REF262105 RNO262105:ROB262105 RXK262105:RXX262105 SHG262105:SHT262105 SRC262105:SRP262105 TAY262105:TBL262105 TKU262105:TLH262105 TUQ262105:TVD262105 UEM262105:UEZ262105 UOI262105:UOV262105 UYE262105:UYR262105 VIA262105:VIN262105 VRW262105:VSJ262105 WBS262105:WCF262105 WLO262105:WMB262105 WVK262105:WVX262105 C327641:P327641 IY327641:JL327641 SU327641:TH327641 ACQ327641:ADD327641 AMM327641:AMZ327641 AWI327641:AWV327641 BGE327641:BGR327641 BQA327641:BQN327641 BZW327641:CAJ327641 CJS327641:CKF327641 CTO327641:CUB327641 DDK327641:DDX327641 DNG327641:DNT327641 DXC327641:DXP327641 EGY327641:EHL327641 EQU327641:ERH327641 FAQ327641:FBD327641 FKM327641:FKZ327641 FUI327641:FUV327641 GEE327641:GER327641 GOA327641:GON327641 GXW327641:GYJ327641 HHS327641:HIF327641 HRO327641:HSB327641 IBK327641:IBX327641 ILG327641:ILT327641 IVC327641:IVP327641 JEY327641:JFL327641 JOU327641:JPH327641 JYQ327641:JZD327641 KIM327641:KIZ327641 KSI327641:KSV327641 LCE327641:LCR327641 LMA327641:LMN327641 LVW327641:LWJ327641 MFS327641:MGF327641 MPO327641:MQB327641 MZK327641:MZX327641 NJG327641:NJT327641 NTC327641:NTP327641 OCY327641:ODL327641 OMU327641:ONH327641 OWQ327641:OXD327641 PGM327641:PGZ327641 PQI327641:PQV327641 QAE327641:QAR327641 QKA327641:QKN327641 QTW327641:QUJ327641 RDS327641:REF327641 RNO327641:ROB327641 RXK327641:RXX327641 SHG327641:SHT327641 SRC327641:SRP327641 TAY327641:TBL327641 TKU327641:TLH327641 TUQ327641:TVD327641 UEM327641:UEZ327641 UOI327641:UOV327641 UYE327641:UYR327641 VIA327641:VIN327641 VRW327641:VSJ327641 WBS327641:WCF327641 WLO327641:WMB327641 WVK327641:WVX327641 C393177:P393177 IY393177:JL393177 SU393177:TH393177 ACQ393177:ADD393177 AMM393177:AMZ393177 AWI393177:AWV393177 BGE393177:BGR393177 BQA393177:BQN393177 BZW393177:CAJ393177 CJS393177:CKF393177 CTO393177:CUB393177 DDK393177:DDX393177 DNG393177:DNT393177 DXC393177:DXP393177 EGY393177:EHL393177 EQU393177:ERH393177 FAQ393177:FBD393177 FKM393177:FKZ393177 FUI393177:FUV393177 GEE393177:GER393177 GOA393177:GON393177 GXW393177:GYJ393177 HHS393177:HIF393177 HRO393177:HSB393177 IBK393177:IBX393177 ILG393177:ILT393177 IVC393177:IVP393177 JEY393177:JFL393177 JOU393177:JPH393177 JYQ393177:JZD393177 KIM393177:KIZ393177 KSI393177:KSV393177 LCE393177:LCR393177 LMA393177:LMN393177 LVW393177:LWJ393177 MFS393177:MGF393177 MPO393177:MQB393177 MZK393177:MZX393177 NJG393177:NJT393177 NTC393177:NTP393177 OCY393177:ODL393177 OMU393177:ONH393177 OWQ393177:OXD393177 PGM393177:PGZ393177 PQI393177:PQV393177 QAE393177:QAR393177 QKA393177:QKN393177 QTW393177:QUJ393177 RDS393177:REF393177 RNO393177:ROB393177 RXK393177:RXX393177 SHG393177:SHT393177 SRC393177:SRP393177 TAY393177:TBL393177 TKU393177:TLH393177 TUQ393177:TVD393177 UEM393177:UEZ393177 UOI393177:UOV393177 UYE393177:UYR393177 VIA393177:VIN393177 VRW393177:VSJ393177 WBS393177:WCF393177 WLO393177:WMB393177 WVK393177:WVX393177 C458713:P458713 IY458713:JL458713 SU458713:TH458713 ACQ458713:ADD458713 AMM458713:AMZ458713 AWI458713:AWV458713 BGE458713:BGR458713 BQA458713:BQN458713 BZW458713:CAJ458713 CJS458713:CKF458713 CTO458713:CUB458713 DDK458713:DDX458713 DNG458713:DNT458713 DXC458713:DXP458713 EGY458713:EHL458713 EQU458713:ERH458713 FAQ458713:FBD458713 FKM458713:FKZ458713 FUI458713:FUV458713 GEE458713:GER458713 GOA458713:GON458713 GXW458713:GYJ458713 HHS458713:HIF458713 HRO458713:HSB458713 IBK458713:IBX458713 ILG458713:ILT458713 IVC458713:IVP458713 JEY458713:JFL458713 JOU458713:JPH458713 JYQ458713:JZD458713 KIM458713:KIZ458713 KSI458713:KSV458713 LCE458713:LCR458713 LMA458713:LMN458713 LVW458713:LWJ458713 MFS458713:MGF458713 MPO458713:MQB458713 MZK458713:MZX458713 NJG458713:NJT458713 NTC458713:NTP458713 OCY458713:ODL458713 OMU458713:ONH458713 OWQ458713:OXD458713 PGM458713:PGZ458713 PQI458713:PQV458713 QAE458713:QAR458713 QKA458713:QKN458713 QTW458713:QUJ458713 RDS458713:REF458713 RNO458713:ROB458713 RXK458713:RXX458713 SHG458713:SHT458713 SRC458713:SRP458713 TAY458713:TBL458713 TKU458713:TLH458713 TUQ458713:TVD458713 UEM458713:UEZ458713 UOI458713:UOV458713 UYE458713:UYR458713 VIA458713:VIN458713 VRW458713:VSJ458713 WBS458713:WCF458713 WLO458713:WMB458713 WVK458713:WVX458713 C524249:P524249 IY524249:JL524249 SU524249:TH524249 ACQ524249:ADD524249 AMM524249:AMZ524249 AWI524249:AWV524249 BGE524249:BGR524249 BQA524249:BQN524249 BZW524249:CAJ524249 CJS524249:CKF524249 CTO524249:CUB524249 DDK524249:DDX524249 DNG524249:DNT524249 DXC524249:DXP524249 EGY524249:EHL524249 EQU524249:ERH524249 FAQ524249:FBD524249 FKM524249:FKZ524249 FUI524249:FUV524249 GEE524249:GER524249 GOA524249:GON524249 GXW524249:GYJ524249 HHS524249:HIF524249 HRO524249:HSB524249 IBK524249:IBX524249 ILG524249:ILT524249 IVC524249:IVP524249 JEY524249:JFL524249 JOU524249:JPH524249 JYQ524249:JZD524249 KIM524249:KIZ524249 KSI524249:KSV524249 LCE524249:LCR524249 LMA524249:LMN524249 LVW524249:LWJ524249 MFS524249:MGF524249 MPO524249:MQB524249 MZK524249:MZX524249 NJG524249:NJT524249 NTC524249:NTP524249 OCY524249:ODL524249 OMU524249:ONH524249 OWQ524249:OXD524249 PGM524249:PGZ524249 PQI524249:PQV524249 QAE524249:QAR524249 QKA524249:QKN524249 QTW524249:QUJ524249 RDS524249:REF524249 RNO524249:ROB524249 RXK524249:RXX524249 SHG524249:SHT524249 SRC524249:SRP524249 TAY524249:TBL524249 TKU524249:TLH524249 TUQ524249:TVD524249 UEM524249:UEZ524249 UOI524249:UOV524249 UYE524249:UYR524249 VIA524249:VIN524249 VRW524249:VSJ524249 WBS524249:WCF524249 WLO524249:WMB524249 WVK524249:WVX524249 C589785:P589785 IY589785:JL589785 SU589785:TH589785 ACQ589785:ADD589785 AMM589785:AMZ589785 AWI589785:AWV589785 BGE589785:BGR589785 BQA589785:BQN589785 BZW589785:CAJ589785 CJS589785:CKF589785 CTO589785:CUB589785 DDK589785:DDX589785 DNG589785:DNT589785 DXC589785:DXP589785 EGY589785:EHL589785 EQU589785:ERH589785 FAQ589785:FBD589785 FKM589785:FKZ589785 FUI589785:FUV589785 GEE589785:GER589785 GOA589785:GON589785 GXW589785:GYJ589785 HHS589785:HIF589785 HRO589785:HSB589785 IBK589785:IBX589785 ILG589785:ILT589785 IVC589785:IVP589785 JEY589785:JFL589785 JOU589785:JPH589785 JYQ589785:JZD589785 KIM589785:KIZ589785 KSI589785:KSV589785 LCE589785:LCR589785 LMA589785:LMN589785 LVW589785:LWJ589785 MFS589785:MGF589785 MPO589785:MQB589785 MZK589785:MZX589785 NJG589785:NJT589785 NTC589785:NTP589785 OCY589785:ODL589785 OMU589785:ONH589785 OWQ589785:OXD589785 PGM589785:PGZ589785 PQI589785:PQV589785 QAE589785:QAR589785 QKA589785:QKN589785 QTW589785:QUJ589785 RDS589785:REF589785 RNO589785:ROB589785 RXK589785:RXX589785 SHG589785:SHT589785 SRC589785:SRP589785 TAY589785:TBL589785 TKU589785:TLH589785 TUQ589785:TVD589785 UEM589785:UEZ589785 UOI589785:UOV589785 UYE589785:UYR589785 VIA589785:VIN589785 VRW589785:VSJ589785 WBS589785:WCF589785 WLO589785:WMB589785 WVK589785:WVX589785 C655321:P655321 IY655321:JL655321 SU655321:TH655321 ACQ655321:ADD655321 AMM655321:AMZ655321 AWI655321:AWV655321 BGE655321:BGR655321 BQA655321:BQN655321 BZW655321:CAJ655321 CJS655321:CKF655321 CTO655321:CUB655321 DDK655321:DDX655321 DNG655321:DNT655321 DXC655321:DXP655321 EGY655321:EHL655321 EQU655321:ERH655321 FAQ655321:FBD655321 FKM655321:FKZ655321 FUI655321:FUV655321 GEE655321:GER655321 GOA655321:GON655321 GXW655321:GYJ655321 HHS655321:HIF655321 HRO655321:HSB655321 IBK655321:IBX655321 ILG655321:ILT655321 IVC655321:IVP655321 JEY655321:JFL655321 JOU655321:JPH655321 JYQ655321:JZD655321 KIM655321:KIZ655321 KSI655321:KSV655321 LCE655321:LCR655321 LMA655321:LMN655321 LVW655321:LWJ655321 MFS655321:MGF655321 MPO655321:MQB655321 MZK655321:MZX655321 NJG655321:NJT655321 NTC655321:NTP655321 OCY655321:ODL655321 OMU655321:ONH655321 OWQ655321:OXD655321 PGM655321:PGZ655321 PQI655321:PQV655321 QAE655321:QAR655321 QKA655321:QKN655321 QTW655321:QUJ655321 RDS655321:REF655321 RNO655321:ROB655321 RXK655321:RXX655321 SHG655321:SHT655321 SRC655321:SRP655321 TAY655321:TBL655321 TKU655321:TLH655321 TUQ655321:TVD655321 UEM655321:UEZ655321 UOI655321:UOV655321 UYE655321:UYR655321 VIA655321:VIN655321 VRW655321:VSJ655321 WBS655321:WCF655321 WLO655321:WMB655321 WVK655321:WVX655321 C720857:P720857 IY720857:JL720857 SU720857:TH720857 ACQ720857:ADD720857 AMM720857:AMZ720857 AWI720857:AWV720857 BGE720857:BGR720857 BQA720857:BQN720857 BZW720857:CAJ720857 CJS720857:CKF720857 CTO720857:CUB720857 DDK720857:DDX720857 DNG720857:DNT720857 DXC720857:DXP720857 EGY720857:EHL720857 EQU720857:ERH720857 FAQ720857:FBD720857 FKM720857:FKZ720857 FUI720857:FUV720857 GEE720857:GER720857 GOA720857:GON720857 GXW720857:GYJ720857 HHS720857:HIF720857 HRO720857:HSB720857 IBK720857:IBX720857 ILG720857:ILT720857 IVC720857:IVP720857 JEY720857:JFL720857 JOU720857:JPH720857 JYQ720857:JZD720857 KIM720857:KIZ720857 KSI720857:KSV720857 LCE720857:LCR720857 LMA720857:LMN720857 LVW720857:LWJ720857 MFS720857:MGF720857 MPO720857:MQB720857 MZK720857:MZX720857 NJG720857:NJT720857 NTC720857:NTP720857 OCY720857:ODL720857 OMU720857:ONH720857 OWQ720857:OXD720857 PGM720857:PGZ720857 PQI720857:PQV720857 QAE720857:QAR720857 QKA720857:QKN720857 QTW720857:QUJ720857 RDS720857:REF720857 RNO720857:ROB720857 RXK720857:RXX720857 SHG720857:SHT720857 SRC720857:SRP720857 TAY720857:TBL720857 TKU720857:TLH720857 TUQ720857:TVD720857 UEM720857:UEZ720857 UOI720857:UOV720857 UYE720857:UYR720857 VIA720857:VIN720857 VRW720857:VSJ720857 WBS720857:WCF720857 WLO720857:WMB720857 WVK720857:WVX720857 C786393:P786393 IY786393:JL786393 SU786393:TH786393 ACQ786393:ADD786393 AMM786393:AMZ786393 AWI786393:AWV786393 BGE786393:BGR786393 BQA786393:BQN786393 BZW786393:CAJ786393 CJS786393:CKF786393 CTO786393:CUB786393 DDK786393:DDX786393 DNG786393:DNT786393 DXC786393:DXP786393 EGY786393:EHL786393 EQU786393:ERH786393 FAQ786393:FBD786393 FKM786393:FKZ786393 FUI786393:FUV786393 GEE786393:GER786393 GOA786393:GON786393 GXW786393:GYJ786393 HHS786393:HIF786393 HRO786393:HSB786393 IBK786393:IBX786393 ILG786393:ILT786393 IVC786393:IVP786393 JEY786393:JFL786393 JOU786393:JPH786393 JYQ786393:JZD786393 KIM786393:KIZ786393 KSI786393:KSV786393 LCE786393:LCR786393 LMA786393:LMN786393 LVW786393:LWJ786393 MFS786393:MGF786393 MPO786393:MQB786393 MZK786393:MZX786393 NJG786393:NJT786393 NTC786393:NTP786393 OCY786393:ODL786393 OMU786393:ONH786393 OWQ786393:OXD786393 PGM786393:PGZ786393 PQI786393:PQV786393 QAE786393:QAR786393 QKA786393:QKN786393 QTW786393:QUJ786393 RDS786393:REF786393 RNO786393:ROB786393 RXK786393:RXX786393 SHG786393:SHT786393 SRC786393:SRP786393 TAY786393:TBL786393 TKU786393:TLH786393 TUQ786393:TVD786393 UEM786393:UEZ786393 UOI786393:UOV786393 UYE786393:UYR786393 VIA786393:VIN786393 VRW786393:VSJ786393 WBS786393:WCF786393 WLO786393:WMB786393 WVK786393:WVX786393 C851929:P851929 IY851929:JL851929 SU851929:TH851929 ACQ851929:ADD851929 AMM851929:AMZ851929 AWI851929:AWV851929 BGE851929:BGR851929 BQA851929:BQN851929 BZW851929:CAJ851929 CJS851929:CKF851929 CTO851929:CUB851929 DDK851929:DDX851929 DNG851929:DNT851929 DXC851929:DXP851929 EGY851929:EHL851929 EQU851929:ERH851929 FAQ851929:FBD851929 FKM851929:FKZ851929 FUI851929:FUV851929 GEE851929:GER851929 GOA851929:GON851929 GXW851929:GYJ851929 HHS851929:HIF851929 HRO851929:HSB851929 IBK851929:IBX851929 ILG851929:ILT851929 IVC851929:IVP851929 JEY851929:JFL851929 JOU851929:JPH851929 JYQ851929:JZD851929 KIM851929:KIZ851929 KSI851929:KSV851929 LCE851929:LCR851929 LMA851929:LMN851929 LVW851929:LWJ851929 MFS851929:MGF851929 MPO851929:MQB851929 MZK851929:MZX851929 NJG851929:NJT851929 NTC851929:NTP851929 OCY851929:ODL851929 OMU851929:ONH851929 OWQ851929:OXD851929 PGM851929:PGZ851929 PQI851929:PQV851929 QAE851929:QAR851929 QKA851929:QKN851929 QTW851929:QUJ851929 RDS851929:REF851929 RNO851929:ROB851929 RXK851929:RXX851929 SHG851929:SHT851929 SRC851929:SRP851929 TAY851929:TBL851929 TKU851929:TLH851929 TUQ851929:TVD851929 UEM851929:UEZ851929 UOI851929:UOV851929 UYE851929:UYR851929 VIA851929:VIN851929 VRW851929:VSJ851929 WBS851929:WCF851929 WLO851929:WMB851929 WVK851929:WVX851929 C917465:P917465 IY917465:JL917465 SU917465:TH917465 ACQ917465:ADD917465 AMM917465:AMZ917465 AWI917465:AWV917465 BGE917465:BGR917465 BQA917465:BQN917465 BZW917465:CAJ917465 CJS917465:CKF917465 CTO917465:CUB917465 DDK917465:DDX917465 DNG917465:DNT917465 DXC917465:DXP917465 EGY917465:EHL917465 EQU917465:ERH917465 FAQ917465:FBD917465 FKM917465:FKZ917465 FUI917465:FUV917465 GEE917465:GER917465 GOA917465:GON917465 GXW917465:GYJ917465 HHS917465:HIF917465 HRO917465:HSB917465 IBK917465:IBX917465 ILG917465:ILT917465 IVC917465:IVP917465 JEY917465:JFL917465 JOU917465:JPH917465 JYQ917465:JZD917465 KIM917465:KIZ917465 KSI917465:KSV917465 LCE917465:LCR917465 LMA917465:LMN917465 LVW917465:LWJ917465 MFS917465:MGF917465 MPO917465:MQB917465 MZK917465:MZX917465 NJG917465:NJT917465 NTC917465:NTP917465 OCY917465:ODL917465 OMU917465:ONH917465 OWQ917465:OXD917465 PGM917465:PGZ917465 PQI917465:PQV917465 QAE917465:QAR917465 QKA917465:QKN917465 QTW917465:QUJ917465 RDS917465:REF917465 RNO917465:ROB917465 RXK917465:RXX917465 SHG917465:SHT917465 SRC917465:SRP917465 TAY917465:TBL917465 TKU917465:TLH917465 TUQ917465:TVD917465 UEM917465:UEZ917465 UOI917465:UOV917465 UYE917465:UYR917465 VIA917465:VIN917465 VRW917465:VSJ917465 WBS917465:WCF917465 WLO917465:WMB917465 WVK917465:WVX917465 C983001:P983001 IY983001:JL983001 SU983001:TH983001 ACQ983001:ADD983001 AMM983001:AMZ983001 AWI983001:AWV983001 BGE983001:BGR983001 BQA983001:BQN983001 BZW983001:CAJ983001 CJS983001:CKF983001 CTO983001:CUB983001 DDK983001:DDX983001 DNG983001:DNT983001 DXC983001:DXP983001 EGY983001:EHL983001 EQU983001:ERH983001 FAQ983001:FBD983001 FKM983001:FKZ983001 FUI983001:FUV983001 GEE983001:GER983001 GOA983001:GON983001 GXW983001:GYJ983001 HHS983001:HIF983001 HRO983001:HSB983001 IBK983001:IBX983001 ILG983001:ILT983001 IVC983001:IVP983001 JEY983001:JFL983001 JOU983001:JPH983001 JYQ983001:JZD983001 KIM983001:KIZ983001 KSI983001:KSV983001 LCE983001:LCR983001 LMA983001:LMN983001 LVW983001:LWJ983001 MFS983001:MGF983001 MPO983001:MQB983001 MZK983001:MZX983001 NJG983001:NJT983001 NTC983001:NTP983001 OCY983001:ODL983001 OMU983001:ONH983001 OWQ983001:OXD983001 PGM983001:PGZ983001 PQI983001:PQV983001 QAE983001:QAR983001 QKA983001:QKN983001 QTW983001:QUJ983001 RDS983001:REF983001 RNO983001:ROB983001 RXK983001:RXX983001 SHG983001:SHT983001 SRC983001:SRP983001 TAY983001:TBL983001 TKU983001:TLH983001 TUQ983001:TVD983001 UEM983001:UEZ983001 UOI983001:UOV983001 UYE983001:UYR983001 VIA983001:VIN983001 VRW983001:VSJ983001 WBS983001:WCF983001 WLO983001:WMB983001 WVK983001:WVX983001 C65546:P65546 IY65546:JL65546 SU65546:TH65546 ACQ65546:ADD65546 AMM65546:AMZ65546 AWI65546:AWV65546 BGE65546:BGR65546 BQA65546:BQN65546 BZW65546:CAJ65546 CJS65546:CKF65546 CTO65546:CUB65546 DDK65546:DDX65546 DNG65546:DNT65546 DXC65546:DXP65546 EGY65546:EHL65546 EQU65546:ERH65546 FAQ65546:FBD65546 FKM65546:FKZ65546 FUI65546:FUV65546 GEE65546:GER65546 GOA65546:GON65546 GXW65546:GYJ65546 HHS65546:HIF65546 HRO65546:HSB65546 IBK65546:IBX65546 ILG65546:ILT65546 IVC65546:IVP65546 JEY65546:JFL65546 JOU65546:JPH65546 JYQ65546:JZD65546 KIM65546:KIZ65546 KSI65546:KSV65546 LCE65546:LCR65546 LMA65546:LMN65546 LVW65546:LWJ65546 MFS65546:MGF65546 MPO65546:MQB65546 MZK65546:MZX65546 NJG65546:NJT65546 NTC65546:NTP65546 OCY65546:ODL65546 OMU65546:ONH65546 OWQ65546:OXD65546 PGM65546:PGZ65546 PQI65546:PQV65546 QAE65546:QAR65546 QKA65546:QKN65546 QTW65546:QUJ65546 RDS65546:REF65546 RNO65546:ROB65546 RXK65546:RXX65546 SHG65546:SHT65546 SRC65546:SRP65546 TAY65546:TBL65546 TKU65546:TLH65546 TUQ65546:TVD65546 UEM65546:UEZ65546 UOI65546:UOV65546 UYE65546:UYR65546 VIA65546:VIN65546 VRW65546:VSJ65546 WBS65546:WCF65546 WLO65546:WMB65546 WVK65546:WVX65546 C131082:P131082 IY131082:JL131082 SU131082:TH131082 ACQ131082:ADD131082 AMM131082:AMZ131082 AWI131082:AWV131082 BGE131082:BGR131082 BQA131082:BQN131082 BZW131082:CAJ131082 CJS131082:CKF131082 CTO131082:CUB131082 DDK131082:DDX131082 DNG131082:DNT131082 DXC131082:DXP131082 EGY131082:EHL131082 EQU131082:ERH131082 FAQ131082:FBD131082 FKM131082:FKZ131082 FUI131082:FUV131082 GEE131082:GER131082 GOA131082:GON131082 GXW131082:GYJ131082 HHS131082:HIF131082 HRO131082:HSB131082 IBK131082:IBX131082 ILG131082:ILT131082 IVC131082:IVP131082 JEY131082:JFL131082 JOU131082:JPH131082 JYQ131082:JZD131082 KIM131082:KIZ131082 KSI131082:KSV131082 LCE131082:LCR131082 LMA131082:LMN131082 LVW131082:LWJ131082 MFS131082:MGF131082 MPO131082:MQB131082 MZK131082:MZX131082 NJG131082:NJT131082 NTC131082:NTP131082 OCY131082:ODL131082 OMU131082:ONH131082 OWQ131082:OXD131082 PGM131082:PGZ131082 PQI131082:PQV131082 QAE131082:QAR131082 QKA131082:QKN131082 QTW131082:QUJ131082 RDS131082:REF131082 RNO131082:ROB131082 RXK131082:RXX131082 SHG131082:SHT131082 SRC131082:SRP131082 TAY131082:TBL131082 TKU131082:TLH131082 TUQ131082:TVD131082 UEM131082:UEZ131082 UOI131082:UOV131082 UYE131082:UYR131082 VIA131082:VIN131082 VRW131082:VSJ131082 WBS131082:WCF131082 WLO131082:WMB131082 WVK131082:WVX131082 C196618:P196618 IY196618:JL196618 SU196618:TH196618 ACQ196618:ADD196618 AMM196618:AMZ196618 AWI196618:AWV196618 BGE196618:BGR196618 BQA196618:BQN196618 BZW196618:CAJ196618 CJS196618:CKF196618 CTO196618:CUB196618 DDK196618:DDX196618 DNG196618:DNT196618 DXC196618:DXP196618 EGY196618:EHL196618 EQU196618:ERH196618 FAQ196618:FBD196618 FKM196618:FKZ196618 FUI196618:FUV196618 GEE196618:GER196618 GOA196618:GON196618 GXW196618:GYJ196618 HHS196618:HIF196618 HRO196618:HSB196618 IBK196618:IBX196618 ILG196618:ILT196618 IVC196618:IVP196618 JEY196618:JFL196618 JOU196618:JPH196618 JYQ196618:JZD196618 KIM196618:KIZ196618 KSI196618:KSV196618 LCE196618:LCR196618 LMA196618:LMN196618 LVW196618:LWJ196618 MFS196618:MGF196618 MPO196618:MQB196618 MZK196618:MZX196618 NJG196618:NJT196618 NTC196618:NTP196618 OCY196618:ODL196618 OMU196618:ONH196618 OWQ196618:OXD196618 PGM196618:PGZ196618 PQI196618:PQV196618 QAE196618:QAR196618 QKA196618:QKN196618 QTW196618:QUJ196618 RDS196618:REF196618 RNO196618:ROB196618 RXK196618:RXX196618 SHG196618:SHT196618 SRC196618:SRP196618 TAY196618:TBL196618 TKU196618:TLH196618 TUQ196618:TVD196618 UEM196618:UEZ196618 UOI196618:UOV196618 UYE196618:UYR196618 VIA196618:VIN196618 VRW196618:VSJ196618 WBS196618:WCF196618 WLO196618:WMB196618 WVK196618:WVX196618 C262154:P262154 IY262154:JL262154 SU262154:TH262154 ACQ262154:ADD262154 AMM262154:AMZ262154 AWI262154:AWV262154 BGE262154:BGR262154 BQA262154:BQN262154 BZW262154:CAJ262154 CJS262154:CKF262154 CTO262154:CUB262154 DDK262154:DDX262154 DNG262154:DNT262154 DXC262154:DXP262154 EGY262154:EHL262154 EQU262154:ERH262154 FAQ262154:FBD262154 FKM262154:FKZ262154 FUI262154:FUV262154 GEE262154:GER262154 GOA262154:GON262154 GXW262154:GYJ262154 HHS262154:HIF262154 HRO262154:HSB262154 IBK262154:IBX262154 ILG262154:ILT262154 IVC262154:IVP262154 JEY262154:JFL262154 JOU262154:JPH262154 JYQ262154:JZD262154 KIM262154:KIZ262154 KSI262154:KSV262154 LCE262154:LCR262154 LMA262154:LMN262154 LVW262154:LWJ262154 MFS262154:MGF262154 MPO262154:MQB262154 MZK262154:MZX262154 NJG262154:NJT262154 NTC262154:NTP262154 OCY262154:ODL262154 OMU262154:ONH262154 OWQ262154:OXD262154 PGM262154:PGZ262154 PQI262154:PQV262154 QAE262154:QAR262154 QKA262154:QKN262154 QTW262154:QUJ262154 RDS262154:REF262154 RNO262154:ROB262154 RXK262154:RXX262154 SHG262154:SHT262154 SRC262154:SRP262154 TAY262154:TBL262154 TKU262154:TLH262154 TUQ262154:TVD262154 UEM262154:UEZ262154 UOI262154:UOV262154 UYE262154:UYR262154 VIA262154:VIN262154 VRW262154:VSJ262154 WBS262154:WCF262154 WLO262154:WMB262154 WVK262154:WVX262154 C327690:P327690 IY327690:JL327690 SU327690:TH327690 ACQ327690:ADD327690 AMM327690:AMZ327690 AWI327690:AWV327690 BGE327690:BGR327690 BQA327690:BQN327690 BZW327690:CAJ327690 CJS327690:CKF327690 CTO327690:CUB327690 DDK327690:DDX327690 DNG327690:DNT327690 DXC327690:DXP327690 EGY327690:EHL327690 EQU327690:ERH327690 FAQ327690:FBD327690 FKM327690:FKZ327690 FUI327690:FUV327690 GEE327690:GER327690 GOA327690:GON327690 GXW327690:GYJ327690 HHS327690:HIF327690 HRO327690:HSB327690 IBK327690:IBX327690 ILG327690:ILT327690 IVC327690:IVP327690 JEY327690:JFL327690 JOU327690:JPH327690 JYQ327690:JZD327690 KIM327690:KIZ327690 KSI327690:KSV327690 LCE327690:LCR327690 LMA327690:LMN327690 LVW327690:LWJ327690 MFS327690:MGF327690 MPO327690:MQB327690 MZK327690:MZX327690 NJG327690:NJT327690 NTC327690:NTP327690 OCY327690:ODL327690 OMU327690:ONH327690 OWQ327690:OXD327690 PGM327690:PGZ327690 PQI327690:PQV327690 QAE327690:QAR327690 QKA327690:QKN327690 QTW327690:QUJ327690 RDS327690:REF327690 RNO327690:ROB327690 RXK327690:RXX327690 SHG327690:SHT327690 SRC327690:SRP327690 TAY327690:TBL327690 TKU327690:TLH327690 TUQ327690:TVD327690 UEM327690:UEZ327690 UOI327690:UOV327690 UYE327690:UYR327690 VIA327690:VIN327690 VRW327690:VSJ327690 WBS327690:WCF327690 WLO327690:WMB327690 WVK327690:WVX327690 C393226:P393226 IY393226:JL393226 SU393226:TH393226 ACQ393226:ADD393226 AMM393226:AMZ393226 AWI393226:AWV393226 BGE393226:BGR393226 BQA393226:BQN393226 BZW393226:CAJ393226 CJS393226:CKF393226 CTO393226:CUB393226 DDK393226:DDX393226 DNG393226:DNT393226 DXC393226:DXP393226 EGY393226:EHL393226 EQU393226:ERH393226 FAQ393226:FBD393226 FKM393226:FKZ393226 FUI393226:FUV393226 GEE393226:GER393226 GOA393226:GON393226 GXW393226:GYJ393226 HHS393226:HIF393226 HRO393226:HSB393226 IBK393226:IBX393226 ILG393226:ILT393226 IVC393226:IVP393226 JEY393226:JFL393226 JOU393226:JPH393226 JYQ393226:JZD393226 KIM393226:KIZ393226 KSI393226:KSV393226 LCE393226:LCR393226 LMA393226:LMN393226 LVW393226:LWJ393226 MFS393226:MGF393226 MPO393226:MQB393226 MZK393226:MZX393226 NJG393226:NJT393226 NTC393226:NTP393226 OCY393226:ODL393226 OMU393226:ONH393226 OWQ393226:OXD393226 PGM393226:PGZ393226 PQI393226:PQV393226 QAE393226:QAR393226 QKA393226:QKN393226 QTW393226:QUJ393226 RDS393226:REF393226 RNO393226:ROB393226 RXK393226:RXX393226 SHG393226:SHT393226 SRC393226:SRP393226 TAY393226:TBL393226 TKU393226:TLH393226 TUQ393226:TVD393226 UEM393226:UEZ393226 UOI393226:UOV393226 UYE393226:UYR393226 VIA393226:VIN393226 VRW393226:VSJ393226 WBS393226:WCF393226 WLO393226:WMB393226 WVK393226:WVX393226 C458762:P458762 IY458762:JL458762 SU458762:TH458762 ACQ458762:ADD458762 AMM458762:AMZ458762 AWI458762:AWV458762 BGE458762:BGR458762 BQA458762:BQN458762 BZW458762:CAJ458762 CJS458762:CKF458762 CTO458762:CUB458762 DDK458762:DDX458762 DNG458762:DNT458762 DXC458762:DXP458762 EGY458762:EHL458762 EQU458762:ERH458762 FAQ458762:FBD458762 FKM458762:FKZ458762 FUI458762:FUV458762 GEE458762:GER458762 GOA458762:GON458762 GXW458762:GYJ458762 HHS458762:HIF458762 HRO458762:HSB458762 IBK458762:IBX458762 ILG458762:ILT458762 IVC458762:IVP458762 JEY458762:JFL458762 JOU458762:JPH458762 JYQ458762:JZD458762 KIM458762:KIZ458762 KSI458762:KSV458762 LCE458762:LCR458762 LMA458762:LMN458762 LVW458762:LWJ458762 MFS458762:MGF458762 MPO458762:MQB458762 MZK458762:MZX458762 NJG458762:NJT458762 NTC458762:NTP458762 OCY458762:ODL458762 OMU458762:ONH458762 OWQ458762:OXD458762 PGM458762:PGZ458762 PQI458762:PQV458762 QAE458762:QAR458762 QKA458762:QKN458762 QTW458762:QUJ458762 RDS458762:REF458762 RNO458762:ROB458762 RXK458762:RXX458762 SHG458762:SHT458762 SRC458762:SRP458762 TAY458762:TBL458762 TKU458762:TLH458762 TUQ458762:TVD458762 UEM458762:UEZ458762 UOI458762:UOV458762 UYE458762:UYR458762 VIA458762:VIN458762 VRW458762:VSJ458762 WBS458762:WCF458762 WLO458762:WMB458762 WVK458762:WVX458762 C524298:P524298 IY524298:JL524298 SU524298:TH524298 ACQ524298:ADD524298 AMM524298:AMZ524298 AWI524298:AWV524298 BGE524298:BGR524298 BQA524298:BQN524298 BZW524298:CAJ524298 CJS524298:CKF524298 CTO524298:CUB524298 DDK524298:DDX524298 DNG524298:DNT524298 DXC524298:DXP524298 EGY524298:EHL524298 EQU524298:ERH524298 FAQ524298:FBD524298 FKM524298:FKZ524298 FUI524298:FUV524298 GEE524298:GER524298 GOA524298:GON524298 GXW524298:GYJ524298 HHS524298:HIF524298 HRO524298:HSB524298 IBK524298:IBX524298 ILG524298:ILT524298 IVC524298:IVP524298 JEY524298:JFL524298 JOU524298:JPH524298 JYQ524298:JZD524298 KIM524298:KIZ524298 KSI524298:KSV524298 LCE524298:LCR524298 LMA524298:LMN524298 LVW524298:LWJ524298 MFS524298:MGF524298 MPO524298:MQB524298 MZK524298:MZX524298 NJG524298:NJT524298 NTC524298:NTP524298 OCY524298:ODL524298 OMU524298:ONH524298 OWQ524298:OXD524298 PGM524298:PGZ524298 PQI524298:PQV524298 QAE524298:QAR524298 QKA524298:QKN524298 QTW524298:QUJ524298 RDS524298:REF524298 RNO524298:ROB524298 RXK524298:RXX524298 SHG524298:SHT524298 SRC524298:SRP524298 TAY524298:TBL524298 TKU524298:TLH524298 TUQ524298:TVD524298 UEM524298:UEZ524298 UOI524298:UOV524298 UYE524298:UYR524298 VIA524298:VIN524298 VRW524298:VSJ524298 WBS524298:WCF524298 WLO524298:WMB524298 WVK524298:WVX524298 C589834:P589834 IY589834:JL589834 SU589834:TH589834 ACQ589834:ADD589834 AMM589834:AMZ589834 AWI589834:AWV589834 BGE589834:BGR589834 BQA589834:BQN589834 BZW589834:CAJ589834 CJS589834:CKF589834 CTO589834:CUB589834 DDK589834:DDX589834 DNG589834:DNT589834 DXC589834:DXP589834 EGY589834:EHL589834 EQU589834:ERH589834 FAQ589834:FBD589834 FKM589834:FKZ589834 FUI589834:FUV589834 GEE589834:GER589834 GOA589834:GON589834 GXW589834:GYJ589834 HHS589834:HIF589834 HRO589834:HSB589834 IBK589834:IBX589834 ILG589834:ILT589834 IVC589834:IVP589834 JEY589834:JFL589834 JOU589834:JPH589834 JYQ589834:JZD589834 KIM589834:KIZ589834 KSI589834:KSV589834 LCE589834:LCR589834 LMA589834:LMN589834 LVW589834:LWJ589834 MFS589834:MGF589834 MPO589834:MQB589834 MZK589834:MZX589834 NJG589834:NJT589834 NTC589834:NTP589834 OCY589834:ODL589834 OMU589834:ONH589834 OWQ589834:OXD589834 PGM589834:PGZ589834 PQI589834:PQV589834 QAE589834:QAR589834 QKA589834:QKN589834 QTW589834:QUJ589834 RDS589834:REF589834 RNO589834:ROB589834 RXK589834:RXX589834 SHG589834:SHT589834 SRC589834:SRP589834 TAY589834:TBL589834 TKU589834:TLH589834 TUQ589834:TVD589834 UEM589834:UEZ589834 UOI589834:UOV589834 UYE589834:UYR589834 VIA589834:VIN589834 VRW589834:VSJ589834 WBS589834:WCF589834 WLO589834:WMB589834 WVK589834:WVX589834 C655370:P655370 IY655370:JL655370 SU655370:TH655370 ACQ655370:ADD655370 AMM655370:AMZ655370 AWI655370:AWV655370 BGE655370:BGR655370 BQA655370:BQN655370 BZW655370:CAJ655370 CJS655370:CKF655370 CTO655370:CUB655370 DDK655370:DDX655370 DNG655370:DNT655370 DXC655370:DXP655370 EGY655370:EHL655370 EQU655370:ERH655370 FAQ655370:FBD655370 FKM655370:FKZ655370 FUI655370:FUV655370 GEE655370:GER655370 GOA655370:GON655370 GXW655370:GYJ655370 HHS655370:HIF655370 HRO655370:HSB655370 IBK655370:IBX655370 ILG655370:ILT655370 IVC655370:IVP655370 JEY655370:JFL655370 JOU655370:JPH655370 JYQ655370:JZD655370 KIM655370:KIZ655370 KSI655370:KSV655370 LCE655370:LCR655370 LMA655370:LMN655370 LVW655370:LWJ655370 MFS655370:MGF655370 MPO655370:MQB655370 MZK655370:MZX655370 NJG655370:NJT655370 NTC655370:NTP655370 OCY655370:ODL655370 OMU655370:ONH655370 OWQ655370:OXD655370 PGM655370:PGZ655370 PQI655370:PQV655370 QAE655370:QAR655370 QKA655370:QKN655370 QTW655370:QUJ655370 RDS655370:REF655370 RNO655370:ROB655370 RXK655370:RXX655370 SHG655370:SHT655370 SRC655370:SRP655370 TAY655370:TBL655370 TKU655370:TLH655370 TUQ655370:TVD655370 UEM655370:UEZ655370 UOI655370:UOV655370 UYE655370:UYR655370 VIA655370:VIN655370 VRW655370:VSJ655370 WBS655370:WCF655370 WLO655370:WMB655370 WVK655370:WVX655370 C720906:P720906 IY720906:JL720906 SU720906:TH720906 ACQ720906:ADD720906 AMM720906:AMZ720906 AWI720906:AWV720906 BGE720906:BGR720906 BQA720906:BQN720906 BZW720906:CAJ720906 CJS720906:CKF720906 CTO720906:CUB720906 DDK720906:DDX720906 DNG720906:DNT720906 DXC720906:DXP720906 EGY720906:EHL720906 EQU720906:ERH720906 FAQ720906:FBD720906 FKM720906:FKZ720906 FUI720906:FUV720906 GEE720906:GER720906 GOA720906:GON720906 GXW720906:GYJ720906 HHS720906:HIF720906 HRO720906:HSB720906 IBK720906:IBX720906 ILG720906:ILT720906 IVC720906:IVP720906 JEY720906:JFL720906 JOU720906:JPH720906 JYQ720906:JZD720906 KIM720906:KIZ720906 KSI720906:KSV720906 LCE720906:LCR720906 LMA720906:LMN720906 LVW720906:LWJ720906 MFS720906:MGF720906 MPO720906:MQB720906 MZK720906:MZX720906 NJG720906:NJT720906 NTC720906:NTP720906 OCY720906:ODL720906 OMU720906:ONH720906 OWQ720906:OXD720906 PGM720906:PGZ720906 PQI720906:PQV720906 QAE720906:QAR720906 QKA720906:QKN720906 QTW720906:QUJ720906 RDS720906:REF720906 RNO720906:ROB720906 RXK720906:RXX720906 SHG720906:SHT720906 SRC720906:SRP720906 TAY720906:TBL720906 TKU720906:TLH720906 TUQ720906:TVD720906 UEM720906:UEZ720906 UOI720906:UOV720906 UYE720906:UYR720906 VIA720906:VIN720906 VRW720906:VSJ720906 WBS720906:WCF720906 WLO720906:WMB720906 WVK720906:WVX720906 C786442:P786442 IY786442:JL786442 SU786442:TH786442 ACQ786442:ADD786442 AMM786442:AMZ786442 AWI786442:AWV786442 BGE786442:BGR786442 BQA786442:BQN786442 BZW786442:CAJ786442 CJS786442:CKF786442 CTO786442:CUB786442 DDK786442:DDX786442 DNG786442:DNT786442 DXC786442:DXP786442 EGY786442:EHL786442 EQU786442:ERH786442 FAQ786442:FBD786442 FKM786442:FKZ786442 FUI786442:FUV786442 GEE786442:GER786442 GOA786442:GON786442 GXW786442:GYJ786442 HHS786442:HIF786442 HRO786442:HSB786442 IBK786442:IBX786442 ILG786442:ILT786442 IVC786442:IVP786442 JEY786442:JFL786442 JOU786442:JPH786442 JYQ786442:JZD786442 KIM786442:KIZ786442 KSI786442:KSV786442 LCE786442:LCR786442 LMA786442:LMN786442 LVW786442:LWJ786442 MFS786442:MGF786442 MPO786442:MQB786442 MZK786442:MZX786442 NJG786442:NJT786442 NTC786442:NTP786442 OCY786442:ODL786442 OMU786442:ONH786442 OWQ786442:OXD786442 PGM786442:PGZ786442 PQI786442:PQV786442 QAE786442:QAR786442 QKA786442:QKN786442 QTW786442:QUJ786442 RDS786442:REF786442 RNO786442:ROB786442 RXK786442:RXX786442 SHG786442:SHT786442 SRC786442:SRP786442 TAY786442:TBL786442 TKU786442:TLH786442 TUQ786442:TVD786442 UEM786442:UEZ786442 UOI786442:UOV786442 UYE786442:UYR786442 VIA786442:VIN786442 VRW786442:VSJ786442 WBS786442:WCF786442 WLO786442:WMB786442 WVK786442:WVX786442 C851978:P851978 IY851978:JL851978 SU851978:TH851978 ACQ851978:ADD851978 AMM851978:AMZ851978 AWI851978:AWV851978 BGE851978:BGR851978 BQA851978:BQN851978 BZW851978:CAJ851978 CJS851978:CKF851978 CTO851978:CUB851978 DDK851978:DDX851978 DNG851978:DNT851978 DXC851978:DXP851978 EGY851978:EHL851978 EQU851978:ERH851978 FAQ851978:FBD851978 FKM851978:FKZ851978 FUI851978:FUV851978 GEE851978:GER851978 GOA851978:GON851978 GXW851978:GYJ851978 HHS851978:HIF851978 HRO851978:HSB851978 IBK851978:IBX851978 ILG851978:ILT851978 IVC851978:IVP851978 JEY851978:JFL851978 JOU851978:JPH851978 JYQ851978:JZD851978 KIM851978:KIZ851978 KSI851978:KSV851978 LCE851978:LCR851978 LMA851978:LMN851978 LVW851978:LWJ851978 MFS851978:MGF851978 MPO851978:MQB851978 MZK851978:MZX851978 NJG851978:NJT851978 NTC851978:NTP851978 OCY851978:ODL851978 OMU851978:ONH851978 OWQ851978:OXD851978 PGM851978:PGZ851978 PQI851978:PQV851978 QAE851978:QAR851978 QKA851978:QKN851978 QTW851978:QUJ851978 RDS851978:REF851978 RNO851978:ROB851978 RXK851978:RXX851978 SHG851978:SHT851978 SRC851978:SRP851978 TAY851978:TBL851978 TKU851978:TLH851978 TUQ851978:TVD851978 UEM851978:UEZ851978 UOI851978:UOV851978 UYE851978:UYR851978 VIA851978:VIN851978 VRW851978:VSJ851978 WBS851978:WCF851978 WLO851978:WMB851978 WVK851978:WVX851978 C917514:P917514 IY917514:JL917514 SU917514:TH917514 ACQ917514:ADD917514 AMM917514:AMZ917514 AWI917514:AWV917514 BGE917514:BGR917514 BQA917514:BQN917514 BZW917514:CAJ917514 CJS917514:CKF917514 CTO917514:CUB917514 DDK917514:DDX917514 DNG917514:DNT917514 DXC917514:DXP917514 EGY917514:EHL917514 EQU917514:ERH917514 FAQ917514:FBD917514 FKM917514:FKZ917514 FUI917514:FUV917514 GEE917514:GER917514 GOA917514:GON917514 GXW917514:GYJ917514 HHS917514:HIF917514 HRO917514:HSB917514 IBK917514:IBX917514 ILG917514:ILT917514 IVC917514:IVP917514 JEY917514:JFL917514 JOU917514:JPH917514 JYQ917514:JZD917514 KIM917514:KIZ917514 KSI917514:KSV917514 LCE917514:LCR917514 LMA917514:LMN917514 LVW917514:LWJ917514 MFS917514:MGF917514 MPO917514:MQB917514 MZK917514:MZX917514 NJG917514:NJT917514 NTC917514:NTP917514 OCY917514:ODL917514 OMU917514:ONH917514 OWQ917514:OXD917514 PGM917514:PGZ917514 PQI917514:PQV917514 QAE917514:QAR917514 QKA917514:QKN917514 QTW917514:QUJ917514 RDS917514:REF917514 RNO917514:ROB917514 RXK917514:RXX917514 SHG917514:SHT917514 SRC917514:SRP917514 TAY917514:TBL917514 TKU917514:TLH917514 TUQ917514:TVD917514 UEM917514:UEZ917514 UOI917514:UOV917514 UYE917514:UYR917514 VIA917514:VIN917514 VRW917514:VSJ917514 WBS917514:WCF917514 WLO917514:WMB917514 WVK917514:WVX917514 C983050:P983050 IY983050:JL983050 SU983050:TH983050 ACQ983050:ADD983050 AMM983050:AMZ983050 AWI983050:AWV983050 BGE983050:BGR983050 BQA983050:BQN983050 BZW983050:CAJ983050 CJS983050:CKF983050 CTO983050:CUB983050 DDK983050:DDX983050 DNG983050:DNT983050 DXC983050:DXP983050 EGY983050:EHL983050 EQU983050:ERH983050 FAQ983050:FBD983050 FKM983050:FKZ983050 FUI983050:FUV983050 GEE983050:GER983050 GOA983050:GON983050 GXW983050:GYJ983050 HHS983050:HIF983050 HRO983050:HSB983050 IBK983050:IBX983050 ILG983050:ILT983050 IVC983050:IVP983050 JEY983050:JFL983050 JOU983050:JPH983050 JYQ983050:JZD983050 KIM983050:KIZ983050 KSI983050:KSV983050 LCE983050:LCR983050 LMA983050:LMN983050 LVW983050:LWJ983050 MFS983050:MGF983050 MPO983050:MQB983050 MZK983050:MZX983050 NJG983050:NJT983050 NTC983050:NTP983050 OCY983050:ODL983050 OMU983050:ONH983050 OWQ983050:OXD983050 PGM983050:PGZ983050 PQI983050:PQV983050 QAE983050:QAR983050 QKA983050:QKN983050 QTW983050:QUJ983050 RDS983050:REF983050 RNO983050:ROB983050 RXK983050:RXX983050 SHG983050:SHT983050 SRC983050:SRP983050 TAY983050:TBL983050 TKU983050:TLH983050 TUQ983050:TVD983050 UEM983050:UEZ983050 UOI983050:UOV983050 UYE983050:UYR983050 VIA983050:VIN983050 VRW983050:VSJ983050 WBS983050:WCF983050 WLO983050:WMB983050 WVK983050:WVX983050 WVK11:WVX11 WLO11:WMB11 WBS11:WCF11 VRW11:VSJ11 VIA11:VIN11 UYE11:UYR11 UOI11:UOV11 UEM11:UEZ11 TUQ11:TVD11 TKU11:TLH11 TAY11:TBL11 SRC11:SRP11 SHG11:SHT11 RXK11:RXX11 RNO11:ROB11 RDS11:REF11 QTW11:QUJ11 QKA11:QKN11 QAE11:QAR11 PQI11:PQV11 PGM11:PGZ11 OWQ11:OXD11 OMU11:ONH11 OCY11:ODL11 NTC11:NTP11 NJG11:NJT11 MZK11:MZX11 MPO11:MQB11 MFS11:MGF11 LVW11:LWJ11 LMA11:LMN11 LCE11:LCR11 KSI11:KSV11 KIM11:KIZ11 JYQ11:JZD11 JOU11:JPH11 JEY11:JFL11 IVC11:IVP11 ILG11:ILT11 IBK11:IBX11 HRO11:HSB11 HHS11:HIF11 GXW11:GYJ11 GOA11:GON11 GEE11:GER11 FUI11:FUV11 FKM11:FKZ11 FAQ11:FBD11 EQU11:ERH11 EGY11:EHL11 DXC11:DXP11 DNG11:DNT11 DDK11:DDX11 CTO11:CUB11 CJS11:CKF11 BZW11:CAJ11 BQA11:BQN11 BGE11:BGR11 AWI11:AWV11 AMM11:AMZ11 ACQ11:ADD11 SU11:TH11 IY11:JL11 C11:P11" xr:uid="{00000000-0002-0000-0A00-000001000000}">
      <formula1>0</formula1>
      <formula2>0</formula2>
    </dataValidation>
    <dataValidation operator="equal" allowBlank="1" showInputMessage="1" promptTitle="ATENÇÃO!" prompt="DIGITAR &quot; 1 &quot;" sqref="J65240 JF65240 TB65240 ACX65240 AMT65240 AWP65240 BGL65240 BQH65240 CAD65240 CJZ65240 CTV65240 DDR65240 DNN65240 DXJ65240 EHF65240 ERB65240 FAX65240 FKT65240 FUP65240 GEL65240 GOH65240 GYD65240 HHZ65240 HRV65240 IBR65240 ILN65240 IVJ65240 JFF65240 JPB65240 JYX65240 KIT65240 KSP65240 LCL65240 LMH65240 LWD65240 MFZ65240 MPV65240 MZR65240 NJN65240 NTJ65240 ODF65240 ONB65240 OWX65240 PGT65240 PQP65240 QAL65240 QKH65240 QUD65240 RDZ65240 RNV65240 RXR65240 SHN65240 SRJ65240 TBF65240 TLB65240 TUX65240 UET65240 UOP65240 UYL65240 VIH65240 VSD65240 WBZ65240 WLV65240 WVR65240 J130776 JF130776 TB130776 ACX130776 AMT130776 AWP130776 BGL130776 BQH130776 CAD130776 CJZ130776 CTV130776 DDR130776 DNN130776 DXJ130776 EHF130776 ERB130776 FAX130776 FKT130776 FUP130776 GEL130776 GOH130776 GYD130776 HHZ130776 HRV130776 IBR130776 ILN130776 IVJ130776 JFF130776 JPB130776 JYX130776 KIT130776 KSP130776 LCL130776 LMH130776 LWD130776 MFZ130776 MPV130776 MZR130776 NJN130776 NTJ130776 ODF130776 ONB130776 OWX130776 PGT130776 PQP130776 QAL130776 QKH130776 QUD130776 RDZ130776 RNV130776 RXR130776 SHN130776 SRJ130776 TBF130776 TLB130776 TUX130776 UET130776 UOP130776 UYL130776 VIH130776 VSD130776 WBZ130776 WLV130776 WVR130776 J196312 JF196312 TB196312 ACX196312 AMT196312 AWP196312 BGL196312 BQH196312 CAD196312 CJZ196312 CTV196312 DDR196312 DNN196312 DXJ196312 EHF196312 ERB196312 FAX196312 FKT196312 FUP196312 GEL196312 GOH196312 GYD196312 HHZ196312 HRV196312 IBR196312 ILN196312 IVJ196312 JFF196312 JPB196312 JYX196312 KIT196312 KSP196312 LCL196312 LMH196312 LWD196312 MFZ196312 MPV196312 MZR196312 NJN196312 NTJ196312 ODF196312 ONB196312 OWX196312 PGT196312 PQP196312 QAL196312 QKH196312 QUD196312 RDZ196312 RNV196312 RXR196312 SHN196312 SRJ196312 TBF196312 TLB196312 TUX196312 UET196312 UOP196312 UYL196312 VIH196312 VSD196312 WBZ196312 WLV196312 WVR196312 J261848 JF261848 TB261848 ACX261848 AMT261848 AWP261848 BGL261848 BQH261848 CAD261848 CJZ261848 CTV261848 DDR261848 DNN261848 DXJ261848 EHF261848 ERB261848 FAX261848 FKT261848 FUP261848 GEL261848 GOH261848 GYD261848 HHZ261848 HRV261848 IBR261848 ILN261848 IVJ261848 JFF261848 JPB261848 JYX261848 KIT261848 KSP261848 LCL261848 LMH261848 LWD261848 MFZ261848 MPV261848 MZR261848 NJN261848 NTJ261848 ODF261848 ONB261848 OWX261848 PGT261848 PQP261848 QAL261848 QKH261848 QUD261848 RDZ261848 RNV261848 RXR261848 SHN261848 SRJ261848 TBF261848 TLB261848 TUX261848 UET261848 UOP261848 UYL261848 VIH261848 VSD261848 WBZ261848 WLV261848 WVR261848 J327384 JF327384 TB327384 ACX327384 AMT327384 AWP327384 BGL327384 BQH327384 CAD327384 CJZ327384 CTV327384 DDR327384 DNN327384 DXJ327384 EHF327384 ERB327384 FAX327384 FKT327384 FUP327384 GEL327384 GOH327384 GYD327384 HHZ327384 HRV327384 IBR327384 ILN327384 IVJ327384 JFF327384 JPB327384 JYX327384 KIT327384 KSP327384 LCL327384 LMH327384 LWD327384 MFZ327384 MPV327384 MZR327384 NJN327384 NTJ327384 ODF327384 ONB327384 OWX327384 PGT327384 PQP327384 QAL327384 QKH327384 QUD327384 RDZ327384 RNV327384 RXR327384 SHN327384 SRJ327384 TBF327384 TLB327384 TUX327384 UET327384 UOP327384 UYL327384 VIH327384 VSD327384 WBZ327384 WLV327384 WVR327384 J392920 JF392920 TB392920 ACX392920 AMT392920 AWP392920 BGL392920 BQH392920 CAD392920 CJZ392920 CTV392920 DDR392920 DNN392920 DXJ392920 EHF392920 ERB392920 FAX392920 FKT392920 FUP392920 GEL392920 GOH392920 GYD392920 HHZ392920 HRV392920 IBR392920 ILN392920 IVJ392920 JFF392920 JPB392920 JYX392920 KIT392920 KSP392920 LCL392920 LMH392920 LWD392920 MFZ392920 MPV392920 MZR392920 NJN392920 NTJ392920 ODF392920 ONB392920 OWX392920 PGT392920 PQP392920 QAL392920 QKH392920 QUD392920 RDZ392920 RNV392920 RXR392920 SHN392920 SRJ392920 TBF392920 TLB392920 TUX392920 UET392920 UOP392920 UYL392920 VIH392920 VSD392920 WBZ392920 WLV392920 WVR392920 J458456 JF458456 TB458456 ACX458456 AMT458456 AWP458456 BGL458456 BQH458456 CAD458456 CJZ458456 CTV458456 DDR458456 DNN458456 DXJ458456 EHF458456 ERB458456 FAX458456 FKT458456 FUP458456 GEL458456 GOH458456 GYD458456 HHZ458456 HRV458456 IBR458456 ILN458456 IVJ458456 JFF458456 JPB458456 JYX458456 KIT458456 KSP458456 LCL458456 LMH458456 LWD458456 MFZ458456 MPV458456 MZR458456 NJN458456 NTJ458456 ODF458456 ONB458456 OWX458456 PGT458456 PQP458456 QAL458456 QKH458456 QUD458456 RDZ458456 RNV458456 RXR458456 SHN458456 SRJ458456 TBF458456 TLB458456 TUX458456 UET458456 UOP458456 UYL458456 VIH458456 VSD458456 WBZ458456 WLV458456 WVR458456 J523992 JF523992 TB523992 ACX523992 AMT523992 AWP523992 BGL523992 BQH523992 CAD523992 CJZ523992 CTV523992 DDR523992 DNN523992 DXJ523992 EHF523992 ERB523992 FAX523992 FKT523992 FUP523992 GEL523992 GOH523992 GYD523992 HHZ523992 HRV523992 IBR523992 ILN523992 IVJ523992 JFF523992 JPB523992 JYX523992 KIT523992 KSP523992 LCL523992 LMH523992 LWD523992 MFZ523992 MPV523992 MZR523992 NJN523992 NTJ523992 ODF523992 ONB523992 OWX523992 PGT523992 PQP523992 QAL523992 QKH523992 QUD523992 RDZ523992 RNV523992 RXR523992 SHN523992 SRJ523992 TBF523992 TLB523992 TUX523992 UET523992 UOP523992 UYL523992 VIH523992 VSD523992 WBZ523992 WLV523992 WVR523992 J589528 JF589528 TB589528 ACX589528 AMT589528 AWP589528 BGL589528 BQH589528 CAD589528 CJZ589528 CTV589528 DDR589528 DNN589528 DXJ589528 EHF589528 ERB589528 FAX589528 FKT589528 FUP589528 GEL589528 GOH589528 GYD589528 HHZ589528 HRV589528 IBR589528 ILN589528 IVJ589528 JFF589528 JPB589528 JYX589528 KIT589528 KSP589528 LCL589528 LMH589528 LWD589528 MFZ589528 MPV589528 MZR589528 NJN589528 NTJ589528 ODF589528 ONB589528 OWX589528 PGT589528 PQP589528 QAL589528 QKH589528 QUD589528 RDZ589528 RNV589528 RXR589528 SHN589528 SRJ589528 TBF589528 TLB589528 TUX589528 UET589528 UOP589528 UYL589528 VIH589528 VSD589528 WBZ589528 WLV589528 WVR589528 J655064 JF655064 TB655064 ACX655064 AMT655064 AWP655064 BGL655064 BQH655064 CAD655064 CJZ655064 CTV655064 DDR655064 DNN655064 DXJ655064 EHF655064 ERB655064 FAX655064 FKT655064 FUP655064 GEL655064 GOH655064 GYD655064 HHZ655064 HRV655064 IBR655064 ILN655064 IVJ655064 JFF655064 JPB655064 JYX655064 KIT655064 KSP655064 LCL655064 LMH655064 LWD655064 MFZ655064 MPV655064 MZR655064 NJN655064 NTJ655064 ODF655064 ONB655064 OWX655064 PGT655064 PQP655064 QAL655064 QKH655064 QUD655064 RDZ655064 RNV655064 RXR655064 SHN655064 SRJ655064 TBF655064 TLB655064 TUX655064 UET655064 UOP655064 UYL655064 VIH655064 VSD655064 WBZ655064 WLV655064 WVR655064 J720600 JF720600 TB720600 ACX720600 AMT720600 AWP720600 BGL720600 BQH720600 CAD720600 CJZ720600 CTV720600 DDR720600 DNN720600 DXJ720600 EHF720600 ERB720600 FAX720600 FKT720600 FUP720600 GEL720600 GOH720600 GYD720600 HHZ720600 HRV720600 IBR720600 ILN720600 IVJ720600 JFF720600 JPB720600 JYX720600 KIT720600 KSP720600 LCL720600 LMH720600 LWD720600 MFZ720600 MPV720600 MZR720600 NJN720600 NTJ720600 ODF720600 ONB720600 OWX720600 PGT720600 PQP720600 QAL720600 QKH720600 QUD720600 RDZ720600 RNV720600 RXR720600 SHN720600 SRJ720600 TBF720600 TLB720600 TUX720600 UET720600 UOP720600 UYL720600 VIH720600 VSD720600 WBZ720600 WLV720600 WVR720600 J786136 JF786136 TB786136 ACX786136 AMT786136 AWP786136 BGL786136 BQH786136 CAD786136 CJZ786136 CTV786136 DDR786136 DNN786136 DXJ786136 EHF786136 ERB786136 FAX786136 FKT786136 FUP786136 GEL786136 GOH786136 GYD786136 HHZ786136 HRV786136 IBR786136 ILN786136 IVJ786136 JFF786136 JPB786136 JYX786136 KIT786136 KSP786136 LCL786136 LMH786136 LWD786136 MFZ786136 MPV786136 MZR786136 NJN786136 NTJ786136 ODF786136 ONB786136 OWX786136 PGT786136 PQP786136 QAL786136 QKH786136 QUD786136 RDZ786136 RNV786136 RXR786136 SHN786136 SRJ786136 TBF786136 TLB786136 TUX786136 UET786136 UOP786136 UYL786136 VIH786136 VSD786136 WBZ786136 WLV786136 WVR786136 J851672 JF851672 TB851672 ACX851672 AMT851672 AWP851672 BGL851672 BQH851672 CAD851672 CJZ851672 CTV851672 DDR851672 DNN851672 DXJ851672 EHF851672 ERB851672 FAX851672 FKT851672 FUP851672 GEL851672 GOH851672 GYD851672 HHZ851672 HRV851672 IBR851672 ILN851672 IVJ851672 JFF851672 JPB851672 JYX851672 KIT851672 KSP851672 LCL851672 LMH851672 LWD851672 MFZ851672 MPV851672 MZR851672 NJN851672 NTJ851672 ODF851672 ONB851672 OWX851672 PGT851672 PQP851672 QAL851672 QKH851672 QUD851672 RDZ851672 RNV851672 RXR851672 SHN851672 SRJ851672 TBF851672 TLB851672 TUX851672 UET851672 UOP851672 UYL851672 VIH851672 VSD851672 WBZ851672 WLV851672 WVR851672 J917208 JF917208 TB917208 ACX917208 AMT917208 AWP917208 BGL917208 BQH917208 CAD917208 CJZ917208 CTV917208 DDR917208 DNN917208 DXJ917208 EHF917208 ERB917208 FAX917208 FKT917208 FUP917208 GEL917208 GOH917208 GYD917208 HHZ917208 HRV917208 IBR917208 ILN917208 IVJ917208 JFF917208 JPB917208 JYX917208 KIT917208 KSP917208 LCL917208 LMH917208 LWD917208 MFZ917208 MPV917208 MZR917208 NJN917208 NTJ917208 ODF917208 ONB917208 OWX917208 PGT917208 PQP917208 QAL917208 QKH917208 QUD917208 RDZ917208 RNV917208 RXR917208 SHN917208 SRJ917208 TBF917208 TLB917208 TUX917208 UET917208 UOP917208 UYL917208 VIH917208 VSD917208 WBZ917208 WLV917208 WVR917208 J982744 JF982744 TB982744 ACX982744 AMT982744 AWP982744 BGL982744 BQH982744 CAD982744 CJZ982744 CTV982744 DDR982744 DNN982744 DXJ982744 EHF982744 ERB982744 FAX982744 FKT982744 FUP982744 GEL982744 GOH982744 GYD982744 HHZ982744 HRV982744 IBR982744 ILN982744 IVJ982744 JFF982744 JPB982744 JYX982744 KIT982744 KSP982744 LCL982744 LMH982744 LWD982744 MFZ982744 MPV982744 MZR982744 NJN982744 NTJ982744 ODF982744 ONB982744 OWX982744 PGT982744 PQP982744 QAL982744 QKH982744 QUD982744 RDZ982744 RNV982744 RXR982744 SHN982744 SRJ982744 TBF982744 TLB982744 TUX982744 UET982744 UOP982744 UYL982744 VIH982744 VSD982744 WBZ982744 WLV982744 WVR982744 J65338 JF65338 TB65338 ACX65338 AMT65338 AWP65338 BGL65338 BQH65338 CAD65338 CJZ65338 CTV65338 DDR65338 DNN65338 DXJ65338 EHF65338 ERB65338 FAX65338 FKT65338 FUP65338 GEL65338 GOH65338 GYD65338 HHZ65338 HRV65338 IBR65338 ILN65338 IVJ65338 JFF65338 JPB65338 JYX65338 KIT65338 KSP65338 LCL65338 LMH65338 LWD65338 MFZ65338 MPV65338 MZR65338 NJN65338 NTJ65338 ODF65338 ONB65338 OWX65338 PGT65338 PQP65338 QAL65338 QKH65338 QUD65338 RDZ65338 RNV65338 RXR65338 SHN65338 SRJ65338 TBF65338 TLB65338 TUX65338 UET65338 UOP65338 UYL65338 VIH65338 VSD65338 WBZ65338 WLV65338 WVR65338 J130874 JF130874 TB130874 ACX130874 AMT130874 AWP130874 BGL130874 BQH130874 CAD130874 CJZ130874 CTV130874 DDR130874 DNN130874 DXJ130874 EHF130874 ERB130874 FAX130874 FKT130874 FUP130874 GEL130874 GOH130874 GYD130874 HHZ130874 HRV130874 IBR130874 ILN130874 IVJ130874 JFF130874 JPB130874 JYX130874 KIT130874 KSP130874 LCL130874 LMH130874 LWD130874 MFZ130874 MPV130874 MZR130874 NJN130874 NTJ130874 ODF130874 ONB130874 OWX130874 PGT130874 PQP130874 QAL130874 QKH130874 QUD130874 RDZ130874 RNV130874 RXR130874 SHN130874 SRJ130874 TBF130874 TLB130874 TUX130874 UET130874 UOP130874 UYL130874 VIH130874 VSD130874 WBZ130874 WLV130874 WVR130874 J196410 JF196410 TB196410 ACX196410 AMT196410 AWP196410 BGL196410 BQH196410 CAD196410 CJZ196410 CTV196410 DDR196410 DNN196410 DXJ196410 EHF196410 ERB196410 FAX196410 FKT196410 FUP196410 GEL196410 GOH196410 GYD196410 HHZ196410 HRV196410 IBR196410 ILN196410 IVJ196410 JFF196410 JPB196410 JYX196410 KIT196410 KSP196410 LCL196410 LMH196410 LWD196410 MFZ196410 MPV196410 MZR196410 NJN196410 NTJ196410 ODF196410 ONB196410 OWX196410 PGT196410 PQP196410 QAL196410 QKH196410 QUD196410 RDZ196410 RNV196410 RXR196410 SHN196410 SRJ196410 TBF196410 TLB196410 TUX196410 UET196410 UOP196410 UYL196410 VIH196410 VSD196410 WBZ196410 WLV196410 WVR196410 J261946 JF261946 TB261946 ACX261946 AMT261946 AWP261946 BGL261946 BQH261946 CAD261946 CJZ261946 CTV261946 DDR261946 DNN261946 DXJ261946 EHF261946 ERB261946 FAX261946 FKT261946 FUP261946 GEL261946 GOH261946 GYD261946 HHZ261946 HRV261946 IBR261946 ILN261946 IVJ261946 JFF261946 JPB261946 JYX261946 KIT261946 KSP261946 LCL261946 LMH261946 LWD261946 MFZ261946 MPV261946 MZR261946 NJN261946 NTJ261946 ODF261946 ONB261946 OWX261946 PGT261946 PQP261946 QAL261946 QKH261946 QUD261946 RDZ261946 RNV261946 RXR261946 SHN261946 SRJ261946 TBF261946 TLB261946 TUX261946 UET261946 UOP261946 UYL261946 VIH261946 VSD261946 WBZ261946 WLV261946 WVR261946 J327482 JF327482 TB327482 ACX327482 AMT327482 AWP327482 BGL327482 BQH327482 CAD327482 CJZ327482 CTV327482 DDR327482 DNN327482 DXJ327482 EHF327482 ERB327482 FAX327482 FKT327482 FUP327482 GEL327482 GOH327482 GYD327482 HHZ327482 HRV327482 IBR327482 ILN327482 IVJ327482 JFF327482 JPB327482 JYX327482 KIT327482 KSP327482 LCL327482 LMH327482 LWD327482 MFZ327482 MPV327482 MZR327482 NJN327482 NTJ327482 ODF327482 ONB327482 OWX327482 PGT327482 PQP327482 QAL327482 QKH327482 QUD327482 RDZ327482 RNV327482 RXR327482 SHN327482 SRJ327482 TBF327482 TLB327482 TUX327482 UET327482 UOP327482 UYL327482 VIH327482 VSD327482 WBZ327482 WLV327482 WVR327482 J393018 JF393018 TB393018 ACX393018 AMT393018 AWP393018 BGL393018 BQH393018 CAD393018 CJZ393018 CTV393018 DDR393018 DNN393018 DXJ393018 EHF393018 ERB393018 FAX393018 FKT393018 FUP393018 GEL393018 GOH393018 GYD393018 HHZ393018 HRV393018 IBR393018 ILN393018 IVJ393018 JFF393018 JPB393018 JYX393018 KIT393018 KSP393018 LCL393018 LMH393018 LWD393018 MFZ393018 MPV393018 MZR393018 NJN393018 NTJ393018 ODF393018 ONB393018 OWX393018 PGT393018 PQP393018 QAL393018 QKH393018 QUD393018 RDZ393018 RNV393018 RXR393018 SHN393018 SRJ393018 TBF393018 TLB393018 TUX393018 UET393018 UOP393018 UYL393018 VIH393018 VSD393018 WBZ393018 WLV393018 WVR393018 J458554 JF458554 TB458554 ACX458554 AMT458554 AWP458554 BGL458554 BQH458554 CAD458554 CJZ458554 CTV458554 DDR458554 DNN458554 DXJ458554 EHF458554 ERB458554 FAX458554 FKT458554 FUP458554 GEL458554 GOH458554 GYD458554 HHZ458554 HRV458554 IBR458554 ILN458554 IVJ458554 JFF458554 JPB458554 JYX458554 KIT458554 KSP458554 LCL458554 LMH458554 LWD458554 MFZ458554 MPV458554 MZR458554 NJN458554 NTJ458554 ODF458554 ONB458554 OWX458554 PGT458554 PQP458554 QAL458554 QKH458554 QUD458554 RDZ458554 RNV458554 RXR458554 SHN458554 SRJ458554 TBF458554 TLB458554 TUX458554 UET458554 UOP458554 UYL458554 VIH458554 VSD458554 WBZ458554 WLV458554 WVR458554 J524090 JF524090 TB524090 ACX524090 AMT524090 AWP524090 BGL524090 BQH524090 CAD524090 CJZ524090 CTV524090 DDR524090 DNN524090 DXJ524090 EHF524090 ERB524090 FAX524090 FKT524090 FUP524090 GEL524090 GOH524090 GYD524090 HHZ524090 HRV524090 IBR524090 ILN524090 IVJ524090 JFF524090 JPB524090 JYX524090 KIT524090 KSP524090 LCL524090 LMH524090 LWD524090 MFZ524090 MPV524090 MZR524090 NJN524090 NTJ524090 ODF524090 ONB524090 OWX524090 PGT524090 PQP524090 QAL524090 QKH524090 QUD524090 RDZ524090 RNV524090 RXR524090 SHN524090 SRJ524090 TBF524090 TLB524090 TUX524090 UET524090 UOP524090 UYL524090 VIH524090 VSD524090 WBZ524090 WLV524090 WVR524090 J589626 JF589626 TB589626 ACX589626 AMT589626 AWP589626 BGL589626 BQH589626 CAD589626 CJZ589626 CTV589626 DDR589626 DNN589626 DXJ589626 EHF589626 ERB589626 FAX589626 FKT589626 FUP589626 GEL589626 GOH589626 GYD589626 HHZ589626 HRV589626 IBR589626 ILN589626 IVJ589626 JFF589626 JPB589626 JYX589626 KIT589626 KSP589626 LCL589626 LMH589626 LWD589626 MFZ589626 MPV589626 MZR589626 NJN589626 NTJ589626 ODF589626 ONB589626 OWX589626 PGT589626 PQP589626 QAL589626 QKH589626 QUD589626 RDZ589626 RNV589626 RXR589626 SHN589626 SRJ589626 TBF589626 TLB589626 TUX589626 UET589626 UOP589626 UYL589626 VIH589626 VSD589626 WBZ589626 WLV589626 WVR589626 J655162 JF655162 TB655162 ACX655162 AMT655162 AWP655162 BGL655162 BQH655162 CAD655162 CJZ655162 CTV655162 DDR655162 DNN655162 DXJ655162 EHF655162 ERB655162 FAX655162 FKT655162 FUP655162 GEL655162 GOH655162 GYD655162 HHZ655162 HRV655162 IBR655162 ILN655162 IVJ655162 JFF655162 JPB655162 JYX655162 KIT655162 KSP655162 LCL655162 LMH655162 LWD655162 MFZ655162 MPV655162 MZR655162 NJN655162 NTJ655162 ODF655162 ONB655162 OWX655162 PGT655162 PQP655162 QAL655162 QKH655162 QUD655162 RDZ655162 RNV655162 RXR655162 SHN655162 SRJ655162 TBF655162 TLB655162 TUX655162 UET655162 UOP655162 UYL655162 VIH655162 VSD655162 WBZ655162 WLV655162 WVR655162 J720698 JF720698 TB720698 ACX720698 AMT720698 AWP720698 BGL720698 BQH720698 CAD720698 CJZ720698 CTV720698 DDR720698 DNN720698 DXJ720698 EHF720698 ERB720698 FAX720698 FKT720698 FUP720698 GEL720698 GOH720698 GYD720698 HHZ720698 HRV720698 IBR720698 ILN720698 IVJ720698 JFF720698 JPB720698 JYX720698 KIT720698 KSP720698 LCL720698 LMH720698 LWD720698 MFZ720698 MPV720698 MZR720698 NJN720698 NTJ720698 ODF720698 ONB720698 OWX720698 PGT720698 PQP720698 QAL720698 QKH720698 QUD720698 RDZ720698 RNV720698 RXR720698 SHN720698 SRJ720698 TBF720698 TLB720698 TUX720698 UET720698 UOP720698 UYL720698 VIH720698 VSD720698 WBZ720698 WLV720698 WVR720698 J786234 JF786234 TB786234 ACX786234 AMT786234 AWP786234 BGL786234 BQH786234 CAD786234 CJZ786234 CTV786234 DDR786234 DNN786234 DXJ786234 EHF786234 ERB786234 FAX786234 FKT786234 FUP786234 GEL786234 GOH786234 GYD786234 HHZ786234 HRV786234 IBR786234 ILN786234 IVJ786234 JFF786234 JPB786234 JYX786234 KIT786234 KSP786234 LCL786234 LMH786234 LWD786234 MFZ786234 MPV786234 MZR786234 NJN786234 NTJ786234 ODF786234 ONB786234 OWX786234 PGT786234 PQP786234 QAL786234 QKH786234 QUD786234 RDZ786234 RNV786234 RXR786234 SHN786234 SRJ786234 TBF786234 TLB786234 TUX786234 UET786234 UOP786234 UYL786234 VIH786234 VSD786234 WBZ786234 WLV786234 WVR786234 J851770 JF851770 TB851770 ACX851770 AMT851770 AWP851770 BGL851770 BQH851770 CAD851770 CJZ851770 CTV851770 DDR851770 DNN851770 DXJ851770 EHF851770 ERB851770 FAX851770 FKT851770 FUP851770 GEL851770 GOH851770 GYD851770 HHZ851770 HRV851770 IBR851770 ILN851770 IVJ851770 JFF851770 JPB851770 JYX851770 KIT851770 KSP851770 LCL851770 LMH851770 LWD851770 MFZ851770 MPV851770 MZR851770 NJN851770 NTJ851770 ODF851770 ONB851770 OWX851770 PGT851770 PQP851770 QAL851770 QKH851770 QUD851770 RDZ851770 RNV851770 RXR851770 SHN851770 SRJ851770 TBF851770 TLB851770 TUX851770 UET851770 UOP851770 UYL851770 VIH851770 VSD851770 WBZ851770 WLV851770 WVR851770 J917306 JF917306 TB917306 ACX917306 AMT917306 AWP917306 BGL917306 BQH917306 CAD917306 CJZ917306 CTV917306 DDR917306 DNN917306 DXJ917306 EHF917306 ERB917306 FAX917306 FKT917306 FUP917306 GEL917306 GOH917306 GYD917306 HHZ917306 HRV917306 IBR917306 ILN917306 IVJ917306 JFF917306 JPB917306 JYX917306 KIT917306 KSP917306 LCL917306 LMH917306 LWD917306 MFZ917306 MPV917306 MZR917306 NJN917306 NTJ917306 ODF917306 ONB917306 OWX917306 PGT917306 PQP917306 QAL917306 QKH917306 QUD917306 RDZ917306 RNV917306 RXR917306 SHN917306 SRJ917306 TBF917306 TLB917306 TUX917306 UET917306 UOP917306 UYL917306 VIH917306 VSD917306 WBZ917306 WLV917306 WVR917306 J982842 JF982842 TB982842 ACX982842 AMT982842 AWP982842 BGL982842 BQH982842 CAD982842 CJZ982842 CTV982842 DDR982842 DNN982842 DXJ982842 EHF982842 ERB982842 FAX982842 FKT982842 FUP982842 GEL982842 GOH982842 GYD982842 HHZ982842 HRV982842 IBR982842 ILN982842 IVJ982842 JFF982842 JPB982842 JYX982842 KIT982842 KSP982842 LCL982842 LMH982842 LWD982842 MFZ982842 MPV982842 MZR982842 NJN982842 NTJ982842 ODF982842 ONB982842 OWX982842 PGT982842 PQP982842 QAL982842 QKH982842 QUD982842 RDZ982842 RNV982842 RXR982842 SHN982842 SRJ982842 TBF982842 TLB982842 TUX982842 UET982842 UOP982842 UYL982842 VIH982842 VSD982842 WBZ982842 WLV982842 WVR982842 J65437 JF65437 TB65437 ACX65437 AMT65437 AWP65437 BGL65437 BQH65437 CAD65437 CJZ65437 CTV65437 DDR65437 DNN65437 DXJ65437 EHF65437 ERB65437 FAX65437 FKT65437 FUP65437 GEL65437 GOH65437 GYD65437 HHZ65437 HRV65437 IBR65437 ILN65437 IVJ65437 JFF65437 JPB65437 JYX65437 KIT65437 KSP65437 LCL65437 LMH65437 LWD65437 MFZ65437 MPV65437 MZR65437 NJN65437 NTJ65437 ODF65437 ONB65437 OWX65437 PGT65437 PQP65437 QAL65437 QKH65437 QUD65437 RDZ65437 RNV65437 RXR65437 SHN65437 SRJ65437 TBF65437 TLB65437 TUX65437 UET65437 UOP65437 UYL65437 VIH65437 VSD65437 WBZ65437 WLV65437 WVR65437 J130973 JF130973 TB130973 ACX130973 AMT130973 AWP130973 BGL130973 BQH130973 CAD130973 CJZ130973 CTV130973 DDR130973 DNN130973 DXJ130973 EHF130973 ERB130973 FAX130973 FKT130973 FUP130973 GEL130973 GOH130973 GYD130973 HHZ130973 HRV130973 IBR130973 ILN130973 IVJ130973 JFF130973 JPB130973 JYX130973 KIT130973 KSP130973 LCL130973 LMH130973 LWD130973 MFZ130973 MPV130973 MZR130973 NJN130973 NTJ130973 ODF130973 ONB130973 OWX130973 PGT130973 PQP130973 QAL130973 QKH130973 QUD130973 RDZ130973 RNV130973 RXR130973 SHN130973 SRJ130973 TBF130973 TLB130973 TUX130973 UET130973 UOP130973 UYL130973 VIH130973 VSD130973 WBZ130973 WLV130973 WVR130973 J196509 JF196509 TB196509 ACX196509 AMT196509 AWP196509 BGL196509 BQH196509 CAD196509 CJZ196509 CTV196509 DDR196509 DNN196509 DXJ196509 EHF196509 ERB196509 FAX196509 FKT196509 FUP196509 GEL196509 GOH196509 GYD196509 HHZ196509 HRV196509 IBR196509 ILN196509 IVJ196509 JFF196509 JPB196509 JYX196509 KIT196509 KSP196509 LCL196509 LMH196509 LWD196509 MFZ196509 MPV196509 MZR196509 NJN196509 NTJ196509 ODF196509 ONB196509 OWX196509 PGT196509 PQP196509 QAL196509 QKH196509 QUD196509 RDZ196509 RNV196509 RXR196509 SHN196509 SRJ196509 TBF196509 TLB196509 TUX196509 UET196509 UOP196509 UYL196509 VIH196509 VSD196509 WBZ196509 WLV196509 WVR196509 J262045 JF262045 TB262045 ACX262045 AMT262045 AWP262045 BGL262045 BQH262045 CAD262045 CJZ262045 CTV262045 DDR262045 DNN262045 DXJ262045 EHF262045 ERB262045 FAX262045 FKT262045 FUP262045 GEL262045 GOH262045 GYD262045 HHZ262045 HRV262045 IBR262045 ILN262045 IVJ262045 JFF262045 JPB262045 JYX262045 KIT262045 KSP262045 LCL262045 LMH262045 LWD262045 MFZ262045 MPV262045 MZR262045 NJN262045 NTJ262045 ODF262045 ONB262045 OWX262045 PGT262045 PQP262045 QAL262045 QKH262045 QUD262045 RDZ262045 RNV262045 RXR262045 SHN262045 SRJ262045 TBF262045 TLB262045 TUX262045 UET262045 UOP262045 UYL262045 VIH262045 VSD262045 WBZ262045 WLV262045 WVR262045 J327581 JF327581 TB327581 ACX327581 AMT327581 AWP327581 BGL327581 BQH327581 CAD327581 CJZ327581 CTV327581 DDR327581 DNN327581 DXJ327581 EHF327581 ERB327581 FAX327581 FKT327581 FUP327581 GEL327581 GOH327581 GYD327581 HHZ327581 HRV327581 IBR327581 ILN327581 IVJ327581 JFF327581 JPB327581 JYX327581 KIT327581 KSP327581 LCL327581 LMH327581 LWD327581 MFZ327581 MPV327581 MZR327581 NJN327581 NTJ327581 ODF327581 ONB327581 OWX327581 PGT327581 PQP327581 QAL327581 QKH327581 QUD327581 RDZ327581 RNV327581 RXR327581 SHN327581 SRJ327581 TBF327581 TLB327581 TUX327581 UET327581 UOP327581 UYL327581 VIH327581 VSD327581 WBZ327581 WLV327581 WVR327581 J393117 JF393117 TB393117 ACX393117 AMT393117 AWP393117 BGL393117 BQH393117 CAD393117 CJZ393117 CTV393117 DDR393117 DNN393117 DXJ393117 EHF393117 ERB393117 FAX393117 FKT393117 FUP393117 GEL393117 GOH393117 GYD393117 HHZ393117 HRV393117 IBR393117 ILN393117 IVJ393117 JFF393117 JPB393117 JYX393117 KIT393117 KSP393117 LCL393117 LMH393117 LWD393117 MFZ393117 MPV393117 MZR393117 NJN393117 NTJ393117 ODF393117 ONB393117 OWX393117 PGT393117 PQP393117 QAL393117 QKH393117 QUD393117 RDZ393117 RNV393117 RXR393117 SHN393117 SRJ393117 TBF393117 TLB393117 TUX393117 UET393117 UOP393117 UYL393117 VIH393117 VSD393117 WBZ393117 WLV393117 WVR393117 J458653 JF458653 TB458653 ACX458653 AMT458653 AWP458653 BGL458653 BQH458653 CAD458653 CJZ458653 CTV458653 DDR458653 DNN458653 DXJ458653 EHF458653 ERB458653 FAX458653 FKT458653 FUP458653 GEL458653 GOH458653 GYD458653 HHZ458653 HRV458653 IBR458653 ILN458653 IVJ458653 JFF458653 JPB458653 JYX458653 KIT458653 KSP458653 LCL458653 LMH458653 LWD458653 MFZ458653 MPV458653 MZR458653 NJN458653 NTJ458653 ODF458653 ONB458653 OWX458653 PGT458653 PQP458653 QAL458653 QKH458653 QUD458653 RDZ458653 RNV458653 RXR458653 SHN458653 SRJ458653 TBF458653 TLB458653 TUX458653 UET458653 UOP458653 UYL458653 VIH458653 VSD458653 WBZ458653 WLV458653 WVR458653 J524189 JF524189 TB524189 ACX524189 AMT524189 AWP524189 BGL524189 BQH524189 CAD524189 CJZ524189 CTV524189 DDR524189 DNN524189 DXJ524189 EHF524189 ERB524189 FAX524189 FKT524189 FUP524189 GEL524189 GOH524189 GYD524189 HHZ524189 HRV524189 IBR524189 ILN524189 IVJ524189 JFF524189 JPB524189 JYX524189 KIT524189 KSP524189 LCL524189 LMH524189 LWD524189 MFZ524189 MPV524189 MZR524189 NJN524189 NTJ524189 ODF524189 ONB524189 OWX524189 PGT524189 PQP524189 QAL524189 QKH524189 QUD524189 RDZ524189 RNV524189 RXR524189 SHN524189 SRJ524189 TBF524189 TLB524189 TUX524189 UET524189 UOP524189 UYL524189 VIH524189 VSD524189 WBZ524189 WLV524189 WVR524189 J589725 JF589725 TB589725 ACX589725 AMT589725 AWP589725 BGL589725 BQH589725 CAD589725 CJZ589725 CTV589725 DDR589725 DNN589725 DXJ589725 EHF589725 ERB589725 FAX589725 FKT589725 FUP589725 GEL589725 GOH589725 GYD589725 HHZ589725 HRV589725 IBR589725 ILN589725 IVJ589725 JFF589725 JPB589725 JYX589725 KIT589725 KSP589725 LCL589725 LMH589725 LWD589725 MFZ589725 MPV589725 MZR589725 NJN589725 NTJ589725 ODF589725 ONB589725 OWX589725 PGT589725 PQP589725 QAL589725 QKH589725 QUD589725 RDZ589725 RNV589725 RXR589725 SHN589725 SRJ589725 TBF589725 TLB589725 TUX589725 UET589725 UOP589725 UYL589725 VIH589725 VSD589725 WBZ589725 WLV589725 WVR589725 J655261 JF655261 TB655261 ACX655261 AMT655261 AWP655261 BGL655261 BQH655261 CAD655261 CJZ655261 CTV655261 DDR655261 DNN655261 DXJ655261 EHF655261 ERB655261 FAX655261 FKT655261 FUP655261 GEL655261 GOH655261 GYD655261 HHZ655261 HRV655261 IBR655261 ILN655261 IVJ655261 JFF655261 JPB655261 JYX655261 KIT655261 KSP655261 LCL655261 LMH655261 LWD655261 MFZ655261 MPV655261 MZR655261 NJN655261 NTJ655261 ODF655261 ONB655261 OWX655261 PGT655261 PQP655261 QAL655261 QKH655261 QUD655261 RDZ655261 RNV655261 RXR655261 SHN655261 SRJ655261 TBF655261 TLB655261 TUX655261 UET655261 UOP655261 UYL655261 VIH655261 VSD655261 WBZ655261 WLV655261 WVR655261 J720797 JF720797 TB720797 ACX720797 AMT720797 AWP720797 BGL720797 BQH720797 CAD720797 CJZ720797 CTV720797 DDR720797 DNN720797 DXJ720797 EHF720797 ERB720797 FAX720797 FKT720797 FUP720797 GEL720797 GOH720797 GYD720797 HHZ720797 HRV720797 IBR720797 ILN720797 IVJ720797 JFF720797 JPB720797 JYX720797 KIT720797 KSP720797 LCL720797 LMH720797 LWD720797 MFZ720797 MPV720797 MZR720797 NJN720797 NTJ720797 ODF720797 ONB720797 OWX720797 PGT720797 PQP720797 QAL720797 QKH720797 QUD720797 RDZ720797 RNV720797 RXR720797 SHN720797 SRJ720797 TBF720797 TLB720797 TUX720797 UET720797 UOP720797 UYL720797 VIH720797 VSD720797 WBZ720797 WLV720797 WVR720797 J786333 JF786333 TB786333 ACX786333 AMT786333 AWP786333 BGL786333 BQH786333 CAD786333 CJZ786333 CTV786333 DDR786333 DNN786333 DXJ786333 EHF786333 ERB786333 FAX786333 FKT786333 FUP786333 GEL786333 GOH786333 GYD786333 HHZ786333 HRV786333 IBR786333 ILN786333 IVJ786333 JFF786333 JPB786333 JYX786333 KIT786333 KSP786333 LCL786333 LMH786333 LWD786333 MFZ786333 MPV786333 MZR786333 NJN786333 NTJ786333 ODF786333 ONB786333 OWX786333 PGT786333 PQP786333 QAL786333 QKH786333 QUD786333 RDZ786333 RNV786333 RXR786333 SHN786333 SRJ786333 TBF786333 TLB786333 TUX786333 UET786333 UOP786333 UYL786333 VIH786333 VSD786333 WBZ786333 WLV786333 WVR786333 J851869 JF851869 TB851869 ACX851869 AMT851869 AWP851869 BGL851869 BQH851869 CAD851869 CJZ851869 CTV851869 DDR851869 DNN851869 DXJ851869 EHF851869 ERB851869 FAX851869 FKT851869 FUP851869 GEL851869 GOH851869 GYD851869 HHZ851869 HRV851869 IBR851869 ILN851869 IVJ851869 JFF851869 JPB851869 JYX851869 KIT851869 KSP851869 LCL851869 LMH851869 LWD851869 MFZ851869 MPV851869 MZR851869 NJN851869 NTJ851869 ODF851869 ONB851869 OWX851869 PGT851869 PQP851869 QAL851869 QKH851869 QUD851869 RDZ851869 RNV851869 RXR851869 SHN851869 SRJ851869 TBF851869 TLB851869 TUX851869 UET851869 UOP851869 UYL851869 VIH851869 VSD851869 WBZ851869 WLV851869 WVR851869 J917405 JF917405 TB917405 ACX917405 AMT917405 AWP917405 BGL917405 BQH917405 CAD917405 CJZ917405 CTV917405 DDR917405 DNN917405 DXJ917405 EHF917405 ERB917405 FAX917405 FKT917405 FUP917405 GEL917405 GOH917405 GYD917405 HHZ917405 HRV917405 IBR917405 ILN917405 IVJ917405 JFF917405 JPB917405 JYX917405 KIT917405 KSP917405 LCL917405 LMH917405 LWD917405 MFZ917405 MPV917405 MZR917405 NJN917405 NTJ917405 ODF917405 ONB917405 OWX917405 PGT917405 PQP917405 QAL917405 QKH917405 QUD917405 RDZ917405 RNV917405 RXR917405 SHN917405 SRJ917405 TBF917405 TLB917405 TUX917405 UET917405 UOP917405 UYL917405 VIH917405 VSD917405 WBZ917405 WLV917405 WVR917405 J982941 JF982941 TB982941 ACX982941 AMT982941 AWP982941 BGL982941 BQH982941 CAD982941 CJZ982941 CTV982941 DDR982941 DNN982941 DXJ982941 EHF982941 ERB982941 FAX982941 FKT982941 FUP982941 GEL982941 GOH982941 GYD982941 HHZ982941 HRV982941 IBR982941 ILN982941 IVJ982941 JFF982941 JPB982941 JYX982941 KIT982941 KSP982941 LCL982941 LMH982941 LWD982941 MFZ982941 MPV982941 MZR982941 NJN982941 NTJ982941 ODF982941 ONB982941 OWX982941 PGT982941 PQP982941 QAL982941 QKH982941 QUD982941 RDZ982941 RNV982941 RXR982941 SHN982941 SRJ982941 TBF982941 TLB982941 TUX982941 UET982941 UOP982941 UYL982941 VIH982941 VSD982941 WBZ982941 WLV982941 WVR982941 J65535 JF65535 TB65535 ACX65535 AMT65535 AWP65535 BGL65535 BQH65535 CAD65535 CJZ65535 CTV65535 DDR65535 DNN65535 DXJ65535 EHF65535 ERB65535 FAX65535 FKT65535 FUP65535 GEL65535 GOH65535 GYD65535 HHZ65535 HRV65535 IBR65535 ILN65535 IVJ65535 JFF65535 JPB65535 JYX65535 KIT65535 KSP65535 LCL65535 LMH65535 LWD65535 MFZ65535 MPV65535 MZR65535 NJN65535 NTJ65535 ODF65535 ONB65535 OWX65535 PGT65535 PQP65535 QAL65535 QKH65535 QUD65535 RDZ65535 RNV65535 RXR65535 SHN65535 SRJ65535 TBF65535 TLB65535 TUX65535 UET65535 UOP65535 UYL65535 VIH65535 VSD65535 WBZ65535 WLV65535 WVR65535 J131071 JF131071 TB131071 ACX131071 AMT131071 AWP131071 BGL131071 BQH131071 CAD131071 CJZ131071 CTV131071 DDR131071 DNN131071 DXJ131071 EHF131071 ERB131071 FAX131071 FKT131071 FUP131071 GEL131071 GOH131071 GYD131071 HHZ131071 HRV131071 IBR131071 ILN131071 IVJ131071 JFF131071 JPB131071 JYX131071 KIT131071 KSP131071 LCL131071 LMH131071 LWD131071 MFZ131071 MPV131071 MZR131071 NJN131071 NTJ131071 ODF131071 ONB131071 OWX131071 PGT131071 PQP131071 QAL131071 QKH131071 QUD131071 RDZ131071 RNV131071 RXR131071 SHN131071 SRJ131071 TBF131071 TLB131071 TUX131071 UET131071 UOP131071 UYL131071 VIH131071 VSD131071 WBZ131071 WLV131071 WVR131071 J196607 JF196607 TB196607 ACX196607 AMT196607 AWP196607 BGL196607 BQH196607 CAD196607 CJZ196607 CTV196607 DDR196607 DNN196607 DXJ196607 EHF196607 ERB196607 FAX196607 FKT196607 FUP196607 GEL196607 GOH196607 GYD196607 HHZ196607 HRV196607 IBR196607 ILN196607 IVJ196607 JFF196607 JPB196607 JYX196607 KIT196607 KSP196607 LCL196607 LMH196607 LWD196607 MFZ196607 MPV196607 MZR196607 NJN196607 NTJ196607 ODF196607 ONB196607 OWX196607 PGT196607 PQP196607 QAL196607 QKH196607 QUD196607 RDZ196607 RNV196607 RXR196607 SHN196607 SRJ196607 TBF196607 TLB196607 TUX196607 UET196607 UOP196607 UYL196607 VIH196607 VSD196607 WBZ196607 WLV196607 WVR196607 J262143 JF262143 TB262143 ACX262143 AMT262143 AWP262143 BGL262143 BQH262143 CAD262143 CJZ262143 CTV262143 DDR262143 DNN262143 DXJ262143 EHF262143 ERB262143 FAX262143 FKT262143 FUP262143 GEL262143 GOH262143 GYD262143 HHZ262143 HRV262143 IBR262143 ILN262143 IVJ262143 JFF262143 JPB262143 JYX262143 KIT262143 KSP262143 LCL262143 LMH262143 LWD262143 MFZ262143 MPV262143 MZR262143 NJN262143 NTJ262143 ODF262143 ONB262143 OWX262143 PGT262143 PQP262143 QAL262143 QKH262143 QUD262143 RDZ262143 RNV262143 RXR262143 SHN262143 SRJ262143 TBF262143 TLB262143 TUX262143 UET262143 UOP262143 UYL262143 VIH262143 VSD262143 WBZ262143 WLV262143 WVR262143 J327679 JF327679 TB327679 ACX327679 AMT327679 AWP327679 BGL327679 BQH327679 CAD327679 CJZ327679 CTV327679 DDR327679 DNN327679 DXJ327679 EHF327679 ERB327679 FAX327679 FKT327679 FUP327679 GEL327679 GOH327679 GYD327679 HHZ327679 HRV327679 IBR327679 ILN327679 IVJ327679 JFF327679 JPB327679 JYX327679 KIT327679 KSP327679 LCL327679 LMH327679 LWD327679 MFZ327679 MPV327679 MZR327679 NJN327679 NTJ327679 ODF327679 ONB327679 OWX327679 PGT327679 PQP327679 QAL327679 QKH327679 QUD327679 RDZ327679 RNV327679 RXR327679 SHN327679 SRJ327679 TBF327679 TLB327679 TUX327679 UET327679 UOP327679 UYL327679 VIH327679 VSD327679 WBZ327679 WLV327679 WVR327679 J393215 JF393215 TB393215 ACX393215 AMT393215 AWP393215 BGL393215 BQH393215 CAD393215 CJZ393215 CTV393215 DDR393215 DNN393215 DXJ393215 EHF393215 ERB393215 FAX393215 FKT393215 FUP393215 GEL393215 GOH393215 GYD393215 HHZ393215 HRV393215 IBR393215 ILN393215 IVJ393215 JFF393215 JPB393215 JYX393215 KIT393215 KSP393215 LCL393215 LMH393215 LWD393215 MFZ393215 MPV393215 MZR393215 NJN393215 NTJ393215 ODF393215 ONB393215 OWX393215 PGT393215 PQP393215 QAL393215 QKH393215 QUD393215 RDZ393215 RNV393215 RXR393215 SHN393215 SRJ393215 TBF393215 TLB393215 TUX393215 UET393215 UOP393215 UYL393215 VIH393215 VSD393215 WBZ393215 WLV393215 WVR393215 J458751 JF458751 TB458751 ACX458751 AMT458751 AWP458751 BGL458751 BQH458751 CAD458751 CJZ458751 CTV458751 DDR458751 DNN458751 DXJ458751 EHF458751 ERB458751 FAX458751 FKT458751 FUP458751 GEL458751 GOH458751 GYD458751 HHZ458751 HRV458751 IBR458751 ILN458751 IVJ458751 JFF458751 JPB458751 JYX458751 KIT458751 KSP458751 LCL458751 LMH458751 LWD458751 MFZ458751 MPV458751 MZR458751 NJN458751 NTJ458751 ODF458751 ONB458751 OWX458751 PGT458751 PQP458751 QAL458751 QKH458751 QUD458751 RDZ458751 RNV458751 RXR458751 SHN458751 SRJ458751 TBF458751 TLB458751 TUX458751 UET458751 UOP458751 UYL458751 VIH458751 VSD458751 WBZ458751 WLV458751 WVR458751 J524287 JF524287 TB524287 ACX524287 AMT524287 AWP524287 BGL524287 BQH524287 CAD524287 CJZ524287 CTV524287 DDR524287 DNN524287 DXJ524287 EHF524287 ERB524287 FAX524287 FKT524287 FUP524287 GEL524287 GOH524287 GYD524287 HHZ524287 HRV524287 IBR524287 ILN524287 IVJ524287 JFF524287 JPB524287 JYX524287 KIT524287 KSP524287 LCL524287 LMH524287 LWD524287 MFZ524287 MPV524287 MZR524287 NJN524287 NTJ524287 ODF524287 ONB524287 OWX524287 PGT524287 PQP524287 QAL524287 QKH524287 QUD524287 RDZ524287 RNV524287 RXR524287 SHN524287 SRJ524287 TBF524287 TLB524287 TUX524287 UET524287 UOP524287 UYL524287 VIH524287 VSD524287 WBZ524287 WLV524287 WVR524287 J589823 JF589823 TB589823 ACX589823 AMT589823 AWP589823 BGL589823 BQH589823 CAD589823 CJZ589823 CTV589823 DDR589823 DNN589823 DXJ589823 EHF589823 ERB589823 FAX589823 FKT589823 FUP589823 GEL589823 GOH589823 GYD589823 HHZ589823 HRV589823 IBR589823 ILN589823 IVJ589823 JFF589823 JPB589823 JYX589823 KIT589823 KSP589823 LCL589823 LMH589823 LWD589823 MFZ589823 MPV589823 MZR589823 NJN589823 NTJ589823 ODF589823 ONB589823 OWX589823 PGT589823 PQP589823 QAL589823 QKH589823 QUD589823 RDZ589823 RNV589823 RXR589823 SHN589823 SRJ589823 TBF589823 TLB589823 TUX589823 UET589823 UOP589823 UYL589823 VIH589823 VSD589823 WBZ589823 WLV589823 WVR589823 J655359 JF655359 TB655359 ACX655359 AMT655359 AWP655359 BGL655359 BQH655359 CAD655359 CJZ655359 CTV655359 DDR655359 DNN655359 DXJ655359 EHF655359 ERB655359 FAX655359 FKT655359 FUP655359 GEL655359 GOH655359 GYD655359 HHZ655359 HRV655359 IBR655359 ILN655359 IVJ655359 JFF655359 JPB655359 JYX655359 KIT655359 KSP655359 LCL655359 LMH655359 LWD655359 MFZ655359 MPV655359 MZR655359 NJN655359 NTJ655359 ODF655359 ONB655359 OWX655359 PGT655359 PQP655359 QAL655359 QKH655359 QUD655359 RDZ655359 RNV655359 RXR655359 SHN655359 SRJ655359 TBF655359 TLB655359 TUX655359 UET655359 UOP655359 UYL655359 VIH655359 VSD655359 WBZ655359 WLV655359 WVR655359 J720895 JF720895 TB720895 ACX720895 AMT720895 AWP720895 BGL720895 BQH720895 CAD720895 CJZ720895 CTV720895 DDR720895 DNN720895 DXJ720895 EHF720895 ERB720895 FAX720895 FKT720895 FUP720895 GEL720895 GOH720895 GYD720895 HHZ720895 HRV720895 IBR720895 ILN720895 IVJ720895 JFF720895 JPB720895 JYX720895 KIT720895 KSP720895 LCL720895 LMH720895 LWD720895 MFZ720895 MPV720895 MZR720895 NJN720895 NTJ720895 ODF720895 ONB720895 OWX720895 PGT720895 PQP720895 QAL720895 QKH720895 QUD720895 RDZ720895 RNV720895 RXR720895 SHN720895 SRJ720895 TBF720895 TLB720895 TUX720895 UET720895 UOP720895 UYL720895 VIH720895 VSD720895 WBZ720895 WLV720895 WVR720895 J786431 JF786431 TB786431 ACX786431 AMT786431 AWP786431 BGL786431 BQH786431 CAD786431 CJZ786431 CTV786431 DDR786431 DNN786431 DXJ786431 EHF786431 ERB786431 FAX786431 FKT786431 FUP786431 GEL786431 GOH786431 GYD786431 HHZ786431 HRV786431 IBR786431 ILN786431 IVJ786431 JFF786431 JPB786431 JYX786431 KIT786431 KSP786431 LCL786431 LMH786431 LWD786431 MFZ786431 MPV786431 MZR786431 NJN786431 NTJ786431 ODF786431 ONB786431 OWX786431 PGT786431 PQP786431 QAL786431 QKH786431 QUD786431 RDZ786431 RNV786431 RXR786431 SHN786431 SRJ786431 TBF786431 TLB786431 TUX786431 UET786431 UOP786431 UYL786431 VIH786431 VSD786431 WBZ786431 WLV786431 WVR786431 J851967 JF851967 TB851967 ACX851967 AMT851967 AWP851967 BGL851967 BQH851967 CAD851967 CJZ851967 CTV851967 DDR851967 DNN851967 DXJ851967 EHF851967 ERB851967 FAX851967 FKT851967 FUP851967 GEL851967 GOH851967 GYD851967 HHZ851967 HRV851967 IBR851967 ILN851967 IVJ851967 JFF851967 JPB851967 JYX851967 KIT851967 KSP851967 LCL851967 LMH851967 LWD851967 MFZ851967 MPV851967 MZR851967 NJN851967 NTJ851967 ODF851967 ONB851967 OWX851967 PGT851967 PQP851967 QAL851967 QKH851967 QUD851967 RDZ851967 RNV851967 RXR851967 SHN851967 SRJ851967 TBF851967 TLB851967 TUX851967 UET851967 UOP851967 UYL851967 VIH851967 VSD851967 WBZ851967 WLV851967 WVR851967 J917503 JF917503 TB917503 ACX917503 AMT917503 AWP917503 BGL917503 BQH917503 CAD917503 CJZ917503 CTV917503 DDR917503 DNN917503 DXJ917503 EHF917503 ERB917503 FAX917503 FKT917503 FUP917503 GEL917503 GOH917503 GYD917503 HHZ917503 HRV917503 IBR917503 ILN917503 IVJ917503 JFF917503 JPB917503 JYX917503 KIT917503 KSP917503 LCL917503 LMH917503 LWD917503 MFZ917503 MPV917503 MZR917503 NJN917503 NTJ917503 ODF917503 ONB917503 OWX917503 PGT917503 PQP917503 QAL917503 QKH917503 QUD917503 RDZ917503 RNV917503 RXR917503 SHN917503 SRJ917503 TBF917503 TLB917503 TUX917503 UET917503 UOP917503 UYL917503 VIH917503 VSD917503 WBZ917503 WLV917503 WVR917503 J983039 JF983039 TB983039 ACX983039 AMT983039 AWP983039 BGL983039 BQH983039 CAD983039 CJZ983039 CTV983039 DDR983039 DNN983039 DXJ983039 EHF983039 ERB983039 FAX983039 FKT983039 FUP983039 GEL983039 GOH983039 GYD983039 HHZ983039 HRV983039 IBR983039 ILN983039 IVJ983039 JFF983039 JPB983039 JYX983039 KIT983039 KSP983039 LCL983039 LMH983039 LWD983039 MFZ983039 MPV983039 MZR983039 NJN983039 NTJ983039 ODF983039 ONB983039 OWX983039 PGT983039 PQP983039 QAL983039 QKH983039 QUD983039 RDZ983039 RNV983039 RXR983039 SHN983039 SRJ983039 TBF983039 TLB983039 TUX983039 UET983039 UOP983039 UYL983039 VIH983039 VSD983039 WBZ983039 WLV983039 WVR983039" xr:uid="{00000000-0002-0000-0A00-000002000000}">
      <formula1>0</formula1>
      <formula2>0</formula2>
    </dataValidation>
    <dataValidation operator="equal" allowBlank="1" promptTitle="ATENÇÃO!" prompt="DIGITAR &quot; 1 &quot;" sqref="L65240 JH65240 TD65240 ACZ65240 AMV65240 AWR65240 BGN65240 BQJ65240 CAF65240 CKB65240 CTX65240 DDT65240 DNP65240 DXL65240 EHH65240 ERD65240 FAZ65240 FKV65240 FUR65240 GEN65240 GOJ65240 GYF65240 HIB65240 HRX65240 IBT65240 ILP65240 IVL65240 JFH65240 JPD65240 JYZ65240 KIV65240 KSR65240 LCN65240 LMJ65240 LWF65240 MGB65240 MPX65240 MZT65240 NJP65240 NTL65240 ODH65240 OND65240 OWZ65240 PGV65240 PQR65240 QAN65240 QKJ65240 QUF65240 REB65240 RNX65240 RXT65240 SHP65240 SRL65240 TBH65240 TLD65240 TUZ65240 UEV65240 UOR65240 UYN65240 VIJ65240 VSF65240 WCB65240 WLX65240 WVT65240 L130776 JH130776 TD130776 ACZ130776 AMV130776 AWR130776 BGN130776 BQJ130776 CAF130776 CKB130776 CTX130776 DDT130776 DNP130776 DXL130776 EHH130776 ERD130776 FAZ130776 FKV130776 FUR130776 GEN130776 GOJ130776 GYF130776 HIB130776 HRX130776 IBT130776 ILP130776 IVL130776 JFH130776 JPD130776 JYZ130776 KIV130776 KSR130776 LCN130776 LMJ130776 LWF130776 MGB130776 MPX130776 MZT130776 NJP130776 NTL130776 ODH130776 OND130776 OWZ130776 PGV130776 PQR130776 QAN130776 QKJ130776 QUF130776 REB130776 RNX130776 RXT130776 SHP130776 SRL130776 TBH130776 TLD130776 TUZ130776 UEV130776 UOR130776 UYN130776 VIJ130776 VSF130776 WCB130776 WLX130776 WVT130776 L196312 JH196312 TD196312 ACZ196312 AMV196312 AWR196312 BGN196312 BQJ196312 CAF196312 CKB196312 CTX196312 DDT196312 DNP196312 DXL196312 EHH196312 ERD196312 FAZ196312 FKV196312 FUR196312 GEN196312 GOJ196312 GYF196312 HIB196312 HRX196312 IBT196312 ILP196312 IVL196312 JFH196312 JPD196312 JYZ196312 KIV196312 KSR196312 LCN196312 LMJ196312 LWF196312 MGB196312 MPX196312 MZT196312 NJP196312 NTL196312 ODH196312 OND196312 OWZ196312 PGV196312 PQR196312 QAN196312 QKJ196312 QUF196312 REB196312 RNX196312 RXT196312 SHP196312 SRL196312 TBH196312 TLD196312 TUZ196312 UEV196312 UOR196312 UYN196312 VIJ196312 VSF196312 WCB196312 WLX196312 WVT196312 L261848 JH261848 TD261848 ACZ261848 AMV261848 AWR261848 BGN261848 BQJ261848 CAF261848 CKB261848 CTX261848 DDT261848 DNP261848 DXL261848 EHH261848 ERD261848 FAZ261848 FKV261848 FUR261848 GEN261848 GOJ261848 GYF261848 HIB261848 HRX261848 IBT261848 ILP261848 IVL261848 JFH261848 JPD261848 JYZ261848 KIV261848 KSR261848 LCN261848 LMJ261848 LWF261848 MGB261848 MPX261848 MZT261848 NJP261848 NTL261848 ODH261848 OND261848 OWZ261848 PGV261848 PQR261848 QAN261848 QKJ261848 QUF261848 REB261848 RNX261848 RXT261848 SHP261848 SRL261848 TBH261848 TLD261848 TUZ261848 UEV261848 UOR261848 UYN261848 VIJ261848 VSF261848 WCB261848 WLX261848 WVT261848 L327384 JH327384 TD327384 ACZ327384 AMV327384 AWR327384 BGN327384 BQJ327384 CAF327384 CKB327384 CTX327384 DDT327384 DNP327384 DXL327384 EHH327384 ERD327384 FAZ327384 FKV327384 FUR327384 GEN327384 GOJ327384 GYF327384 HIB327384 HRX327384 IBT327384 ILP327384 IVL327384 JFH327384 JPD327384 JYZ327384 KIV327384 KSR327384 LCN327384 LMJ327384 LWF327384 MGB327384 MPX327384 MZT327384 NJP327384 NTL327384 ODH327384 OND327384 OWZ327384 PGV327384 PQR327384 QAN327384 QKJ327384 QUF327384 REB327384 RNX327384 RXT327384 SHP327384 SRL327384 TBH327384 TLD327384 TUZ327384 UEV327384 UOR327384 UYN327384 VIJ327384 VSF327384 WCB327384 WLX327384 WVT327384 L392920 JH392920 TD392920 ACZ392920 AMV392920 AWR392920 BGN392920 BQJ392920 CAF392920 CKB392920 CTX392920 DDT392920 DNP392920 DXL392920 EHH392920 ERD392920 FAZ392920 FKV392920 FUR392920 GEN392920 GOJ392920 GYF392920 HIB392920 HRX392920 IBT392920 ILP392920 IVL392920 JFH392920 JPD392920 JYZ392920 KIV392920 KSR392920 LCN392920 LMJ392920 LWF392920 MGB392920 MPX392920 MZT392920 NJP392920 NTL392920 ODH392920 OND392920 OWZ392920 PGV392920 PQR392920 QAN392920 QKJ392920 QUF392920 REB392920 RNX392920 RXT392920 SHP392920 SRL392920 TBH392920 TLD392920 TUZ392920 UEV392920 UOR392920 UYN392920 VIJ392920 VSF392920 WCB392920 WLX392920 WVT392920 L458456 JH458456 TD458456 ACZ458456 AMV458456 AWR458456 BGN458456 BQJ458456 CAF458456 CKB458456 CTX458456 DDT458456 DNP458456 DXL458456 EHH458456 ERD458456 FAZ458456 FKV458456 FUR458456 GEN458456 GOJ458456 GYF458456 HIB458456 HRX458456 IBT458456 ILP458456 IVL458456 JFH458456 JPD458456 JYZ458456 KIV458456 KSR458456 LCN458456 LMJ458456 LWF458456 MGB458456 MPX458456 MZT458456 NJP458456 NTL458456 ODH458456 OND458456 OWZ458456 PGV458456 PQR458456 QAN458456 QKJ458456 QUF458456 REB458456 RNX458456 RXT458456 SHP458456 SRL458456 TBH458456 TLD458456 TUZ458456 UEV458456 UOR458456 UYN458456 VIJ458456 VSF458456 WCB458456 WLX458456 WVT458456 L523992 JH523992 TD523992 ACZ523992 AMV523992 AWR523992 BGN523992 BQJ523992 CAF523992 CKB523992 CTX523992 DDT523992 DNP523992 DXL523992 EHH523992 ERD523992 FAZ523992 FKV523992 FUR523992 GEN523992 GOJ523992 GYF523992 HIB523992 HRX523992 IBT523992 ILP523992 IVL523992 JFH523992 JPD523992 JYZ523992 KIV523992 KSR523992 LCN523992 LMJ523992 LWF523992 MGB523992 MPX523992 MZT523992 NJP523992 NTL523992 ODH523992 OND523992 OWZ523992 PGV523992 PQR523992 QAN523992 QKJ523992 QUF523992 REB523992 RNX523992 RXT523992 SHP523992 SRL523992 TBH523992 TLD523992 TUZ523992 UEV523992 UOR523992 UYN523992 VIJ523992 VSF523992 WCB523992 WLX523992 WVT523992 L589528 JH589528 TD589528 ACZ589528 AMV589528 AWR589528 BGN589528 BQJ589528 CAF589528 CKB589528 CTX589528 DDT589528 DNP589528 DXL589528 EHH589528 ERD589528 FAZ589528 FKV589528 FUR589528 GEN589528 GOJ589528 GYF589528 HIB589528 HRX589528 IBT589528 ILP589528 IVL589528 JFH589528 JPD589528 JYZ589528 KIV589528 KSR589528 LCN589528 LMJ589528 LWF589528 MGB589528 MPX589528 MZT589528 NJP589528 NTL589528 ODH589528 OND589528 OWZ589528 PGV589528 PQR589528 QAN589528 QKJ589528 QUF589528 REB589528 RNX589528 RXT589528 SHP589528 SRL589528 TBH589528 TLD589528 TUZ589528 UEV589528 UOR589528 UYN589528 VIJ589528 VSF589528 WCB589528 WLX589528 WVT589528 L655064 JH655064 TD655064 ACZ655064 AMV655064 AWR655064 BGN655064 BQJ655064 CAF655064 CKB655064 CTX655064 DDT655064 DNP655064 DXL655064 EHH655064 ERD655064 FAZ655064 FKV655064 FUR655064 GEN655064 GOJ655064 GYF655064 HIB655064 HRX655064 IBT655064 ILP655064 IVL655064 JFH655064 JPD655064 JYZ655064 KIV655064 KSR655064 LCN655064 LMJ655064 LWF655064 MGB655064 MPX655064 MZT655064 NJP655064 NTL655064 ODH655064 OND655064 OWZ655064 PGV655064 PQR655064 QAN655064 QKJ655064 QUF655064 REB655064 RNX655064 RXT655064 SHP655064 SRL655064 TBH655064 TLD655064 TUZ655064 UEV655064 UOR655064 UYN655064 VIJ655064 VSF655064 WCB655064 WLX655064 WVT655064 L720600 JH720600 TD720600 ACZ720600 AMV720600 AWR720600 BGN720600 BQJ720600 CAF720600 CKB720600 CTX720600 DDT720600 DNP720600 DXL720600 EHH720600 ERD720600 FAZ720600 FKV720600 FUR720600 GEN720600 GOJ720600 GYF720600 HIB720600 HRX720600 IBT720600 ILP720600 IVL720600 JFH720600 JPD720600 JYZ720600 KIV720600 KSR720600 LCN720600 LMJ720600 LWF720600 MGB720600 MPX720600 MZT720600 NJP720600 NTL720600 ODH720600 OND720600 OWZ720600 PGV720600 PQR720600 QAN720600 QKJ720600 QUF720600 REB720600 RNX720600 RXT720600 SHP720600 SRL720600 TBH720600 TLD720600 TUZ720600 UEV720600 UOR720600 UYN720600 VIJ720600 VSF720600 WCB720600 WLX720600 WVT720600 L786136 JH786136 TD786136 ACZ786136 AMV786136 AWR786136 BGN786136 BQJ786136 CAF786136 CKB786136 CTX786136 DDT786136 DNP786136 DXL786136 EHH786136 ERD786136 FAZ786136 FKV786136 FUR786136 GEN786136 GOJ786136 GYF786136 HIB786136 HRX786136 IBT786136 ILP786136 IVL786136 JFH786136 JPD786136 JYZ786136 KIV786136 KSR786136 LCN786136 LMJ786136 LWF786136 MGB786136 MPX786136 MZT786136 NJP786136 NTL786136 ODH786136 OND786136 OWZ786136 PGV786136 PQR786136 QAN786136 QKJ786136 QUF786136 REB786136 RNX786136 RXT786136 SHP786136 SRL786136 TBH786136 TLD786136 TUZ786136 UEV786136 UOR786136 UYN786136 VIJ786136 VSF786136 WCB786136 WLX786136 WVT786136 L851672 JH851672 TD851672 ACZ851672 AMV851672 AWR851672 BGN851672 BQJ851672 CAF851672 CKB851672 CTX851672 DDT851672 DNP851672 DXL851672 EHH851672 ERD851672 FAZ851672 FKV851672 FUR851672 GEN851672 GOJ851672 GYF851672 HIB851672 HRX851672 IBT851672 ILP851672 IVL851672 JFH851672 JPD851672 JYZ851672 KIV851672 KSR851672 LCN851672 LMJ851672 LWF851672 MGB851672 MPX851672 MZT851672 NJP851672 NTL851672 ODH851672 OND851672 OWZ851672 PGV851672 PQR851672 QAN851672 QKJ851672 QUF851672 REB851672 RNX851672 RXT851672 SHP851672 SRL851672 TBH851672 TLD851672 TUZ851672 UEV851672 UOR851672 UYN851672 VIJ851672 VSF851672 WCB851672 WLX851672 WVT851672 L917208 JH917208 TD917208 ACZ917208 AMV917208 AWR917208 BGN917208 BQJ917208 CAF917208 CKB917208 CTX917208 DDT917208 DNP917208 DXL917208 EHH917208 ERD917208 FAZ917208 FKV917208 FUR917208 GEN917208 GOJ917208 GYF917208 HIB917208 HRX917208 IBT917208 ILP917208 IVL917208 JFH917208 JPD917208 JYZ917208 KIV917208 KSR917208 LCN917208 LMJ917208 LWF917208 MGB917208 MPX917208 MZT917208 NJP917208 NTL917208 ODH917208 OND917208 OWZ917208 PGV917208 PQR917208 QAN917208 QKJ917208 QUF917208 REB917208 RNX917208 RXT917208 SHP917208 SRL917208 TBH917208 TLD917208 TUZ917208 UEV917208 UOR917208 UYN917208 VIJ917208 VSF917208 WCB917208 WLX917208 WVT917208 L982744 JH982744 TD982744 ACZ982744 AMV982744 AWR982744 BGN982744 BQJ982744 CAF982744 CKB982744 CTX982744 DDT982744 DNP982744 DXL982744 EHH982744 ERD982744 FAZ982744 FKV982744 FUR982744 GEN982744 GOJ982744 GYF982744 HIB982744 HRX982744 IBT982744 ILP982744 IVL982744 JFH982744 JPD982744 JYZ982744 KIV982744 KSR982744 LCN982744 LMJ982744 LWF982744 MGB982744 MPX982744 MZT982744 NJP982744 NTL982744 ODH982744 OND982744 OWZ982744 PGV982744 PQR982744 QAN982744 QKJ982744 QUF982744 REB982744 RNX982744 RXT982744 SHP982744 SRL982744 TBH982744 TLD982744 TUZ982744 UEV982744 UOR982744 UYN982744 VIJ982744 VSF982744 WCB982744 WLX982744 WVT982744 L65338 JH65338 TD65338 ACZ65338 AMV65338 AWR65338 BGN65338 BQJ65338 CAF65338 CKB65338 CTX65338 DDT65338 DNP65338 DXL65338 EHH65338 ERD65338 FAZ65338 FKV65338 FUR65338 GEN65338 GOJ65338 GYF65338 HIB65338 HRX65338 IBT65338 ILP65338 IVL65338 JFH65338 JPD65338 JYZ65338 KIV65338 KSR65338 LCN65338 LMJ65338 LWF65338 MGB65338 MPX65338 MZT65338 NJP65338 NTL65338 ODH65338 OND65338 OWZ65338 PGV65338 PQR65338 QAN65338 QKJ65338 QUF65338 REB65338 RNX65338 RXT65338 SHP65338 SRL65338 TBH65338 TLD65338 TUZ65338 UEV65338 UOR65338 UYN65338 VIJ65338 VSF65338 WCB65338 WLX65338 WVT65338 L130874 JH130874 TD130874 ACZ130874 AMV130874 AWR130874 BGN130874 BQJ130874 CAF130874 CKB130874 CTX130874 DDT130874 DNP130874 DXL130874 EHH130874 ERD130874 FAZ130874 FKV130874 FUR130874 GEN130874 GOJ130874 GYF130874 HIB130874 HRX130874 IBT130874 ILP130874 IVL130874 JFH130874 JPD130874 JYZ130874 KIV130874 KSR130874 LCN130874 LMJ130874 LWF130874 MGB130874 MPX130874 MZT130874 NJP130874 NTL130874 ODH130874 OND130874 OWZ130874 PGV130874 PQR130874 QAN130874 QKJ130874 QUF130874 REB130874 RNX130874 RXT130874 SHP130874 SRL130874 TBH130874 TLD130874 TUZ130874 UEV130874 UOR130874 UYN130874 VIJ130874 VSF130874 WCB130874 WLX130874 WVT130874 L196410 JH196410 TD196410 ACZ196410 AMV196410 AWR196410 BGN196410 BQJ196410 CAF196410 CKB196410 CTX196410 DDT196410 DNP196410 DXL196410 EHH196410 ERD196410 FAZ196410 FKV196410 FUR196410 GEN196410 GOJ196410 GYF196410 HIB196410 HRX196410 IBT196410 ILP196410 IVL196410 JFH196410 JPD196410 JYZ196410 KIV196410 KSR196410 LCN196410 LMJ196410 LWF196410 MGB196410 MPX196410 MZT196410 NJP196410 NTL196410 ODH196410 OND196410 OWZ196410 PGV196410 PQR196410 QAN196410 QKJ196410 QUF196410 REB196410 RNX196410 RXT196410 SHP196410 SRL196410 TBH196410 TLD196410 TUZ196410 UEV196410 UOR196410 UYN196410 VIJ196410 VSF196410 WCB196410 WLX196410 WVT196410 L261946 JH261946 TD261946 ACZ261946 AMV261946 AWR261946 BGN261946 BQJ261946 CAF261946 CKB261946 CTX261946 DDT261946 DNP261946 DXL261946 EHH261946 ERD261946 FAZ261946 FKV261946 FUR261946 GEN261946 GOJ261946 GYF261946 HIB261946 HRX261946 IBT261946 ILP261946 IVL261946 JFH261946 JPD261946 JYZ261946 KIV261946 KSR261946 LCN261946 LMJ261946 LWF261946 MGB261946 MPX261946 MZT261946 NJP261946 NTL261946 ODH261946 OND261946 OWZ261946 PGV261946 PQR261946 QAN261946 QKJ261946 QUF261946 REB261946 RNX261946 RXT261946 SHP261946 SRL261946 TBH261946 TLD261946 TUZ261946 UEV261946 UOR261946 UYN261946 VIJ261946 VSF261946 WCB261946 WLX261946 WVT261946 L327482 JH327482 TD327482 ACZ327482 AMV327482 AWR327482 BGN327482 BQJ327482 CAF327482 CKB327482 CTX327482 DDT327482 DNP327482 DXL327482 EHH327482 ERD327482 FAZ327482 FKV327482 FUR327482 GEN327482 GOJ327482 GYF327482 HIB327482 HRX327482 IBT327482 ILP327482 IVL327482 JFH327482 JPD327482 JYZ327482 KIV327482 KSR327482 LCN327482 LMJ327482 LWF327482 MGB327482 MPX327482 MZT327482 NJP327482 NTL327482 ODH327482 OND327482 OWZ327482 PGV327482 PQR327482 QAN327482 QKJ327482 QUF327482 REB327482 RNX327482 RXT327482 SHP327482 SRL327482 TBH327482 TLD327482 TUZ327482 UEV327482 UOR327482 UYN327482 VIJ327482 VSF327482 WCB327482 WLX327482 WVT327482 L393018 JH393018 TD393018 ACZ393018 AMV393018 AWR393018 BGN393018 BQJ393018 CAF393018 CKB393018 CTX393018 DDT393018 DNP393018 DXL393018 EHH393018 ERD393018 FAZ393018 FKV393018 FUR393018 GEN393018 GOJ393018 GYF393018 HIB393018 HRX393018 IBT393018 ILP393018 IVL393018 JFH393018 JPD393018 JYZ393018 KIV393018 KSR393018 LCN393018 LMJ393018 LWF393018 MGB393018 MPX393018 MZT393018 NJP393018 NTL393018 ODH393018 OND393018 OWZ393018 PGV393018 PQR393018 QAN393018 QKJ393018 QUF393018 REB393018 RNX393018 RXT393018 SHP393018 SRL393018 TBH393018 TLD393018 TUZ393018 UEV393018 UOR393018 UYN393018 VIJ393018 VSF393018 WCB393018 WLX393018 WVT393018 L458554 JH458554 TD458554 ACZ458554 AMV458554 AWR458554 BGN458554 BQJ458554 CAF458554 CKB458554 CTX458554 DDT458554 DNP458554 DXL458554 EHH458554 ERD458554 FAZ458554 FKV458554 FUR458554 GEN458554 GOJ458554 GYF458554 HIB458554 HRX458554 IBT458554 ILP458554 IVL458554 JFH458554 JPD458554 JYZ458554 KIV458554 KSR458554 LCN458554 LMJ458554 LWF458554 MGB458554 MPX458554 MZT458554 NJP458554 NTL458554 ODH458554 OND458554 OWZ458554 PGV458554 PQR458554 QAN458554 QKJ458554 QUF458554 REB458554 RNX458554 RXT458554 SHP458554 SRL458554 TBH458554 TLD458554 TUZ458554 UEV458554 UOR458554 UYN458554 VIJ458554 VSF458554 WCB458554 WLX458554 WVT458554 L524090 JH524090 TD524090 ACZ524090 AMV524090 AWR524090 BGN524090 BQJ524090 CAF524090 CKB524090 CTX524090 DDT524090 DNP524090 DXL524090 EHH524090 ERD524090 FAZ524090 FKV524090 FUR524090 GEN524090 GOJ524090 GYF524090 HIB524090 HRX524090 IBT524090 ILP524090 IVL524090 JFH524090 JPD524090 JYZ524090 KIV524090 KSR524090 LCN524090 LMJ524090 LWF524090 MGB524090 MPX524090 MZT524090 NJP524090 NTL524090 ODH524090 OND524090 OWZ524090 PGV524090 PQR524090 QAN524090 QKJ524090 QUF524090 REB524090 RNX524090 RXT524090 SHP524090 SRL524090 TBH524090 TLD524090 TUZ524090 UEV524090 UOR524090 UYN524090 VIJ524090 VSF524090 WCB524090 WLX524090 WVT524090 L589626 JH589626 TD589626 ACZ589626 AMV589626 AWR589626 BGN589626 BQJ589626 CAF589626 CKB589626 CTX589626 DDT589626 DNP589626 DXL589626 EHH589626 ERD589626 FAZ589626 FKV589626 FUR589626 GEN589626 GOJ589626 GYF589626 HIB589626 HRX589626 IBT589626 ILP589626 IVL589626 JFH589626 JPD589626 JYZ589626 KIV589626 KSR589626 LCN589626 LMJ589626 LWF589626 MGB589626 MPX589626 MZT589626 NJP589626 NTL589626 ODH589626 OND589626 OWZ589626 PGV589626 PQR589626 QAN589626 QKJ589626 QUF589626 REB589626 RNX589626 RXT589626 SHP589626 SRL589626 TBH589626 TLD589626 TUZ589626 UEV589626 UOR589626 UYN589626 VIJ589626 VSF589626 WCB589626 WLX589626 WVT589626 L655162 JH655162 TD655162 ACZ655162 AMV655162 AWR655162 BGN655162 BQJ655162 CAF655162 CKB655162 CTX655162 DDT655162 DNP655162 DXL655162 EHH655162 ERD655162 FAZ655162 FKV655162 FUR655162 GEN655162 GOJ655162 GYF655162 HIB655162 HRX655162 IBT655162 ILP655162 IVL655162 JFH655162 JPD655162 JYZ655162 KIV655162 KSR655162 LCN655162 LMJ655162 LWF655162 MGB655162 MPX655162 MZT655162 NJP655162 NTL655162 ODH655162 OND655162 OWZ655162 PGV655162 PQR655162 QAN655162 QKJ655162 QUF655162 REB655162 RNX655162 RXT655162 SHP655162 SRL655162 TBH655162 TLD655162 TUZ655162 UEV655162 UOR655162 UYN655162 VIJ655162 VSF655162 WCB655162 WLX655162 WVT655162 L720698 JH720698 TD720698 ACZ720698 AMV720698 AWR720698 BGN720698 BQJ720698 CAF720698 CKB720698 CTX720698 DDT720698 DNP720698 DXL720698 EHH720698 ERD720698 FAZ720698 FKV720698 FUR720698 GEN720698 GOJ720698 GYF720698 HIB720698 HRX720698 IBT720698 ILP720698 IVL720698 JFH720698 JPD720698 JYZ720698 KIV720698 KSR720698 LCN720698 LMJ720698 LWF720698 MGB720698 MPX720698 MZT720698 NJP720698 NTL720698 ODH720698 OND720698 OWZ720698 PGV720698 PQR720698 QAN720698 QKJ720698 QUF720698 REB720698 RNX720698 RXT720698 SHP720698 SRL720698 TBH720698 TLD720698 TUZ720698 UEV720698 UOR720698 UYN720698 VIJ720698 VSF720698 WCB720698 WLX720698 WVT720698 L786234 JH786234 TD786234 ACZ786234 AMV786234 AWR786234 BGN786234 BQJ786234 CAF786234 CKB786234 CTX786234 DDT786234 DNP786234 DXL786234 EHH786234 ERD786234 FAZ786234 FKV786234 FUR786234 GEN786234 GOJ786234 GYF786234 HIB786234 HRX786234 IBT786234 ILP786234 IVL786234 JFH786234 JPD786234 JYZ786234 KIV786234 KSR786234 LCN786234 LMJ786234 LWF786234 MGB786234 MPX786234 MZT786234 NJP786234 NTL786234 ODH786234 OND786234 OWZ786234 PGV786234 PQR786234 QAN786234 QKJ786234 QUF786234 REB786234 RNX786234 RXT786234 SHP786234 SRL786234 TBH786234 TLD786234 TUZ786234 UEV786234 UOR786234 UYN786234 VIJ786234 VSF786234 WCB786234 WLX786234 WVT786234 L851770 JH851770 TD851770 ACZ851770 AMV851770 AWR851770 BGN851770 BQJ851770 CAF851770 CKB851770 CTX851770 DDT851770 DNP851770 DXL851770 EHH851770 ERD851770 FAZ851770 FKV851770 FUR851770 GEN851770 GOJ851770 GYF851770 HIB851770 HRX851770 IBT851770 ILP851770 IVL851770 JFH851770 JPD851770 JYZ851770 KIV851770 KSR851770 LCN851770 LMJ851770 LWF851770 MGB851770 MPX851770 MZT851770 NJP851770 NTL851770 ODH851770 OND851770 OWZ851770 PGV851770 PQR851770 QAN851770 QKJ851770 QUF851770 REB851770 RNX851770 RXT851770 SHP851770 SRL851770 TBH851770 TLD851770 TUZ851770 UEV851770 UOR851770 UYN851770 VIJ851770 VSF851770 WCB851770 WLX851770 WVT851770 L917306 JH917306 TD917306 ACZ917306 AMV917306 AWR917306 BGN917306 BQJ917306 CAF917306 CKB917306 CTX917306 DDT917306 DNP917306 DXL917306 EHH917306 ERD917306 FAZ917306 FKV917306 FUR917306 GEN917306 GOJ917306 GYF917306 HIB917306 HRX917306 IBT917306 ILP917306 IVL917306 JFH917306 JPD917306 JYZ917306 KIV917306 KSR917306 LCN917306 LMJ917306 LWF917306 MGB917306 MPX917306 MZT917306 NJP917306 NTL917306 ODH917306 OND917306 OWZ917306 PGV917306 PQR917306 QAN917306 QKJ917306 QUF917306 REB917306 RNX917306 RXT917306 SHP917306 SRL917306 TBH917306 TLD917306 TUZ917306 UEV917306 UOR917306 UYN917306 VIJ917306 VSF917306 WCB917306 WLX917306 WVT917306 L982842 JH982842 TD982842 ACZ982842 AMV982842 AWR982842 BGN982842 BQJ982842 CAF982842 CKB982842 CTX982842 DDT982842 DNP982842 DXL982842 EHH982842 ERD982842 FAZ982842 FKV982842 FUR982842 GEN982842 GOJ982842 GYF982842 HIB982842 HRX982842 IBT982842 ILP982842 IVL982842 JFH982842 JPD982842 JYZ982842 KIV982842 KSR982842 LCN982842 LMJ982842 LWF982842 MGB982842 MPX982842 MZT982842 NJP982842 NTL982842 ODH982842 OND982842 OWZ982842 PGV982842 PQR982842 QAN982842 QKJ982842 QUF982842 REB982842 RNX982842 RXT982842 SHP982842 SRL982842 TBH982842 TLD982842 TUZ982842 UEV982842 UOR982842 UYN982842 VIJ982842 VSF982842 WCB982842 WLX982842 WVT982842 L65437 JH65437 TD65437 ACZ65437 AMV65437 AWR65437 BGN65437 BQJ65437 CAF65437 CKB65437 CTX65437 DDT65437 DNP65437 DXL65437 EHH65437 ERD65437 FAZ65437 FKV65437 FUR65437 GEN65437 GOJ65437 GYF65437 HIB65437 HRX65437 IBT65437 ILP65437 IVL65437 JFH65437 JPD65437 JYZ65437 KIV65437 KSR65437 LCN65437 LMJ65437 LWF65437 MGB65437 MPX65437 MZT65437 NJP65437 NTL65437 ODH65437 OND65437 OWZ65437 PGV65437 PQR65437 QAN65437 QKJ65437 QUF65437 REB65437 RNX65437 RXT65437 SHP65437 SRL65437 TBH65437 TLD65437 TUZ65437 UEV65437 UOR65437 UYN65437 VIJ65437 VSF65437 WCB65437 WLX65437 WVT65437 L130973 JH130973 TD130973 ACZ130973 AMV130973 AWR130973 BGN130973 BQJ130973 CAF130973 CKB130973 CTX130973 DDT130973 DNP130973 DXL130973 EHH130973 ERD130973 FAZ130973 FKV130973 FUR130973 GEN130973 GOJ130973 GYF130973 HIB130973 HRX130973 IBT130973 ILP130973 IVL130973 JFH130973 JPD130973 JYZ130973 KIV130973 KSR130973 LCN130973 LMJ130973 LWF130973 MGB130973 MPX130973 MZT130973 NJP130973 NTL130973 ODH130973 OND130973 OWZ130973 PGV130973 PQR130973 QAN130973 QKJ130973 QUF130973 REB130973 RNX130973 RXT130973 SHP130973 SRL130973 TBH130973 TLD130973 TUZ130973 UEV130973 UOR130973 UYN130973 VIJ130973 VSF130973 WCB130973 WLX130973 WVT130973 L196509 JH196509 TD196509 ACZ196509 AMV196509 AWR196509 BGN196509 BQJ196509 CAF196509 CKB196509 CTX196509 DDT196509 DNP196509 DXL196509 EHH196509 ERD196509 FAZ196509 FKV196509 FUR196509 GEN196509 GOJ196509 GYF196509 HIB196509 HRX196509 IBT196509 ILP196509 IVL196509 JFH196509 JPD196509 JYZ196509 KIV196509 KSR196509 LCN196509 LMJ196509 LWF196509 MGB196509 MPX196509 MZT196509 NJP196509 NTL196509 ODH196509 OND196509 OWZ196509 PGV196509 PQR196509 QAN196509 QKJ196509 QUF196509 REB196509 RNX196509 RXT196509 SHP196509 SRL196509 TBH196509 TLD196509 TUZ196509 UEV196509 UOR196509 UYN196509 VIJ196509 VSF196509 WCB196509 WLX196509 WVT196509 L262045 JH262045 TD262045 ACZ262045 AMV262045 AWR262045 BGN262045 BQJ262045 CAF262045 CKB262045 CTX262045 DDT262045 DNP262045 DXL262045 EHH262045 ERD262045 FAZ262045 FKV262045 FUR262045 GEN262045 GOJ262045 GYF262045 HIB262045 HRX262045 IBT262045 ILP262045 IVL262045 JFH262045 JPD262045 JYZ262045 KIV262045 KSR262045 LCN262045 LMJ262045 LWF262045 MGB262045 MPX262045 MZT262045 NJP262045 NTL262045 ODH262045 OND262045 OWZ262045 PGV262045 PQR262045 QAN262045 QKJ262045 QUF262045 REB262045 RNX262045 RXT262045 SHP262045 SRL262045 TBH262045 TLD262045 TUZ262045 UEV262045 UOR262045 UYN262045 VIJ262045 VSF262045 WCB262045 WLX262045 WVT262045 L327581 JH327581 TD327581 ACZ327581 AMV327581 AWR327581 BGN327581 BQJ327581 CAF327581 CKB327581 CTX327581 DDT327581 DNP327581 DXL327581 EHH327581 ERD327581 FAZ327581 FKV327581 FUR327581 GEN327581 GOJ327581 GYF327581 HIB327581 HRX327581 IBT327581 ILP327581 IVL327581 JFH327581 JPD327581 JYZ327581 KIV327581 KSR327581 LCN327581 LMJ327581 LWF327581 MGB327581 MPX327581 MZT327581 NJP327581 NTL327581 ODH327581 OND327581 OWZ327581 PGV327581 PQR327581 QAN327581 QKJ327581 QUF327581 REB327581 RNX327581 RXT327581 SHP327581 SRL327581 TBH327581 TLD327581 TUZ327581 UEV327581 UOR327581 UYN327581 VIJ327581 VSF327581 WCB327581 WLX327581 WVT327581 L393117 JH393117 TD393117 ACZ393117 AMV393117 AWR393117 BGN393117 BQJ393117 CAF393117 CKB393117 CTX393117 DDT393117 DNP393117 DXL393117 EHH393117 ERD393117 FAZ393117 FKV393117 FUR393117 GEN393117 GOJ393117 GYF393117 HIB393117 HRX393117 IBT393117 ILP393117 IVL393117 JFH393117 JPD393117 JYZ393117 KIV393117 KSR393117 LCN393117 LMJ393117 LWF393117 MGB393117 MPX393117 MZT393117 NJP393117 NTL393117 ODH393117 OND393117 OWZ393117 PGV393117 PQR393117 QAN393117 QKJ393117 QUF393117 REB393117 RNX393117 RXT393117 SHP393117 SRL393117 TBH393117 TLD393117 TUZ393117 UEV393117 UOR393117 UYN393117 VIJ393117 VSF393117 WCB393117 WLX393117 WVT393117 L458653 JH458653 TD458653 ACZ458653 AMV458653 AWR458653 BGN458653 BQJ458653 CAF458653 CKB458653 CTX458653 DDT458653 DNP458653 DXL458653 EHH458653 ERD458653 FAZ458653 FKV458653 FUR458653 GEN458653 GOJ458653 GYF458653 HIB458653 HRX458653 IBT458653 ILP458653 IVL458653 JFH458653 JPD458653 JYZ458653 KIV458653 KSR458653 LCN458653 LMJ458653 LWF458653 MGB458653 MPX458653 MZT458653 NJP458653 NTL458653 ODH458653 OND458653 OWZ458653 PGV458653 PQR458653 QAN458653 QKJ458653 QUF458653 REB458653 RNX458653 RXT458653 SHP458653 SRL458653 TBH458653 TLD458653 TUZ458653 UEV458653 UOR458653 UYN458653 VIJ458653 VSF458653 WCB458653 WLX458653 WVT458653 L524189 JH524189 TD524189 ACZ524189 AMV524189 AWR524189 BGN524189 BQJ524189 CAF524189 CKB524189 CTX524189 DDT524189 DNP524189 DXL524189 EHH524189 ERD524189 FAZ524189 FKV524189 FUR524189 GEN524189 GOJ524189 GYF524189 HIB524189 HRX524189 IBT524189 ILP524189 IVL524189 JFH524189 JPD524189 JYZ524189 KIV524189 KSR524189 LCN524189 LMJ524189 LWF524189 MGB524189 MPX524189 MZT524189 NJP524189 NTL524189 ODH524189 OND524189 OWZ524189 PGV524189 PQR524189 QAN524189 QKJ524189 QUF524189 REB524189 RNX524189 RXT524189 SHP524189 SRL524189 TBH524189 TLD524189 TUZ524189 UEV524189 UOR524189 UYN524189 VIJ524189 VSF524189 WCB524189 WLX524189 WVT524189 L589725 JH589725 TD589725 ACZ589725 AMV589725 AWR589725 BGN589725 BQJ589725 CAF589725 CKB589725 CTX589725 DDT589725 DNP589725 DXL589725 EHH589725 ERD589725 FAZ589725 FKV589725 FUR589725 GEN589725 GOJ589725 GYF589725 HIB589725 HRX589725 IBT589725 ILP589725 IVL589725 JFH589725 JPD589725 JYZ589725 KIV589725 KSR589725 LCN589725 LMJ589725 LWF589725 MGB589725 MPX589725 MZT589725 NJP589725 NTL589725 ODH589725 OND589725 OWZ589725 PGV589725 PQR589725 QAN589725 QKJ589725 QUF589725 REB589725 RNX589725 RXT589725 SHP589725 SRL589725 TBH589725 TLD589725 TUZ589725 UEV589725 UOR589725 UYN589725 VIJ589725 VSF589725 WCB589725 WLX589725 WVT589725 L655261 JH655261 TD655261 ACZ655261 AMV655261 AWR655261 BGN655261 BQJ655261 CAF655261 CKB655261 CTX655261 DDT655261 DNP655261 DXL655261 EHH655261 ERD655261 FAZ655261 FKV655261 FUR655261 GEN655261 GOJ655261 GYF655261 HIB655261 HRX655261 IBT655261 ILP655261 IVL655261 JFH655261 JPD655261 JYZ655261 KIV655261 KSR655261 LCN655261 LMJ655261 LWF655261 MGB655261 MPX655261 MZT655261 NJP655261 NTL655261 ODH655261 OND655261 OWZ655261 PGV655261 PQR655261 QAN655261 QKJ655261 QUF655261 REB655261 RNX655261 RXT655261 SHP655261 SRL655261 TBH655261 TLD655261 TUZ655261 UEV655261 UOR655261 UYN655261 VIJ655261 VSF655261 WCB655261 WLX655261 WVT655261 L720797 JH720797 TD720797 ACZ720797 AMV720797 AWR720797 BGN720797 BQJ720797 CAF720797 CKB720797 CTX720797 DDT720797 DNP720797 DXL720797 EHH720797 ERD720797 FAZ720797 FKV720797 FUR720797 GEN720797 GOJ720797 GYF720797 HIB720797 HRX720797 IBT720797 ILP720797 IVL720797 JFH720797 JPD720797 JYZ720797 KIV720797 KSR720797 LCN720797 LMJ720797 LWF720797 MGB720797 MPX720797 MZT720797 NJP720797 NTL720797 ODH720797 OND720797 OWZ720797 PGV720797 PQR720797 QAN720797 QKJ720797 QUF720797 REB720797 RNX720797 RXT720797 SHP720797 SRL720797 TBH720797 TLD720797 TUZ720797 UEV720797 UOR720797 UYN720797 VIJ720797 VSF720797 WCB720797 WLX720797 WVT720797 L786333 JH786333 TD786333 ACZ786333 AMV786333 AWR786333 BGN786333 BQJ786333 CAF786333 CKB786333 CTX786333 DDT786333 DNP786333 DXL786333 EHH786333 ERD786333 FAZ786333 FKV786333 FUR786333 GEN786333 GOJ786333 GYF786333 HIB786333 HRX786333 IBT786333 ILP786333 IVL786333 JFH786333 JPD786333 JYZ786333 KIV786333 KSR786333 LCN786333 LMJ786333 LWF786333 MGB786333 MPX786333 MZT786333 NJP786333 NTL786333 ODH786333 OND786333 OWZ786333 PGV786333 PQR786333 QAN786333 QKJ786333 QUF786333 REB786333 RNX786333 RXT786333 SHP786333 SRL786333 TBH786333 TLD786333 TUZ786333 UEV786333 UOR786333 UYN786333 VIJ786333 VSF786333 WCB786333 WLX786333 WVT786333 L851869 JH851869 TD851869 ACZ851869 AMV851869 AWR851869 BGN851869 BQJ851869 CAF851869 CKB851869 CTX851869 DDT851869 DNP851869 DXL851869 EHH851869 ERD851869 FAZ851869 FKV851869 FUR851869 GEN851869 GOJ851869 GYF851869 HIB851869 HRX851869 IBT851869 ILP851869 IVL851869 JFH851869 JPD851869 JYZ851869 KIV851869 KSR851869 LCN851869 LMJ851869 LWF851869 MGB851869 MPX851869 MZT851869 NJP851869 NTL851869 ODH851869 OND851869 OWZ851869 PGV851869 PQR851869 QAN851869 QKJ851869 QUF851869 REB851869 RNX851869 RXT851869 SHP851869 SRL851869 TBH851869 TLD851869 TUZ851869 UEV851869 UOR851869 UYN851869 VIJ851869 VSF851869 WCB851869 WLX851869 WVT851869 L917405 JH917405 TD917405 ACZ917405 AMV917405 AWR917405 BGN917405 BQJ917405 CAF917405 CKB917405 CTX917405 DDT917405 DNP917405 DXL917405 EHH917405 ERD917405 FAZ917405 FKV917405 FUR917405 GEN917405 GOJ917405 GYF917405 HIB917405 HRX917405 IBT917405 ILP917405 IVL917405 JFH917405 JPD917405 JYZ917405 KIV917405 KSR917405 LCN917405 LMJ917405 LWF917405 MGB917405 MPX917405 MZT917405 NJP917405 NTL917405 ODH917405 OND917405 OWZ917405 PGV917405 PQR917405 QAN917405 QKJ917405 QUF917405 REB917405 RNX917405 RXT917405 SHP917405 SRL917405 TBH917405 TLD917405 TUZ917405 UEV917405 UOR917405 UYN917405 VIJ917405 VSF917405 WCB917405 WLX917405 WVT917405 L982941 JH982941 TD982941 ACZ982941 AMV982941 AWR982941 BGN982941 BQJ982941 CAF982941 CKB982941 CTX982941 DDT982941 DNP982941 DXL982941 EHH982941 ERD982941 FAZ982941 FKV982941 FUR982941 GEN982941 GOJ982941 GYF982941 HIB982941 HRX982941 IBT982941 ILP982941 IVL982941 JFH982941 JPD982941 JYZ982941 KIV982941 KSR982941 LCN982941 LMJ982941 LWF982941 MGB982941 MPX982941 MZT982941 NJP982941 NTL982941 ODH982941 OND982941 OWZ982941 PGV982941 PQR982941 QAN982941 QKJ982941 QUF982941 REB982941 RNX982941 RXT982941 SHP982941 SRL982941 TBH982941 TLD982941 TUZ982941 UEV982941 UOR982941 UYN982941 VIJ982941 VSF982941 WCB982941 WLX982941 WVT982941 L65535 JH65535 TD65535 ACZ65535 AMV65535 AWR65535 BGN65535 BQJ65535 CAF65535 CKB65535 CTX65535 DDT65535 DNP65535 DXL65535 EHH65535 ERD65535 FAZ65535 FKV65535 FUR65535 GEN65535 GOJ65535 GYF65535 HIB65535 HRX65535 IBT65535 ILP65535 IVL65535 JFH65535 JPD65535 JYZ65535 KIV65535 KSR65535 LCN65535 LMJ65535 LWF65535 MGB65535 MPX65535 MZT65535 NJP65535 NTL65535 ODH65535 OND65535 OWZ65535 PGV65535 PQR65535 QAN65535 QKJ65535 QUF65535 REB65535 RNX65535 RXT65535 SHP65535 SRL65535 TBH65535 TLD65535 TUZ65535 UEV65535 UOR65535 UYN65535 VIJ65535 VSF65535 WCB65535 WLX65535 WVT65535 L131071 JH131071 TD131071 ACZ131071 AMV131071 AWR131071 BGN131071 BQJ131071 CAF131071 CKB131071 CTX131071 DDT131071 DNP131071 DXL131071 EHH131071 ERD131071 FAZ131071 FKV131071 FUR131071 GEN131071 GOJ131071 GYF131071 HIB131071 HRX131071 IBT131071 ILP131071 IVL131071 JFH131071 JPD131071 JYZ131071 KIV131071 KSR131071 LCN131071 LMJ131071 LWF131071 MGB131071 MPX131071 MZT131071 NJP131071 NTL131071 ODH131071 OND131071 OWZ131071 PGV131071 PQR131071 QAN131071 QKJ131071 QUF131071 REB131071 RNX131071 RXT131071 SHP131071 SRL131071 TBH131071 TLD131071 TUZ131071 UEV131071 UOR131071 UYN131071 VIJ131071 VSF131071 WCB131071 WLX131071 WVT131071 L196607 JH196607 TD196607 ACZ196607 AMV196607 AWR196607 BGN196607 BQJ196607 CAF196607 CKB196607 CTX196607 DDT196607 DNP196607 DXL196607 EHH196607 ERD196607 FAZ196607 FKV196607 FUR196607 GEN196607 GOJ196607 GYF196607 HIB196607 HRX196607 IBT196607 ILP196607 IVL196607 JFH196607 JPD196607 JYZ196607 KIV196607 KSR196607 LCN196607 LMJ196607 LWF196607 MGB196607 MPX196607 MZT196607 NJP196607 NTL196607 ODH196607 OND196607 OWZ196607 PGV196607 PQR196607 QAN196607 QKJ196607 QUF196607 REB196607 RNX196607 RXT196607 SHP196607 SRL196607 TBH196607 TLD196607 TUZ196607 UEV196607 UOR196607 UYN196607 VIJ196607 VSF196607 WCB196607 WLX196607 WVT196607 L262143 JH262143 TD262143 ACZ262143 AMV262143 AWR262143 BGN262143 BQJ262143 CAF262143 CKB262143 CTX262143 DDT262143 DNP262143 DXL262143 EHH262143 ERD262143 FAZ262143 FKV262143 FUR262143 GEN262143 GOJ262143 GYF262143 HIB262143 HRX262143 IBT262143 ILP262143 IVL262143 JFH262143 JPD262143 JYZ262143 KIV262143 KSR262143 LCN262143 LMJ262143 LWF262143 MGB262143 MPX262143 MZT262143 NJP262143 NTL262143 ODH262143 OND262143 OWZ262143 PGV262143 PQR262143 QAN262143 QKJ262143 QUF262143 REB262143 RNX262143 RXT262143 SHP262143 SRL262143 TBH262143 TLD262143 TUZ262143 UEV262143 UOR262143 UYN262143 VIJ262143 VSF262143 WCB262143 WLX262143 WVT262143 L327679 JH327679 TD327679 ACZ327679 AMV327679 AWR327679 BGN327679 BQJ327679 CAF327679 CKB327679 CTX327679 DDT327679 DNP327679 DXL327679 EHH327679 ERD327679 FAZ327679 FKV327679 FUR327679 GEN327679 GOJ327679 GYF327679 HIB327679 HRX327679 IBT327679 ILP327679 IVL327679 JFH327679 JPD327679 JYZ327679 KIV327679 KSR327679 LCN327679 LMJ327679 LWF327679 MGB327679 MPX327679 MZT327679 NJP327679 NTL327679 ODH327679 OND327679 OWZ327679 PGV327679 PQR327679 QAN327679 QKJ327679 QUF327679 REB327679 RNX327679 RXT327679 SHP327679 SRL327679 TBH327679 TLD327679 TUZ327679 UEV327679 UOR327679 UYN327679 VIJ327679 VSF327679 WCB327679 WLX327679 WVT327679 L393215 JH393215 TD393215 ACZ393215 AMV393215 AWR393215 BGN393215 BQJ393215 CAF393215 CKB393215 CTX393215 DDT393215 DNP393215 DXL393215 EHH393215 ERD393215 FAZ393215 FKV393215 FUR393215 GEN393215 GOJ393215 GYF393215 HIB393215 HRX393215 IBT393215 ILP393215 IVL393215 JFH393215 JPD393215 JYZ393215 KIV393215 KSR393215 LCN393215 LMJ393215 LWF393215 MGB393215 MPX393215 MZT393215 NJP393215 NTL393215 ODH393215 OND393215 OWZ393215 PGV393215 PQR393215 QAN393215 QKJ393215 QUF393215 REB393215 RNX393215 RXT393215 SHP393215 SRL393215 TBH393215 TLD393215 TUZ393215 UEV393215 UOR393215 UYN393215 VIJ393215 VSF393215 WCB393215 WLX393215 WVT393215 L458751 JH458751 TD458751 ACZ458751 AMV458751 AWR458751 BGN458751 BQJ458751 CAF458751 CKB458751 CTX458751 DDT458751 DNP458751 DXL458751 EHH458751 ERD458751 FAZ458751 FKV458751 FUR458751 GEN458751 GOJ458751 GYF458751 HIB458751 HRX458751 IBT458751 ILP458751 IVL458751 JFH458751 JPD458751 JYZ458751 KIV458751 KSR458751 LCN458751 LMJ458751 LWF458751 MGB458751 MPX458751 MZT458751 NJP458751 NTL458751 ODH458751 OND458751 OWZ458751 PGV458751 PQR458751 QAN458751 QKJ458751 QUF458751 REB458751 RNX458751 RXT458751 SHP458751 SRL458751 TBH458751 TLD458751 TUZ458751 UEV458751 UOR458751 UYN458751 VIJ458751 VSF458751 WCB458751 WLX458751 WVT458751 L524287 JH524287 TD524287 ACZ524287 AMV524287 AWR524287 BGN524287 BQJ524287 CAF524287 CKB524287 CTX524287 DDT524287 DNP524287 DXL524287 EHH524287 ERD524287 FAZ524287 FKV524287 FUR524287 GEN524287 GOJ524287 GYF524287 HIB524287 HRX524287 IBT524287 ILP524287 IVL524287 JFH524287 JPD524287 JYZ524287 KIV524287 KSR524287 LCN524287 LMJ524287 LWF524287 MGB524287 MPX524287 MZT524287 NJP524287 NTL524287 ODH524287 OND524287 OWZ524287 PGV524287 PQR524287 QAN524287 QKJ524287 QUF524287 REB524287 RNX524287 RXT524287 SHP524287 SRL524287 TBH524287 TLD524287 TUZ524287 UEV524287 UOR524287 UYN524287 VIJ524287 VSF524287 WCB524287 WLX524287 WVT524287 L589823 JH589823 TD589823 ACZ589823 AMV589823 AWR589823 BGN589823 BQJ589823 CAF589823 CKB589823 CTX589823 DDT589823 DNP589823 DXL589823 EHH589823 ERD589823 FAZ589823 FKV589823 FUR589823 GEN589823 GOJ589823 GYF589823 HIB589823 HRX589823 IBT589823 ILP589823 IVL589823 JFH589823 JPD589823 JYZ589823 KIV589823 KSR589823 LCN589823 LMJ589823 LWF589823 MGB589823 MPX589823 MZT589823 NJP589823 NTL589823 ODH589823 OND589823 OWZ589823 PGV589823 PQR589823 QAN589823 QKJ589823 QUF589823 REB589823 RNX589823 RXT589823 SHP589823 SRL589823 TBH589823 TLD589823 TUZ589823 UEV589823 UOR589823 UYN589823 VIJ589823 VSF589823 WCB589823 WLX589823 WVT589823 L655359 JH655359 TD655359 ACZ655359 AMV655359 AWR655359 BGN655359 BQJ655359 CAF655359 CKB655359 CTX655359 DDT655359 DNP655359 DXL655359 EHH655359 ERD655359 FAZ655359 FKV655359 FUR655359 GEN655359 GOJ655359 GYF655359 HIB655359 HRX655359 IBT655359 ILP655359 IVL655359 JFH655359 JPD655359 JYZ655359 KIV655359 KSR655359 LCN655359 LMJ655359 LWF655359 MGB655359 MPX655359 MZT655359 NJP655359 NTL655359 ODH655359 OND655359 OWZ655359 PGV655359 PQR655359 QAN655359 QKJ655359 QUF655359 REB655359 RNX655359 RXT655359 SHP655359 SRL655359 TBH655359 TLD655359 TUZ655359 UEV655359 UOR655359 UYN655359 VIJ655359 VSF655359 WCB655359 WLX655359 WVT655359 L720895 JH720895 TD720895 ACZ720895 AMV720895 AWR720895 BGN720895 BQJ720895 CAF720895 CKB720895 CTX720895 DDT720895 DNP720895 DXL720895 EHH720895 ERD720895 FAZ720895 FKV720895 FUR720895 GEN720895 GOJ720895 GYF720895 HIB720895 HRX720895 IBT720895 ILP720895 IVL720895 JFH720895 JPD720895 JYZ720895 KIV720895 KSR720895 LCN720895 LMJ720895 LWF720895 MGB720895 MPX720895 MZT720895 NJP720895 NTL720895 ODH720895 OND720895 OWZ720895 PGV720895 PQR720895 QAN720895 QKJ720895 QUF720895 REB720895 RNX720895 RXT720895 SHP720895 SRL720895 TBH720895 TLD720895 TUZ720895 UEV720895 UOR720895 UYN720895 VIJ720895 VSF720895 WCB720895 WLX720895 WVT720895 L786431 JH786431 TD786431 ACZ786431 AMV786431 AWR786431 BGN786431 BQJ786431 CAF786431 CKB786431 CTX786431 DDT786431 DNP786431 DXL786431 EHH786431 ERD786431 FAZ786431 FKV786431 FUR786431 GEN786431 GOJ786431 GYF786431 HIB786431 HRX786431 IBT786431 ILP786431 IVL786431 JFH786431 JPD786431 JYZ786431 KIV786431 KSR786431 LCN786431 LMJ786431 LWF786431 MGB786431 MPX786431 MZT786431 NJP786431 NTL786431 ODH786431 OND786431 OWZ786431 PGV786431 PQR786431 QAN786431 QKJ786431 QUF786431 REB786431 RNX786431 RXT786431 SHP786431 SRL786431 TBH786431 TLD786431 TUZ786431 UEV786431 UOR786431 UYN786431 VIJ786431 VSF786431 WCB786431 WLX786431 WVT786431 L851967 JH851967 TD851967 ACZ851967 AMV851967 AWR851967 BGN851967 BQJ851967 CAF851967 CKB851967 CTX851967 DDT851967 DNP851967 DXL851967 EHH851967 ERD851967 FAZ851967 FKV851967 FUR851967 GEN851967 GOJ851967 GYF851967 HIB851967 HRX851967 IBT851967 ILP851967 IVL851967 JFH851967 JPD851967 JYZ851967 KIV851967 KSR851967 LCN851967 LMJ851967 LWF851967 MGB851967 MPX851967 MZT851967 NJP851967 NTL851967 ODH851967 OND851967 OWZ851967 PGV851967 PQR851967 QAN851967 QKJ851967 QUF851967 REB851967 RNX851967 RXT851967 SHP851967 SRL851967 TBH851967 TLD851967 TUZ851967 UEV851967 UOR851967 UYN851967 VIJ851967 VSF851967 WCB851967 WLX851967 WVT851967 L917503 JH917503 TD917503 ACZ917503 AMV917503 AWR917503 BGN917503 BQJ917503 CAF917503 CKB917503 CTX917503 DDT917503 DNP917503 DXL917503 EHH917503 ERD917503 FAZ917503 FKV917503 FUR917503 GEN917503 GOJ917503 GYF917503 HIB917503 HRX917503 IBT917503 ILP917503 IVL917503 JFH917503 JPD917503 JYZ917503 KIV917503 KSR917503 LCN917503 LMJ917503 LWF917503 MGB917503 MPX917503 MZT917503 NJP917503 NTL917503 ODH917503 OND917503 OWZ917503 PGV917503 PQR917503 QAN917503 QKJ917503 QUF917503 REB917503 RNX917503 RXT917503 SHP917503 SRL917503 TBH917503 TLD917503 TUZ917503 UEV917503 UOR917503 UYN917503 VIJ917503 VSF917503 WCB917503 WLX917503 WVT917503 L983039 JH983039 TD983039 ACZ983039 AMV983039 AWR983039 BGN983039 BQJ983039 CAF983039 CKB983039 CTX983039 DDT983039 DNP983039 DXL983039 EHH983039 ERD983039 FAZ983039 FKV983039 FUR983039 GEN983039 GOJ983039 GYF983039 HIB983039 HRX983039 IBT983039 ILP983039 IVL983039 JFH983039 JPD983039 JYZ983039 KIV983039 KSR983039 LCN983039 LMJ983039 LWF983039 MGB983039 MPX983039 MZT983039 NJP983039 NTL983039 ODH983039 OND983039 OWZ983039 PGV983039 PQR983039 QAN983039 QKJ983039 QUF983039 REB983039 RNX983039 RXT983039 SHP983039 SRL983039 TBH983039 TLD983039 TUZ983039 UEV983039 UOR983039 UYN983039 VIJ983039 VSF983039 WCB983039 WLX983039 WVT983039" xr:uid="{00000000-0002-0000-0A00-000003000000}">
      <formula1>0</formula1>
      <formula2>0</formula2>
    </dataValidation>
    <dataValidation type="whole" operator="equal" allowBlank="1" showErrorMessage="1" errorTitle="Atenção!" error="DIGITAR &quot;1&quot;." promptTitle="ATENÇÃO!" prompt="DIGITAR &quot;1&quot;." sqref="P65240 JL65240 TH65240 ADD65240 AMZ65240 AWV65240 BGR65240 BQN65240 CAJ65240 CKF65240 CUB65240 DDX65240 DNT65240 DXP65240 EHL65240 ERH65240 FBD65240 FKZ65240 FUV65240 GER65240 GON65240 GYJ65240 HIF65240 HSB65240 IBX65240 ILT65240 IVP65240 JFL65240 JPH65240 JZD65240 KIZ65240 KSV65240 LCR65240 LMN65240 LWJ65240 MGF65240 MQB65240 MZX65240 NJT65240 NTP65240 ODL65240 ONH65240 OXD65240 PGZ65240 PQV65240 QAR65240 QKN65240 QUJ65240 REF65240 ROB65240 RXX65240 SHT65240 SRP65240 TBL65240 TLH65240 TVD65240 UEZ65240 UOV65240 UYR65240 VIN65240 VSJ65240 WCF65240 WMB65240 WVX65240 P130776 JL130776 TH130776 ADD130776 AMZ130776 AWV130776 BGR130776 BQN130776 CAJ130776 CKF130776 CUB130776 DDX130776 DNT130776 DXP130776 EHL130776 ERH130776 FBD130776 FKZ130776 FUV130776 GER130776 GON130776 GYJ130776 HIF130776 HSB130776 IBX130776 ILT130776 IVP130776 JFL130776 JPH130776 JZD130776 KIZ130776 KSV130776 LCR130776 LMN130776 LWJ130776 MGF130776 MQB130776 MZX130776 NJT130776 NTP130776 ODL130776 ONH130776 OXD130776 PGZ130776 PQV130776 QAR130776 QKN130776 QUJ130776 REF130776 ROB130776 RXX130776 SHT130776 SRP130776 TBL130776 TLH130776 TVD130776 UEZ130776 UOV130776 UYR130776 VIN130776 VSJ130776 WCF130776 WMB130776 WVX130776 P196312 JL196312 TH196312 ADD196312 AMZ196312 AWV196312 BGR196312 BQN196312 CAJ196312 CKF196312 CUB196312 DDX196312 DNT196312 DXP196312 EHL196312 ERH196312 FBD196312 FKZ196312 FUV196312 GER196312 GON196312 GYJ196312 HIF196312 HSB196312 IBX196312 ILT196312 IVP196312 JFL196312 JPH196312 JZD196312 KIZ196312 KSV196312 LCR196312 LMN196312 LWJ196312 MGF196312 MQB196312 MZX196312 NJT196312 NTP196312 ODL196312 ONH196312 OXD196312 PGZ196312 PQV196312 QAR196312 QKN196312 QUJ196312 REF196312 ROB196312 RXX196312 SHT196312 SRP196312 TBL196312 TLH196312 TVD196312 UEZ196312 UOV196312 UYR196312 VIN196312 VSJ196312 WCF196312 WMB196312 WVX196312 P261848 JL261848 TH261848 ADD261848 AMZ261848 AWV261848 BGR261848 BQN261848 CAJ261848 CKF261848 CUB261848 DDX261848 DNT261848 DXP261848 EHL261848 ERH261848 FBD261848 FKZ261848 FUV261848 GER261848 GON261848 GYJ261848 HIF261848 HSB261848 IBX261848 ILT261848 IVP261848 JFL261848 JPH261848 JZD261848 KIZ261848 KSV261848 LCR261848 LMN261848 LWJ261848 MGF261848 MQB261848 MZX261848 NJT261848 NTP261848 ODL261848 ONH261848 OXD261848 PGZ261848 PQV261848 QAR261848 QKN261848 QUJ261848 REF261848 ROB261848 RXX261848 SHT261848 SRP261848 TBL261848 TLH261848 TVD261848 UEZ261848 UOV261848 UYR261848 VIN261848 VSJ261848 WCF261848 WMB261848 WVX261848 P327384 JL327384 TH327384 ADD327384 AMZ327384 AWV327384 BGR327384 BQN327384 CAJ327384 CKF327384 CUB327384 DDX327384 DNT327384 DXP327384 EHL327384 ERH327384 FBD327384 FKZ327384 FUV327384 GER327384 GON327384 GYJ327384 HIF327384 HSB327384 IBX327384 ILT327384 IVP327384 JFL327384 JPH327384 JZD327384 KIZ327384 KSV327384 LCR327384 LMN327384 LWJ327384 MGF327384 MQB327384 MZX327384 NJT327384 NTP327384 ODL327384 ONH327384 OXD327384 PGZ327384 PQV327384 QAR327384 QKN327384 QUJ327384 REF327384 ROB327384 RXX327384 SHT327384 SRP327384 TBL327384 TLH327384 TVD327384 UEZ327384 UOV327384 UYR327384 VIN327384 VSJ327384 WCF327384 WMB327384 WVX327384 P392920 JL392920 TH392920 ADD392920 AMZ392920 AWV392920 BGR392920 BQN392920 CAJ392920 CKF392920 CUB392920 DDX392920 DNT392920 DXP392920 EHL392920 ERH392920 FBD392920 FKZ392920 FUV392920 GER392920 GON392920 GYJ392920 HIF392920 HSB392920 IBX392920 ILT392920 IVP392920 JFL392920 JPH392920 JZD392920 KIZ392920 KSV392920 LCR392920 LMN392920 LWJ392920 MGF392920 MQB392920 MZX392920 NJT392920 NTP392920 ODL392920 ONH392920 OXD392920 PGZ392920 PQV392920 QAR392920 QKN392920 QUJ392920 REF392920 ROB392920 RXX392920 SHT392920 SRP392920 TBL392920 TLH392920 TVD392920 UEZ392920 UOV392920 UYR392920 VIN392920 VSJ392920 WCF392920 WMB392920 WVX392920 P458456 JL458456 TH458456 ADD458456 AMZ458456 AWV458456 BGR458456 BQN458456 CAJ458456 CKF458456 CUB458456 DDX458456 DNT458456 DXP458456 EHL458456 ERH458456 FBD458456 FKZ458456 FUV458456 GER458456 GON458456 GYJ458456 HIF458456 HSB458456 IBX458456 ILT458456 IVP458456 JFL458456 JPH458456 JZD458456 KIZ458456 KSV458456 LCR458456 LMN458456 LWJ458456 MGF458456 MQB458456 MZX458456 NJT458456 NTP458456 ODL458456 ONH458456 OXD458456 PGZ458456 PQV458456 QAR458456 QKN458456 QUJ458456 REF458456 ROB458456 RXX458456 SHT458456 SRP458456 TBL458456 TLH458456 TVD458456 UEZ458456 UOV458456 UYR458456 VIN458456 VSJ458456 WCF458456 WMB458456 WVX458456 P523992 JL523992 TH523992 ADD523992 AMZ523992 AWV523992 BGR523992 BQN523992 CAJ523992 CKF523992 CUB523992 DDX523992 DNT523992 DXP523992 EHL523992 ERH523992 FBD523992 FKZ523992 FUV523992 GER523992 GON523992 GYJ523992 HIF523992 HSB523992 IBX523992 ILT523992 IVP523992 JFL523992 JPH523992 JZD523992 KIZ523992 KSV523992 LCR523992 LMN523992 LWJ523992 MGF523992 MQB523992 MZX523992 NJT523992 NTP523992 ODL523992 ONH523992 OXD523992 PGZ523992 PQV523992 QAR523992 QKN523992 QUJ523992 REF523992 ROB523992 RXX523992 SHT523992 SRP523992 TBL523992 TLH523992 TVD523992 UEZ523992 UOV523992 UYR523992 VIN523992 VSJ523992 WCF523992 WMB523992 WVX523992 P589528 JL589528 TH589528 ADD589528 AMZ589528 AWV589528 BGR589528 BQN589528 CAJ589528 CKF589528 CUB589528 DDX589528 DNT589528 DXP589528 EHL589528 ERH589528 FBD589528 FKZ589528 FUV589528 GER589528 GON589528 GYJ589528 HIF589528 HSB589528 IBX589528 ILT589528 IVP589528 JFL589528 JPH589528 JZD589528 KIZ589528 KSV589528 LCR589528 LMN589528 LWJ589528 MGF589528 MQB589528 MZX589528 NJT589528 NTP589528 ODL589528 ONH589528 OXD589528 PGZ589528 PQV589528 QAR589528 QKN589528 QUJ589528 REF589528 ROB589528 RXX589528 SHT589528 SRP589528 TBL589528 TLH589528 TVD589528 UEZ589528 UOV589528 UYR589528 VIN589528 VSJ589528 WCF589528 WMB589528 WVX589528 P655064 JL655064 TH655064 ADD655064 AMZ655064 AWV655064 BGR655064 BQN655064 CAJ655064 CKF655064 CUB655064 DDX655064 DNT655064 DXP655064 EHL655064 ERH655064 FBD655064 FKZ655064 FUV655064 GER655064 GON655064 GYJ655064 HIF655064 HSB655064 IBX655064 ILT655064 IVP655064 JFL655064 JPH655064 JZD655064 KIZ655064 KSV655064 LCR655064 LMN655064 LWJ655064 MGF655064 MQB655064 MZX655064 NJT655064 NTP655064 ODL655064 ONH655064 OXD655064 PGZ655064 PQV655064 QAR655064 QKN655064 QUJ655064 REF655064 ROB655064 RXX655064 SHT655064 SRP655064 TBL655064 TLH655064 TVD655064 UEZ655064 UOV655064 UYR655064 VIN655064 VSJ655064 WCF655064 WMB655064 WVX655064 P720600 JL720600 TH720600 ADD720600 AMZ720600 AWV720600 BGR720600 BQN720600 CAJ720600 CKF720600 CUB720600 DDX720600 DNT720600 DXP720600 EHL720600 ERH720600 FBD720600 FKZ720600 FUV720600 GER720600 GON720600 GYJ720600 HIF720600 HSB720600 IBX720600 ILT720600 IVP720600 JFL720600 JPH720600 JZD720600 KIZ720600 KSV720600 LCR720600 LMN720600 LWJ720600 MGF720600 MQB720600 MZX720600 NJT720600 NTP720600 ODL720600 ONH720600 OXD720600 PGZ720600 PQV720600 QAR720600 QKN720600 QUJ720600 REF720600 ROB720600 RXX720600 SHT720600 SRP720600 TBL720600 TLH720600 TVD720600 UEZ720600 UOV720600 UYR720600 VIN720600 VSJ720600 WCF720600 WMB720600 WVX720600 P786136 JL786136 TH786136 ADD786136 AMZ786136 AWV786136 BGR786136 BQN786136 CAJ786136 CKF786136 CUB786136 DDX786136 DNT786136 DXP786136 EHL786136 ERH786136 FBD786136 FKZ786136 FUV786136 GER786136 GON786136 GYJ786136 HIF786136 HSB786136 IBX786136 ILT786136 IVP786136 JFL786136 JPH786136 JZD786136 KIZ786136 KSV786136 LCR786136 LMN786136 LWJ786136 MGF786136 MQB786136 MZX786136 NJT786136 NTP786136 ODL786136 ONH786136 OXD786136 PGZ786136 PQV786136 QAR786136 QKN786136 QUJ786136 REF786136 ROB786136 RXX786136 SHT786136 SRP786136 TBL786136 TLH786136 TVD786136 UEZ786136 UOV786136 UYR786136 VIN786136 VSJ786136 WCF786136 WMB786136 WVX786136 P851672 JL851672 TH851672 ADD851672 AMZ851672 AWV851672 BGR851672 BQN851672 CAJ851672 CKF851672 CUB851672 DDX851672 DNT851672 DXP851672 EHL851672 ERH851672 FBD851672 FKZ851672 FUV851672 GER851672 GON851672 GYJ851672 HIF851672 HSB851672 IBX851672 ILT851672 IVP851672 JFL851672 JPH851672 JZD851672 KIZ851672 KSV851672 LCR851672 LMN851672 LWJ851672 MGF851672 MQB851672 MZX851672 NJT851672 NTP851672 ODL851672 ONH851672 OXD851672 PGZ851672 PQV851672 QAR851672 QKN851672 QUJ851672 REF851672 ROB851672 RXX851672 SHT851672 SRP851672 TBL851672 TLH851672 TVD851672 UEZ851672 UOV851672 UYR851672 VIN851672 VSJ851672 WCF851672 WMB851672 WVX851672 P917208 JL917208 TH917208 ADD917208 AMZ917208 AWV917208 BGR917208 BQN917208 CAJ917208 CKF917208 CUB917208 DDX917208 DNT917208 DXP917208 EHL917208 ERH917208 FBD917208 FKZ917208 FUV917208 GER917208 GON917208 GYJ917208 HIF917208 HSB917208 IBX917208 ILT917208 IVP917208 JFL917208 JPH917208 JZD917208 KIZ917208 KSV917208 LCR917208 LMN917208 LWJ917208 MGF917208 MQB917208 MZX917208 NJT917208 NTP917208 ODL917208 ONH917208 OXD917208 PGZ917208 PQV917208 QAR917208 QKN917208 QUJ917208 REF917208 ROB917208 RXX917208 SHT917208 SRP917208 TBL917208 TLH917208 TVD917208 UEZ917208 UOV917208 UYR917208 VIN917208 VSJ917208 WCF917208 WMB917208 WVX917208 P982744 JL982744 TH982744 ADD982744 AMZ982744 AWV982744 BGR982744 BQN982744 CAJ982744 CKF982744 CUB982744 DDX982744 DNT982744 DXP982744 EHL982744 ERH982744 FBD982744 FKZ982744 FUV982744 GER982744 GON982744 GYJ982744 HIF982744 HSB982744 IBX982744 ILT982744 IVP982744 JFL982744 JPH982744 JZD982744 KIZ982744 KSV982744 LCR982744 LMN982744 LWJ982744 MGF982744 MQB982744 MZX982744 NJT982744 NTP982744 ODL982744 ONH982744 OXD982744 PGZ982744 PQV982744 QAR982744 QKN982744 QUJ982744 REF982744 ROB982744 RXX982744 SHT982744 SRP982744 TBL982744 TLH982744 TVD982744 UEZ982744 UOV982744 UYR982744 VIN982744 VSJ982744 WCF982744 WMB982744 WVX982744 P65338 JL65338 TH65338 ADD65338 AMZ65338 AWV65338 BGR65338 BQN65338 CAJ65338 CKF65338 CUB65338 DDX65338 DNT65338 DXP65338 EHL65338 ERH65338 FBD65338 FKZ65338 FUV65338 GER65338 GON65338 GYJ65338 HIF65338 HSB65338 IBX65338 ILT65338 IVP65338 JFL65338 JPH65338 JZD65338 KIZ65338 KSV65338 LCR65338 LMN65338 LWJ65338 MGF65338 MQB65338 MZX65338 NJT65338 NTP65338 ODL65338 ONH65338 OXD65338 PGZ65338 PQV65338 QAR65338 QKN65338 QUJ65338 REF65338 ROB65338 RXX65338 SHT65338 SRP65338 TBL65338 TLH65338 TVD65338 UEZ65338 UOV65338 UYR65338 VIN65338 VSJ65338 WCF65338 WMB65338 WVX65338 P130874 JL130874 TH130874 ADD130874 AMZ130874 AWV130874 BGR130874 BQN130874 CAJ130874 CKF130874 CUB130874 DDX130874 DNT130874 DXP130874 EHL130874 ERH130874 FBD130874 FKZ130874 FUV130874 GER130874 GON130874 GYJ130874 HIF130874 HSB130874 IBX130874 ILT130874 IVP130874 JFL130874 JPH130874 JZD130874 KIZ130874 KSV130874 LCR130874 LMN130874 LWJ130874 MGF130874 MQB130874 MZX130874 NJT130874 NTP130874 ODL130874 ONH130874 OXD130874 PGZ130874 PQV130874 QAR130874 QKN130874 QUJ130874 REF130874 ROB130874 RXX130874 SHT130874 SRP130874 TBL130874 TLH130874 TVD130874 UEZ130874 UOV130874 UYR130874 VIN130874 VSJ130874 WCF130874 WMB130874 WVX130874 P196410 JL196410 TH196410 ADD196410 AMZ196410 AWV196410 BGR196410 BQN196410 CAJ196410 CKF196410 CUB196410 DDX196410 DNT196410 DXP196410 EHL196410 ERH196410 FBD196410 FKZ196410 FUV196410 GER196410 GON196410 GYJ196410 HIF196410 HSB196410 IBX196410 ILT196410 IVP196410 JFL196410 JPH196410 JZD196410 KIZ196410 KSV196410 LCR196410 LMN196410 LWJ196410 MGF196410 MQB196410 MZX196410 NJT196410 NTP196410 ODL196410 ONH196410 OXD196410 PGZ196410 PQV196410 QAR196410 QKN196410 QUJ196410 REF196410 ROB196410 RXX196410 SHT196410 SRP196410 TBL196410 TLH196410 TVD196410 UEZ196410 UOV196410 UYR196410 VIN196410 VSJ196410 WCF196410 WMB196410 WVX196410 P261946 JL261946 TH261946 ADD261946 AMZ261946 AWV261946 BGR261946 BQN261946 CAJ261946 CKF261946 CUB261946 DDX261946 DNT261946 DXP261946 EHL261946 ERH261946 FBD261946 FKZ261946 FUV261946 GER261946 GON261946 GYJ261946 HIF261946 HSB261946 IBX261946 ILT261946 IVP261946 JFL261946 JPH261946 JZD261946 KIZ261946 KSV261946 LCR261946 LMN261946 LWJ261946 MGF261946 MQB261946 MZX261946 NJT261946 NTP261946 ODL261946 ONH261946 OXD261946 PGZ261946 PQV261946 QAR261946 QKN261946 QUJ261946 REF261946 ROB261946 RXX261946 SHT261946 SRP261946 TBL261946 TLH261946 TVD261946 UEZ261946 UOV261946 UYR261946 VIN261946 VSJ261946 WCF261946 WMB261946 WVX261946 P327482 JL327482 TH327482 ADD327482 AMZ327482 AWV327482 BGR327482 BQN327482 CAJ327482 CKF327482 CUB327482 DDX327482 DNT327482 DXP327482 EHL327482 ERH327482 FBD327482 FKZ327482 FUV327482 GER327482 GON327482 GYJ327482 HIF327482 HSB327482 IBX327482 ILT327482 IVP327482 JFL327482 JPH327482 JZD327482 KIZ327482 KSV327482 LCR327482 LMN327482 LWJ327482 MGF327482 MQB327482 MZX327482 NJT327482 NTP327482 ODL327482 ONH327482 OXD327482 PGZ327482 PQV327482 QAR327482 QKN327482 QUJ327482 REF327482 ROB327482 RXX327482 SHT327482 SRP327482 TBL327482 TLH327482 TVD327482 UEZ327482 UOV327482 UYR327482 VIN327482 VSJ327482 WCF327482 WMB327482 WVX327482 P393018 JL393018 TH393018 ADD393018 AMZ393018 AWV393018 BGR393018 BQN393018 CAJ393018 CKF393018 CUB393018 DDX393018 DNT393018 DXP393018 EHL393018 ERH393018 FBD393018 FKZ393018 FUV393018 GER393018 GON393018 GYJ393018 HIF393018 HSB393018 IBX393018 ILT393018 IVP393018 JFL393018 JPH393018 JZD393018 KIZ393018 KSV393018 LCR393018 LMN393018 LWJ393018 MGF393018 MQB393018 MZX393018 NJT393018 NTP393018 ODL393018 ONH393018 OXD393018 PGZ393018 PQV393018 QAR393018 QKN393018 QUJ393018 REF393018 ROB393018 RXX393018 SHT393018 SRP393018 TBL393018 TLH393018 TVD393018 UEZ393018 UOV393018 UYR393018 VIN393018 VSJ393018 WCF393018 WMB393018 WVX393018 P458554 JL458554 TH458554 ADD458554 AMZ458554 AWV458554 BGR458554 BQN458554 CAJ458554 CKF458554 CUB458554 DDX458554 DNT458554 DXP458554 EHL458554 ERH458554 FBD458554 FKZ458554 FUV458554 GER458554 GON458554 GYJ458554 HIF458554 HSB458554 IBX458554 ILT458554 IVP458554 JFL458554 JPH458554 JZD458554 KIZ458554 KSV458554 LCR458554 LMN458554 LWJ458554 MGF458554 MQB458554 MZX458554 NJT458554 NTP458554 ODL458554 ONH458554 OXD458554 PGZ458554 PQV458554 QAR458554 QKN458554 QUJ458554 REF458554 ROB458554 RXX458554 SHT458554 SRP458554 TBL458554 TLH458554 TVD458554 UEZ458554 UOV458554 UYR458554 VIN458554 VSJ458554 WCF458554 WMB458554 WVX458554 P524090 JL524090 TH524090 ADD524090 AMZ524090 AWV524090 BGR524090 BQN524090 CAJ524090 CKF524090 CUB524090 DDX524090 DNT524090 DXP524090 EHL524090 ERH524090 FBD524090 FKZ524090 FUV524090 GER524090 GON524090 GYJ524090 HIF524090 HSB524090 IBX524090 ILT524090 IVP524090 JFL524090 JPH524090 JZD524090 KIZ524090 KSV524090 LCR524090 LMN524090 LWJ524090 MGF524090 MQB524090 MZX524090 NJT524090 NTP524090 ODL524090 ONH524090 OXD524090 PGZ524090 PQV524090 QAR524090 QKN524090 QUJ524090 REF524090 ROB524090 RXX524090 SHT524090 SRP524090 TBL524090 TLH524090 TVD524090 UEZ524090 UOV524090 UYR524090 VIN524090 VSJ524090 WCF524090 WMB524090 WVX524090 P589626 JL589626 TH589626 ADD589626 AMZ589626 AWV589626 BGR589626 BQN589626 CAJ589626 CKF589626 CUB589626 DDX589626 DNT589626 DXP589626 EHL589626 ERH589626 FBD589626 FKZ589626 FUV589626 GER589626 GON589626 GYJ589626 HIF589626 HSB589626 IBX589626 ILT589626 IVP589626 JFL589626 JPH589626 JZD589626 KIZ589626 KSV589626 LCR589626 LMN589626 LWJ589626 MGF589626 MQB589626 MZX589626 NJT589626 NTP589626 ODL589626 ONH589626 OXD589626 PGZ589626 PQV589626 QAR589626 QKN589626 QUJ589626 REF589626 ROB589626 RXX589626 SHT589626 SRP589626 TBL589626 TLH589626 TVD589626 UEZ589626 UOV589626 UYR589626 VIN589626 VSJ589626 WCF589626 WMB589626 WVX589626 P655162 JL655162 TH655162 ADD655162 AMZ655162 AWV655162 BGR655162 BQN655162 CAJ655162 CKF655162 CUB655162 DDX655162 DNT655162 DXP655162 EHL655162 ERH655162 FBD655162 FKZ655162 FUV655162 GER655162 GON655162 GYJ655162 HIF655162 HSB655162 IBX655162 ILT655162 IVP655162 JFL655162 JPH655162 JZD655162 KIZ655162 KSV655162 LCR655162 LMN655162 LWJ655162 MGF655162 MQB655162 MZX655162 NJT655162 NTP655162 ODL655162 ONH655162 OXD655162 PGZ655162 PQV655162 QAR655162 QKN655162 QUJ655162 REF655162 ROB655162 RXX655162 SHT655162 SRP655162 TBL655162 TLH655162 TVD655162 UEZ655162 UOV655162 UYR655162 VIN655162 VSJ655162 WCF655162 WMB655162 WVX655162 P720698 JL720698 TH720698 ADD720698 AMZ720698 AWV720698 BGR720698 BQN720698 CAJ720698 CKF720698 CUB720698 DDX720698 DNT720698 DXP720698 EHL720698 ERH720698 FBD720698 FKZ720698 FUV720698 GER720698 GON720698 GYJ720698 HIF720698 HSB720698 IBX720698 ILT720698 IVP720698 JFL720698 JPH720698 JZD720698 KIZ720698 KSV720698 LCR720698 LMN720698 LWJ720698 MGF720698 MQB720698 MZX720698 NJT720698 NTP720698 ODL720698 ONH720698 OXD720698 PGZ720698 PQV720698 QAR720698 QKN720698 QUJ720698 REF720698 ROB720698 RXX720698 SHT720698 SRP720698 TBL720698 TLH720698 TVD720698 UEZ720698 UOV720698 UYR720698 VIN720698 VSJ720698 WCF720698 WMB720698 WVX720698 P786234 JL786234 TH786234 ADD786234 AMZ786234 AWV786234 BGR786234 BQN786234 CAJ786234 CKF786234 CUB786234 DDX786234 DNT786234 DXP786234 EHL786234 ERH786234 FBD786234 FKZ786234 FUV786234 GER786234 GON786234 GYJ786234 HIF786234 HSB786234 IBX786234 ILT786234 IVP786234 JFL786234 JPH786234 JZD786234 KIZ786234 KSV786234 LCR786234 LMN786234 LWJ786234 MGF786234 MQB786234 MZX786234 NJT786234 NTP786234 ODL786234 ONH786234 OXD786234 PGZ786234 PQV786234 QAR786234 QKN786234 QUJ786234 REF786234 ROB786234 RXX786234 SHT786234 SRP786234 TBL786234 TLH786234 TVD786234 UEZ786234 UOV786234 UYR786234 VIN786234 VSJ786234 WCF786234 WMB786234 WVX786234 P851770 JL851770 TH851770 ADD851770 AMZ851770 AWV851770 BGR851770 BQN851770 CAJ851770 CKF851770 CUB851770 DDX851770 DNT851770 DXP851770 EHL851770 ERH851770 FBD851770 FKZ851770 FUV851770 GER851770 GON851770 GYJ851770 HIF851770 HSB851770 IBX851770 ILT851770 IVP851770 JFL851770 JPH851770 JZD851770 KIZ851770 KSV851770 LCR851770 LMN851770 LWJ851770 MGF851770 MQB851770 MZX851770 NJT851770 NTP851770 ODL851770 ONH851770 OXD851770 PGZ851770 PQV851770 QAR851770 QKN851770 QUJ851770 REF851770 ROB851770 RXX851770 SHT851770 SRP851770 TBL851770 TLH851770 TVD851770 UEZ851770 UOV851770 UYR851770 VIN851770 VSJ851770 WCF851770 WMB851770 WVX851770 P917306 JL917306 TH917306 ADD917306 AMZ917306 AWV917306 BGR917306 BQN917306 CAJ917306 CKF917306 CUB917306 DDX917306 DNT917306 DXP917306 EHL917306 ERH917306 FBD917306 FKZ917306 FUV917306 GER917306 GON917306 GYJ917306 HIF917306 HSB917306 IBX917306 ILT917306 IVP917306 JFL917306 JPH917306 JZD917306 KIZ917306 KSV917306 LCR917306 LMN917306 LWJ917306 MGF917306 MQB917306 MZX917306 NJT917306 NTP917306 ODL917306 ONH917306 OXD917306 PGZ917306 PQV917306 QAR917306 QKN917306 QUJ917306 REF917306 ROB917306 RXX917306 SHT917306 SRP917306 TBL917306 TLH917306 TVD917306 UEZ917306 UOV917306 UYR917306 VIN917306 VSJ917306 WCF917306 WMB917306 WVX917306 P982842 JL982842 TH982842 ADD982842 AMZ982842 AWV982842 BGR982842 BQN982842 CAJ982842 CKF982842 CUB982842 DDX982842 DNT982842 DXP982842 EHL982842 ERH982842 FBD982842 FKZ982842 FUV982842 GER982842 GON982842 GYJ982842 HIF982842 HSB982842 IBX982842 ILT982842 IVP982842 JFL982842 JPH982842 JZD982842 KIZ982842 KSV982842 LCR982842 LMN982842 LWJ982842 MGF982842 MQB982842 MZX982842 NJT982842 NTP982842 ODL982842 ONH982842 OXD982842 PGZ982842 PQV982842 QAR982842 QKN982842 QUJ982842 REF982842 ROB982842 RXX982842 SHT982842 SRP982842 TBL982842 TLH982842 TVD982842 UEZ982842 UOV982842 UYR982842 VIN982842 VSJ982842 WCF982842 WMB982842 WVX982842 P65437 JL65437 TH65437 ADD65437 AMZ65437 AWV65437 BGR65437 BQN65437 CAJ65437 CKF65437 CUB65437 DDX65437 DNT65437 DXP65437 EHL65437 ERH65437 FBD65437 FKZ65437 FUV65437 GER65437 GON65437 GYJ65437 HIF65437 HSB65437 IBX65437 ILT65437 IVP65437 JFL65437 JPH65437 JZD65437 KIZ65437 KSV65437 LCR65437 LMN65437 LWJ65437 MGF65437 MQB65437 MZX65437 NJT65437 NTP65437 ODL65437 ONH65437 OXD65437 PGZ65437 PQV65437 QAR65437 QKN65437 QUJ65437 REF65437 ROB65437 RXX65437 SHT65437 SRP65437 TBL65437 TLH65437 TVD65437 UEZ65437 UOV65437 UYR65437 VIN65437 VSJ65437 WCF65437 WMB65437 WVX65437 P130973 JL130973 TH130973 ADD130973 AMZ130973 AWV130973 BGR130973 BQN130973 CAJ130973 CKF130973 CUB130973 DDX130973 DNT130973 DXP130973 EHL130973 ERH130973 FBD130973 FKZ130973 FUV130973 GER130973 GON130973 GYJ130973 HIF130973 HSB130973 IBX130973 ILT130973 IVP130973 JFL130973 JPH130973 JZD130973 KIZ130973 KSV130973 LCR130973 LMN130973 LWJ130973 MGF130973 MQB130973 MZX130973 NJT130973 NTP130973 ODL130973 ONH130973 OXD130973 PGZ130973 PQV130973 QAR130973 QKN130973 QUJ130973 REF130973 ROB130973 RXX130973 SHT130973 SRP130973 TBL130973 TLH130973 TVD130973 UEZ130973 UOV130973 UYR130973 VIN130973 VSJ130973 WCF130973 WMB130973 WVX130973 P196509 JL196509 TH196509 ADD196509 AMZ196509 AWV196509 BGR196509 BQN196509 CAJ196509 CKF196509 CUB196509 DDX196509 DNT196509 DXP196509 EHL196509 ERH196509 FBD196509 FKZ196509 FUV196509 GER196509 GON196509 GYJ196509 HIF196509 HSB196509 IBX196509 ILT196509 IVP196509 JFL196509 JPH196509 JZD196509 KIZ196509 KSV196509 LCR196509 LMN196509 LWJ196509 MGF196509 MQB196509 MZX196509 NJT196509 NTP196509 ODL196509 ONH196509 OXD196509 PGZ196509 PQV196509 QAR196509 QKN196509 QUJ196509 REF196509 ROB196509 RXX196509 SHT196509 SRP196509 TBL196509 TLH196509 TVD196509 UEZ196509 UOV196509 UYR196509 VIN196509 VSJ196509 WCF196509 WMB196509 WVX196509 P262045 JL262045 TH262045 ADD262045 AMZ262045 AWV262045 BGR262045 BQN262045 CAJ262045 CKF262045 CUB262045 DDX262045 DNT262045 DXP262045 EHL262045 ERH262045 FBD262045 FKZ262045 FUV262045 GER262045 GON262045 GYJ262045 HIF262045 HSB262045 IBX262045 ILT262045 IVP262045 JFL262045 JPH262045 JZD262045 KIZ262045 KSV262045 LCR262045 LMN262045 LWJ262045 MGF262045 MQB262045 MZX262045 NJT262045 NTP262045 ODL262045 ONH262045 OXD262045 PGZ262045 PQV262045 QAR262045 QKN262045 QUJ262045 REF262045 ROB262045 RXX262045 SHT262045 SRP262045 TBL262045 TLH262045 TVD262045 UEZ262045 UOV262045 UYR262045 VIN262045 VSJ262045 WCF262045 WMB262045 WVX262045 P327581 JL327581 TH327581 ADD327581 AMZ327581 AWV327581 BGR327581 BQN327581 CAJ327581 CKF327581 CUB327581 DDX327581 DNT327581 DXP327581 EHL327581 ERH327581 FBD327581 FKZ327581 FUV327581 GER327581 GON327581 GYJ327581 HIF327581 HSB327581 IBX327581 ILT327581 IVP327581 JFL327581 JPH327581 JZD327581 KIZ327581 KSV327581 LCR327581 LMN327581 LWJ327581 MGF327581 MQB327581 MZX327581 NJT327581 NTP327581 ODL327581 ONH327581 OXD327581 PGZ327581 PQV327581 QAR327581 QKN327581 QUJ327581 REF327581 ROB327581 RXX327581 SHT327581 SRP327581 TBL327581 TLH327581 TVD327581 UEZ327581 UOV327581 UYR327581 VIN327581 VSJ327581 WCF327581 WMB327581 WVX327581 P393117 JL393117 TH393117 ADD393117 AMZ393117 AWV393117 BGR393117 BQN393117 CAJ393117 CKF393117 CUB393117 DDX393117 DNT393117 DXP393117 EHL393117 ERH393117 FBD393117 FKZ393117 FUV393117 GER393117 GON393117 GYJ393117 HIF393117 HSB393117 IBX393117 ILT393117 IVP393117 JFL393117 JPH393117 JZD393117 KIZ393117 KSV393117 LCR393117 LMN393117 LWJ393117 MGF393117 MQB393117 MZX393117 NJT393117 NTP393117 ODL393117 ONH393117 OXD393117 PGZ393117 PQV393117 QAR393117 QKN393117 QUJ393117 REF393117 ROB393117 RXX393117 SHT393117 SRP393117 TBL393117 TLH393117 TVD393117 UEZ393117 UOV393117 UYR393117 VIN393117 VSJ393117 WCF393117 WMB393117 WVX393117 P458653 JL458653 TH458653 ADD458653 AMZ458653 AWV458653 BGR458653 BQN458653 CAJ458653 CKF458653 CUB458653 DDX458653 DNT458653 DXP458653 EHL458653 ERH458653 FBD458653 FKZ458653 FUV458653 GER458653 GON458653 GYJ458653 HIF458653 HSB458653 IBX458653 ILT458653 IVP458653 JFL458653 JPH458653 JZD458653 KIZ458653 KSV458653 LCR458653 LMN458653 LWJ458653 MGF458653 MQB458653 MZX458653 NJT458653 NTP458653 ODL458653 ONH458653 OXD458653 PGZ458653 PQV458653 QAR458653 QKN458653 QUJ458653 REF458653 ROB458653 RXX458653 SHT458653 SRP458653 TBL458653 TLH458653 TVD458653 UEZ458653 UOV458653 UYR458653 VIN458653 VSJ458653 WCF458653 WMB458653 WVX458653 P524189 JL524189 TH524189 ADD524189 AMZ524189 AWV524189 BGR524189 BQN524189 CAJ524189 CKF524189 CUB524189 DDX524189 DNT524189 DXP524189 EHL524189 ERH524189 FBD524189 FKZ524189 FUV524189 GER524189 GON524189 GYJ524189 HIF524189 HSB524189 IBX524189 ILT524189 IVP524189 JFL524189 JPH524189 JZD524189 KIZ524189 KSV524189 LCR524189 LMN524189 LWJ524189 MGF524189 MQB524189 MZX524189 NJT524189 NTP524189 ODL524189 ONH524189 OXD524189 PGZ524189 PQV524189 QAR524189 QKN524189 QUJ524189 REF524189 ROB524189 RXX524189 SHT524189 SRP524189 TBL524189 TLH524189 TVD524189 UEZ524189 UOV524189 UYR524189 VIN524189 VSJ524189 WCF524189 WMB524189 WVX524189 P589725 JL589725 TH589725 ADD589725 AMZ589725 AWV589725 BGR589725 BQN589725 CAJ589725 CKF589725 CUB589725 DDX589725 DNT589725 DXP589725 EHL589725 ERH589725 FBD589725 FKZ589725 FUV589725 GER589725 GON589725 GYJ589725 HIF589725 HSB589725 IBX589725 ILT589725 IVP589725 JFL589725 JPH589725 JZD589725 KIZ589725 KSV589725 LCR589725 LMN589725 LWJ589725 MGF589725 MQB589725 MZX589725 NJT589725 NTP589725 ODL589725 ONH589725 OXD589725 PGZ589725 PQV589725 QAR589725 QKN589725 QUJ589725 REF589725 ROB589725 RXX589725 SHT589725 SRP589725 TBL589725 TLH589725 TVD589725 UEZ589725 UOV589725 UYR589725 VIN589725 VSJ589725 WCF589725 WMB589725 WVX589725 P655261 JL655261 TH655261 ADD655261 AMZ655261 AWV655261 BGR655261 BQN655261 CAJ655261 CKF655261 CUB655261 DDX655261 DNT655261 DXP655261 EHL655261 ERH655261 FBD655261 FKZ655261 FUV655261 GER655261 GON655261 GYJ655261 HIF655261 HSB655261 IBX655261 ILT655261 IVP655261 JFL655261 JPH655261 JZD655261 KIZ655261 KSV655261 LCR655261 LMN655261 LWJ655261 MGF655261 MQB655261 MZX655261 NJT655261 NTP655261 ODL655261 ONH655261 OXD655261 PGZ655261 PQV655261 QAR655261 QKN655261 QUJ655261 REF655261 ROB655261 RXX655261 SHT655261 SRP655261 TBL655261 TLH655261 TVD655261 UEZ655261 UOV655261 UYR655261 VIN655261 VSJ655261 WCF655261 WMB655261 WVX655261 P720797 JL720797 TH720797 ADD720797 AMZ720797 AWV720797 BGR720797 BQN720797 CAJ720797 CKF720797 CUB720797 DDX720797 DNT720797 DXP720797 EHL720797 ERH720797 FBD720797 FKZ720797 FUV720797 GER720797 GON720797 GYJ720797 HIF720797 HSB720797 IBX720797 ILT720797 IVP720797 JFL720797 JPH720797 JZD720797 KIZ720797 KSV720797 LCR720797 LMN720797 LWJ720797 MGF720797 MQB720797 MZX720797 NJT720797 NTP720797 ODL720797 ONH720797 OXD720797 PGZ720797 PQV720797 QAR720797 QKN720797 QUJ720797 REF720797 ROB720797 RXX720797 SHT720797 SRP720797 TBL720797 TLH720797 TVD720797 UEZ720797 UOV720797 UYR720797 VIN720797 VSJ720797 WCF720797 WMB720797 WVX720797 P786333 JL786333 TH786333 ADD786333 AMZ786333 AWV786333 BGR786333 BQN786333 CAJ786333 CKF786333 CUB786333 DDX786333 DNT786333 DXP786333 EHL786333 ERH786333 FBD786333 FKZ786333 FUV786333 GER786333 GON786333 GYJ786333 HIF786333 HSB786333 IBX786333 ILT786333 IVP786333 JFL786333 JPH786333 JZD786333 KIZ786333 KSV786333 LCR786333 LMN786333 LWJ786333 MGF786333 MQB786333 MZX786333 NJT786333 NTP786333 ODL786333 ONH786333 OXD786333 PGZ786333 PQV786333 QAR786333 QKN786333 QUJ786333 REF786333 ROB786333 RXX786333 SHT786333 SRP786333 TBL786333 TLH786333 TVD786333 UEZ786333 UOV786333 UYR786333 VIN786333 VSJ786333 WCF786333 WMB786333 WVX786333 P851869 JL851869 TH851869 ADD851869 AMZ851869 AWV851869 BGR851869 BQN851869 CAJ851869 CKF851869 CUB851869 DDX851869 DNT851869 DXP851869 EHL851869 ERH851869 FBD851869 FKZ851869 FUV851869 GER851869 GON851869 GYJ851869 HIF851869 HSB851869 IBX851869 ILT851869 IVP851869 JFL851869 JPH851869 JZD851869 KIZ851869 KSV851869 LCR851869 LMN851869 LWJ851869 MGF851869 MQB851869 MZX851869 NJT851869 NTP851869 ODL851869 ONH851869 OXD851869 PGZ851869 PQV851869 QAR851869 QKN851869 QUJ851869 REF851869 ROB851869 RXX851869 SHT851869 SRP851869 TBL851869 TLH851869 TVD851869 UEZ851869 UOV851869 UYR851869 VIN851869 VSJ851869 WCF851869 WMB851869 WVX851869 P917405 JL917405 TH917405 ADD917405 AMZ917405 AWV917405 BGR917405 BQN917405 CAJ917405 CKF917405 CUB917405 DDX917405 DNT917405 DXP917405 EHL917405 ERH917405 FBD917405 FKZ917405 FUV917405 GER917405 GON917405 GYJ917405 HIF917405 HSB917405 IBX917405 ILT917405 IVP917405 JFL917405 JPH917405 JZD917405 KIZ917405 KSV917405 LCR917405 LMN917405 LWJ917405 MGF917405 MQB917405 MZX917405 NJT917405 NTP917405 ODL917405 ONH917405 OXD917405 PGZ917405 PQV917405 QAR917405 QKN917405 QUJ917405 REF917405 ROB917405 RXX917405 SHT917405 SRP917405 TBL917405 TLH917405 TVD917405 UEZ917405 UOV917405 UYR917405 VIN917405 VSJ917405 WCF917405 WMB917405 WVX917405 P982941 JL982941 TH982941 ADD982941 AMZ982941 AWV982941 BGR982941 BQN982941 CAJ982941 CKF982941 CUB982941 DDX982941 DNT982941 DXP982941 EHL982941 ERH982941 FBD982941 FKZ982941 FUV982941 GER982941 GON982941 GYJ982941 HIF982941 HSB982941 IBX982941 ILT982941 IVP982941 JFL982941 JPH982941 JZD982941 KIZ982941 KSV982941 LCR982941 LMN982941 LWJ982941 MGF982941 MQB982941 MZX982941 NJT982941 NTP982941 ODL982941 ONH982941 OXD982941 PGZ982941 PQV982941 QAR982941 QKN982941 QUJ982941 REF982941 ROB982941 RXX982941 SHT982941 SRP982941 TBL982941 TLH982941 TVD982941 UEZ982941 UOV982941 UYR982941 VIN982941 VSJ982941 WCF982941 WMB982941 WVX982941 P65535 JL65535 TH65535 ADD65535 AMZ65535 AWV65535 BGR65535 BQN65535 CAJ65535 CKF65535 CUB65535 DDX65535 DNT65535 DXP65535 EHL65535 ERH65535 FBD65535 FKZ65535 FUV65535 GER65535 GON65535 GYJ65535 HIF65535 HSB65535 IBX65535 ILT65535 IVP65535 JFL65535 JPH65535 JZD65535 KIZ65535 KSV65535 LCR65535 LMN65535 LWJ65535 MGF65535 MQB65535 MZX65535 NJT65535 NTP65535 ODL65535 ONH65535 OXD65535 PGZ65535 PQV65535 QAR65535 QKN65535 QUJ65535 REF65535 ROB65535 RXX65535 SHT65535 SRP65535 TBL65535 TLH65535 TVD65535 UEZ65535 UOV65535 UYR65535 VIN65535 VSJ65535 WCF65535 WMB65535 WVX65535 P131071 JL131071 TH131071 ADD131071 AMZ131071 AWV131071 BGR131071 BQN131071 CAJ131071 CKF131071 CUB131071 DDX131071 DNT131071 DXP131071 EHL131071 ERH131071 FBD131071 FKZ131071 FUV131071 GER131071 GON131071 GYJ131071 HIF131071 HSB131071 IBX131071 ILT131071 IVP131071 JFL131071 JPH131071 JZD131071 KIZ131071 KSV131071 LCR131071 LMN131071 LWJ131071 MGF131071 MQB131071 MZX131071 NJT131071 NTP131071 ODL131071 ONH131071 OXD131071 PGZ131071 PQV131071 QAR131071 QKN131071 QUJ131071 REF131071 ROB131071 RXX131071 SHT131071 SRP131071 TBL131071 TLH131071 TVD131071 UEZ131071 UOV131071 UYR131071 VIN131071 VSJ131071 WCF131071 WMB131071 WVX131071 P196607 JL196607 TH196607 ADD196607 AMZ196607 AWV196607 BGR196607 BQN196607 CAJ196607 CKF196607 CUB196607 DDX196607 DNT196607 DXP196607 EHL196607 ERH196607 FBD196607 FKZ196607 FUV196607 GER196607 GON196607 GYJ196607 HIF196607 HSB196607 IBX196607 ILT196607 IVP196607 JFL196607 JPH196607 JZD196607 KIZ196607 KSV196607 LCR196607 LMN196607 LWJ196607 MGF196607 MQB196607 MZX196607 NJT196607 NTP196607 ODL196607 ONH196607 OXD196607 PGZ196607 PQV196607 QAR196607 QKN196607 QUJ196607 REF196607 ROB196607 RXX196607 SHT196607 SRP196607 TBL196607 TLH196607 TVD196607 UEZ196607 UOV196607 UYR196607 VIN196607 VSJ196607 WCF196607 WMB196607 WVX196607 P262143 JL262143 TH262143 ADD262143 AMZ262143 AWV262143 BGR262143 BQN262143 CAJ262143 CKF262143 CUB262143 DDX262143 DNT262143 DXP262143 EHL262143 ERH262143 FBD262143 FKZ262143 FUV262143 GER262143 GON262143 GYJ262143 HIF262143 HSB262143 IBX262143 ILT262143 IVP262143 JFL262143 JPH262143 JZD262143 KIZ262143 KSV262143 LCR262143 LMN262143 LWJ262143 MGF262143 MQB262143 MZX262143 NJT262143 NTP262143 ODL262143 ONH262143 OXD262143 PGZ262143 PQV262143 QAR262143 QKN262143 QUJ262143 REF262143 ROB262143 RXX262143 SHT262143 SRP262143 TBL262143 TLH262143 TVD262143 UEZ262143 UOV262143 UYR262143 VIN262143 VSJ262143 WCF262143 WMB262143 WVX262143 P327679 JL327679 TH327679 ADD327679 AMZ327679 AWV327679 BGR327679 BQN327679 CAJ327679 CKF327679 CUB327679 DDX327679 DNT327679 DXP327679 EHL327679 ERH327679 FBD327679 FKZ327679 FUV327679 GER327679 GON327679 GYJ327679 HIF327679 HSB327679 IBX327679 ILT327679 IVP327679 JFL327679 JPH327679 JZD327679 KIZ327679 KSV327679 LCR327679 LMN327679 LWJ327679 MGF327679 MQB327679 MZX327679 NJT327679 NTP327679 ODL327679 ONH327679 OXD327679 PGZ327679 PQV327679 QAR327679 QKN327679 QUJ327679 REF327679 ROB327679 RXX327679 SHT327679 SRP327679 TBL327679 TLH327679 TVD327679 UEZ327679 UOV327679 UYR327679 VIN327679 VSJ327679 WCF327679 WMB327679 WVX327679 P393215 JL393215 TH393215 ADD393215 AMZ393215 AWV393215 BGR393215 BQN393215 CAJ393215 CKF393215 CUB393215 DDX393215 DNT393215 DXP393215 EHL393215 ERH393215 FBD393215 FKZ393215 FUV393215 GER393215 GON393215 GYJ393215 HIF393215 HSB393215 IBX393215 ILT393215 IVP393215 JFL393215 JPH393215 JZD393215 KIZ393215 KSV393215 LCR393215 LMN393215 LWJ393215 MGF393215 MQB393215 MZX393215 NJT393215 NTP393215 ODL393215 ONH393215 OXD393215 PGZ393215 PQV393215 QAR393215 QKN393215 QUJ393215 REF393215 ROB393215 RXX393215 SHT393215 SRP393215 TBL393215 TLH393215 TVD393215 UEZ393215 UOV393215 UYR393215 VIN393215 VSJ393215 WCF393215 WMB393215 WVX393215 P458751 JL458751 TH458751 ADD458751 AMZ458751 AWV458751 BGR458751 BQN458751 CAJ458751 CKF458751 CUB458751 DDX458751 DNT458751 DXP458751 EHL458751 ERH458751 FBD458751 FKZ458751 FUV458751 GER458751 GON458751 GYJ458751 HIF458751 HSB458751 IBX458751 ILT458751 IVP458751 JFL458751 JPH458751 JZD458751 KIZ458751 KSV458751 LCR458751 LMN458751 LWJ458751 MGF458751 MQB458751 MZX458751 NJT458751 NTP458751 ODL458751 ONH458751 OXD458751 PGZ458751 PQV458751 QAR458751 QKN458751 QUJ458751 REF458751 ROB458751 RXX458751 SHT458751 SRP458751 TBL458751 TLH458751 TVD458751 UEZ458751 UOV458751 UYR458751 VIN458751 VSJ458751 WCF458751 WMB458751 WVX458751 P524287 JL524287 TH524287 ADD524287 AMZ524287 AWV524287 BGR524287 BQN524287 CAJ524287 CKF524287 CUB524287 DDX524287 DNT524287 DXP524287 EHL524287 ERH524287 FBD524287 FKZ524287 FUV524287 GER524287 GON524287 GYJ524287 HIF524287 HSB524287 IBX524287 ILT524287 IVP524287 JFL524287 JPH524287 JZD524287 KIZ524287 KSV524287 LCR524287 LMN524287 LWJ524287 MGF524287 MQB524287 MZX524287 NJT524287 NTP524287 ODL524287 ONH524287 OXD524287 PGZ524287 PQV524287 QAR524287 QKN524287 QUJ524287 REF524287 ROB524287 RXX524287 SHT524287 SRP524287 TBL524287 TLH524287 TVD524287 UEZ524287 UOV524287 UYR524287 VIN524287 VSJ524287 WCF524287 WMB524287 WVX524287 P589823 JL589823 TH589823 ADD589823 AMZ589823 AWV589823 BGR589823 BQN589823 CAJ589823 CKF589823 CUB589823 DDX589823 DNT589823 DXP589823 EHL589823 ERH589823 FBD589823 FKZ589823 FUV589823 GER589823 GON589823 GYJ589823 HIF589823 HSB589823 IBX589823 ILT589823 IVP589823 JFL589823 JPH589823 JZD589823 KIZ589823 KSV589823 LCR589823 LMN589823 LWJ589823 MGF589823 MQB589823 MZX589823 NJT589823 NTP589823 ODL589823 ONH589823 OXD589823 PGZ589823 PQV589823 QAR589823 QKN589823 QUJ589823 REF589823 ROB589823 RXX589823 SHT589823 SRP589823 TBL589823 TLH589823 TVD589823 UEZ589823 UOV589823 UYR589823 VIN589823 VSJ589823 WCF589823 WMB589823 WVX589823 P655359 JL655359 TH655359 ADD655359 AMZ655359 AWV655359 BGR655359 BQN655359 CAJ655359 CKF655359 CUB655359 DDX655359 DNT655359 DXP655359 EHL655359 ERH655359 FBD655359 FKZ655359 FUV655359 GER655359 GON655359 GYJ655359 HIF655359 HSB655359 IBX655359 ILT655359 IVP655359 JFL655359 JPH655359 JZD655359 KIZ655359 KSV655359 LCR655359 LMN655359 LWJ655359 MGF655359 MQB655359 MZX655359 NJT655359 NTP655359 ODL655359 ONH655359 OXD655359 PGZ655359 PQV655359 QAR655359 QKN655359 QUJ655359 REF655359 ROB655359 RXX655359 SHT655359 SRP655359 TBL655359 TLH655359 TVD655359 UEZ655359 UOV655359 UYR655359 VIN655359 VSJ655359 WCF655359 WMB655359 WVX655359 P720895 JL720895 TH720895 ADD720895 AMZ720895 AWV720895 BGR720895 BQN720895 CAJ720895 CKF720895 CUB720895 DDX720895 DNT720895 DXP720895 EHL720895 ERH720895 FBD720895 FKZ720895 FUV720895 GER720895 GON720895 GYJ720895 HIF720895 HSB720895 IBX720895 ILT720895 IVP720895 JFL720895 JPH720895 JZD720895 KIZ720895 KSV720895 LCR720895 LMN720895 LWJ720895 MGF720895 MQB720895 MZX720895 NJT720895 NTP720895 ODL720895 ONH720895 OXD720895 PGZ720895 PQV720895 QAR720895 QKN720895 QUJ720895 REF720895 ROB720895 RXX720895 SHT720895 SRP720895 TBL720895 TLH720895 TVD720895 UEZ720895 UOV720895 UYR720895 VIN720895 VSJ720895 WCF720895 WMB720895 WVX720895 P786431 JL786431 TH786431 ADD786431 AMZ786431 AWV786431 BGR786431 BQN786431 CAJ786431 CKF786431 CUB786431 DDX786431 DNT786431 DXP786431 EHL786431 ERH786431 FBD786431 FKZ786431 FUV786431 GER786431 GON786431 GYJ786431 HIF786431 HSB786431 IBX786431 ILT786431 IVP786431 JFL786431 JPH786431 JZD786431 KIZ786431 KSV786431 LCR786431 LMN786431 LWJ786431 MGF786431 MQB786431 MZX786431 NJT786431 NTP786431 ODL786431 ONH786431 OXD786431 PGZ786431 PQV786431 QAR786431 QKN786431 QUJ786431 REF786431 ROB786431 RXX786431 SHT786431 SRP786431 TBL786431 TLH786431 TVD786431 UEZ786431 UOV786431 UYR786431 VIN786431 VSJ786431 WCF786431 WMB786431 WVX786431 P851967 JL851967 TH851967 ADD851967 AMZ851967 AWV851967 BGR851967 BQN851967 CAJ851967 CKF851967 CUB851967 DDX851967 DNT851967 DXP851967 EHL851967 ERH851967 FBD851967 FKZ851967 FUV851967 GER851967 GON851967 GYJ851967 HIF851967 HSB851967 IBX851967 ILT851967 IVP851967 JFL851967 JPH851967 JZD851967 KIZ851967 KSV851967 LCR851967 LMN851967 LWJ851967 MGF851967 MQB851967 MZX851967 NJT851967 NTP851967 ODL851967 ONH851967 OXD851967 PGZ851967 PQV851967 QAR851967 QKN851967 QUJ851967 REF851967 ROB851967 RXX851967 SHT851967 SRP851967 TBL851967 TLH851967 TVD851967 UEZ851967 UOV851967 UYR851967 VIN851967 VSJ851967 WCF851967 WMB851967 WVX851967 P917503 JL917503 TH917503 ADD917503 AMZ917503 AWV917503 BGR917503 BQN917503 CAJ917503 CKF917503 CUB917503 DDX917503 DNT917503 DXP917503 EHL917503 ERH917503 FBD917503 FKZ917503 FUV917503 GER917503 GON917503 GYJ917503 HIF917503 HSB917503 IBX917503 ILT917503 IVP917503 JFL917503 JPH917503 JZD917503 KIZ917503 KSV917503 LCR917503 LMN917503 LWJ917503 MGF917503 MQB917503 MZX917503 NJT917503 NTP917503 ODL917503 ONH917503 OXD917503 PGZ917503 PQV917503 QAR917503 QKN917503 QUJ917503 REF917503 ROB917503 RXX917503 SHT917503 SRP917503 TBL917503 TLH917503 TVD917503 UEZ917503 UOV917503 UYR917503 VIN917503 VSJ917503 WCF917503 WMB917503 WVX917503 P983039 JL983039 TH983039 ADD983039 AMZ983039 AWV983039 BGR983039 BQN983039 CAJ983039 CKF983039 CUB983039 DDX983039 DNT983039 DXP983039 EHL983039 ERH983039 FBD983039 FKZ983039 FUV983039 GER983039 GON983039 GYJ983039 HIF983039 HSB983039 IBX983039 ILT983039 IVP983039 JFL983039 JPH983039 JZD983039 KIZ983039 KSV983039 LCR983039 LMN983039 LWJ983039 MGF983039 MQB983039 MZX983039 NJT983039 NTP983039 ODL983039 ONH983039 OXD983039 PGZ983039 PQV983039 QAR983039 QKN983039 QUJ983039 REF983039 ROB983039 RXX983039 SHT983039 SRP983039 TBL983039 TLH983039 TVD983039 UEZ983039 UOV983039 UYR983039 VIN983039 VSJ983039 WCF983039 WMB983039 WVX983039" xr:uid="{00000000-0002-0000-0A00-000004000000}">
      <formula1>1</formula1>
      <formula2>0</formula2>
    </dataValidation>
  </dataValidations>
  <pageMargins left="0.511811024" right="0.511811024" top="0.78740157499999996" bottom="0.78740157499999996" header="0.31496062000000002" footer="0.31496062000000002"/>
  <legacyDrawing r:id="rId1"/>
  <extLst>
    <ext xmlns:x14="http://schemas.microsoft.com/office/spreadsheetml/2009/9/main" uri="{CCE6A557-97BC-4b89-ADB6-D9C93CAAB3DF}">
      <x14:dataValidations xmlns:xm="http://schemas.microsoft.com/office/excel/2006/main" count="2">
        <x14:dataValidation type="date" allowBlank="1" showErrorMessage="1" error="Digite uma data válida._x000a_Formato dia/mês/ano - Ex.: 01/01/1999" xr:uid="{00000000-0002-0000-0A00-000005000000}">
          <x14:formula1>
            <xm:f>18264</xm:f>
          </x14:formula1>
          <x14:formula2>
            <xm:f>402133</xm:f>
          </x14:formula2>
          <xm:sqref>Q65197 JM65197 TI65197 ADE65197 ANA65197 AWW65197 BGS65197 BQO65197 CAK65197 CKG65197 CUC65197 DDY65197 DNU65197 DXQ65197 EHM65197 ERI65197 FBE65197 FLA65197 FUW65197 GES65197 GOO65197 GYK65197 HIG65197 HSC65197 IBY65197 ILU65197 IVQ65197 JFM65197 JPI65197 JZE65197 KJA65197 KSW65197 LCS65197 LMO65197 LWK65197 MGG65197 MQC65197 MZY65197 NJU65197 NTQ65197 ODM65197 ONI65197 OXE65197 PHA65197 PQW65197 QAS65197 QKO65197 QUK65197 REG65197 ROC65197 RXY65197 SHU65197 SRQ65197 TBM65197 TLI65197 TVE65197 UFA65197 UOW65197 UYS65197 VIO65197 VSK65197 WCG65197 WMC65197 WVY65197 Q130733 JM130733 TI130733 ADE130733 ANA130733 AWW130733 BGS130733 BQO130733 CAK130733 CKG130733 CUC130733 DDY130733 DNU130733 DXQ130733 EHM130733 ERI130733 FBE130733 FLA130733 FUW130733 GES130733 GOO130733 GYK130733 HIG130733 HSC130733 IBY130733 ILU130733 IVQ130733 JFM130733 JPI130733 JZE130733 KJA130733 KSW130733 LCS130733 LMO130733 LWK130733 MGG130733 MQC130733 MZY130733 NJU130733 NTQ130733 ODM130733 ONI130733 OXE130733 PHA130733 PQW130733 QAS130733 QKO130733 QUK130733 REG130733 ROC130733 RXY130733 SHU130733 SRQ130733 TBM130733 TLI130733 TVE130733 UFA130733 UOW130733 UYS130733 VIO130733 VSK130733 WCG130733 WMC130733 WVY130733 Q196269 JM196269 TI196269 ADE196269 ANA196269 AWW196269 BGS196269 BQO196269 CAK196269 CKG196269 CUC196269 DDY196269 DNU196269 DXQ196269 EHM196269 ERI196269 FBE196269 FLA196269 FUW196269 GES196269 GOO196269 GYK196269 HIG196269 HSC196269 IBY196269 ILU196269 IVQ196269 JFM196269 JPI196269 JZE196269 KJA196269 KSW196269 LCS196269 LMO196269 LWK196269 MGG196269 MQC196269 MZY196269 NJU196269 NTQ196269 ODM196269 ONI196269 OXE196269 PHA196269 PQW196269 QAS196269 QKO196269 QUK196269 REG196269 ROC196269 RXY196269 SHU196269 SRQ196269 TBM196269 TLI196269 TVE196269 UFA196269 UOW196269 UYS196269 VIO196269 VSK196269 WCG196269 WMC196269 WVY196269 Q261805 JM261805 TI261805 ADE261805 ANA261805 AWW261805 BGS261805 BQO261805 CAK261805 CKG261805 CUC261805 DDY261805 DNU261805 DXQ261805 EHM261805 ERI261805 FBE261805 FLA261805 FUW261805 GES261805 GOO261805 GYK261805 HIG261805 HSC261805 IBY261805 ILU261805 IVQ261805 JFM261805 JPI261805 JZE261805 KJA261805 KSW261805 LCS261805 LMO261805 LWK261805 MGG261805 MQC261805 MZY261805 NJU261805 NTQ261805 ODM261805 ONI261805 OXE261805 PHA261805 PQW261805 QAS261805 QKO261805 QUK261805 REG261805 ROC261805 RXY261805 SHU261805 SRQ261805 TBM261805 TLI261805 TVE261805 UFA261805 UOW261805 UYS261805 VIO261805 VSK261805 WCG261805 WMC261805 WVY261805 Q327341 JM327341 TI327341 ADE327341 ANA327341 AWW327341 BGS327341 BQO327341 CAK327341 CKG327341 CUC327341 DDY327341 DNU327341 DXQ327341 EHM327341 ERI327341 FBE327341 FLA327341 FUW327341 GES327341 GOO327341 GYK327341 HIG327341 HSC327341 IBY327341 ILU327341 IVQ327341 JFM327341 JPI327341 JZE327341 KJA327341 KSW327341 LCS327341 LMO327341 LWK327341 MGG327341 MQC327341 MZY327341 NJU327341 NTQ327341 ODM327341 ONI327341 OXE327341 PHA327341 PQW327341 QAS327341 QKO327341 QUK327341 REG327341 ROC327341 RXY327341 SHU327341 SRQ327341 TBM327341 TLI327341 TVE327341 UFA327341 UOW327341 UYS327341 VIO327341 VSK327341 WCG327341 WMC327341 WVY327341 Q392877 JM392877 TI392877 ADE392877 ANA392877 AWW392877 BGS392877 BQO392877 CAK392877 CKG392877 CUC392877 DDY392877 DNU392877 DXQ392877 EHM392877 ERI392877 FBE392877 FLA392877 FUW392877 GES392877 GOO392877 GYK392877 HIG392877 HSC392877 IBY392877 ILU392877 IVQ392877 JFM392877 JPI392877 JZE392877 KJA392877 KSW392877 LCS392877 LMO392877 LWK392877 MGG392877 MQC392877 MZY392877 NJU392877 NTQ392877 ODM392877 ONI392877 OXE392877 PHA392877 PQW392877 QAS392877 QKO392877 QUK392877 REG392877 ROC392877 RXY392877 SHU392877 SRQ392877 TBM392877 TLI392877 TVE392877 UFA392877 UOW392877 UYS392877 VIO392877 VSK392877 WCG392877 WMC392877 WVY392877 Q458413 JM458413 TI458413 ADE458413 ANA458413 AWW458413 BGS458413 BQO458413 CAK458413 CKG458413 CUC458413 DDY458413 DNU458413 DXQ458413 EHM458413 ERI458413 FBE458413 FLA458413 FUW458413 GES458413 GOO458413 GYK458413 HIG458413 HSC458413 IBY458413 ILU458413 IVQ458413 JFM458413 JPI458413 JZE458413 KJA458413 KSW458413 LCS458413 LMO458413 LWK458413 MGG458413 MQC458413 MZY458413 NJU458413 NTQ458413 ODM458413 ONI458413 OXE458413 PHA458413 PQW458413 QAS458413 QKO458413 QUK458413 REG458413 ROC458413 RXY458413 SHU458413 SRQ458413 TBM458413 TLI458413 TVE458413 UFA458413 UOW458413 UYS458413 VIO458413 VSK458413 WCG458413 WMC458413 WVY458413 Q523949 JM523949 TI523949 ADE523949 ANA523949 AWW523949 BGS523949 BQO523949 CAK523949 CKG523949 CUC523949 DDY523949 DNU523949 DXQ523949 EHM523949 ERI523949 FBE523949 FLA523949 FUW523949 GES523949 GOO523949 GYK523949 HIG523949 HSC523949 IBY523949 ILU523949 IVQ523949 JFM523949 JPI523949 JZE523949 KJA523949 KSW523949 LCS523949 LMO523949 LWK523949 MGG523949 MQC523949 MZY523949 NJU523949 NTQ523949 ODM523949 ONI523949 OXE523949 PHA523949 PQW523949 QAS523949 QKO523949 QUK523949 REG523949 ROC523949 RXY523949 SHU523949 SRQ523949 TBM523949 TLI523949 TVE523949 UFA523949 UOW523949 UYS523949 VIO523949 VSK523949 WCG523949 WMC523949 WVY523949 Q589485 JM589485 TI589485 ADE589485 ANA589485 AWW589485 BGS589485 BQO589485 CAK589485 CKG589485 CUC589485 DDY589485 DNU589485 DXQ589485 EHM589485 ERI589485 FBE589485 FLA589485 FUW589485 GES589485 GOO589485 GYK589485 HIG589485 HSC589485 IBY589485 ILU589485 IVQ589485 JFM589485 JPI589485 JZE589485 KJA589485 KSW589485 LCS589485 LMO589485 LWK589485 MGG589485 MQC589485 MZY589485 NJU589485 NTQ589485 ODM589485 ONI589485 OXE589485 PHA589485 PQW589485 QAS589485 QKO589485 QUK589485 REG589485 ROC589485 RXY589485 SHU589485 SRQ589485 TBM589485 TLI589485 TVE589485 UFA589485 UOW589485 UYS589485 VIO589485 VSK589485 WCG589485 WMC589485 WVY589485 Q655021 JM655021 TI655021 ADE655021 ANA655021 AWW655021 BGS655021 BQO655021 CAK655021 CKG655021 CUC655021 DDY655021 DNU655021 DXQ655021 EHM655021 ERI655021 FBE655021 FLA655021 FUW655021 GES655021 GOO655021 GYK655021 HIG655021 HSC655021 IBY655021 ILU655021 IVQ655021 JFM655021 JPI655021 JZE655021 KJA655021 KSW655021 LCS655021 LMO655021 LWK655021 MGG655021 MQC655021 MZY655021 NJU655021 NTQ655021 ODM655021 ONI655021 OXE655021 PHA655021 PQW655021 QAS655021 QKO655021 QUK655021 REG655021 ROC655021 RXY655021 SHU655021 SRQ655021 TBM655021 TLI655021 TVE655021 UFA655021 UOW655021 UYS655021 VIO655021 VSK655021 WCG655021 WMC655021 WVY655021 Q720557 JM720557 TI720557 ADE720557 ANA720557 AWW720557 BGS720557 BQO720557 CAK720557 CKG720557 CUC720557 DDY720557 DNU720557 DXQ720557 EHM720557 ERI720557 FBE720557 FLA720557 FUW720557 GES720557 GOO720557 GYK720557 HIG720557 HSC720557 IBY720557 ILU720557 IVQ720557 JFM720557 JPI720557 JZE720557 KJA720557 KSW720557 LCS720557 LMO720557 LWK720557 MGG720557 MQC720557 MZY720557 NJU720557 NTQ720557 ODM720557 ONI720557 OXE720557 PHA720557 PQW720557 QAS720557 QKO720557 QUK720557 REG720557 ROC720557 RXY720557 SHU720557 SRQ720557 TBM720557 TLI720557 TVE720557 UFA720557 UOW720557 UYS720557 VIO720557 VSK720557 WCG720557 WMC720557 WVY720557 Q786093 JM786093 TI786093 ADE786093 ANA786093 AWW786093 BGS786093 BQO786093 CAK786093 CKG786093 CUC786093 DDY786093 DNU786093 DXQ786093 EHM786093 ERI786093 FBE786093 FLA786093 FUW786093 GES786093 GOO786093 GYK786093 HIG786093 HSC786093 IBY786093 ILU786093 IVQ786093 JFM786093 JPI786093 JZE786093 KJA786093 KSW786093 LCS786093 LMO786093 LWK786093 MGG786093 MQC786093 MZY786093 NJU786093 NTQ786093 ODM786093 ONI786093 OXE786093 PHA786093 PQW786093 QAS786093 QKO786093 QUK786093 REG786093 ROC786093 RXY786093 SHU786093 SRQ786093 TBM786093 TLI786093 TVE786093 UFA786093 UOW786093 UYS786093 VIO786093 VSK786093 WCG786093 WMC786093 WVY786093 Q851629 JM851629 TI851629 ADE851629 ANA851629 AWW851629 BGS851629 BQO851629 CAK851629 CKG851629 CUC851629 DDY851629 DNU851629 DXQ851629 EHM851629 ERI851629 FBE851629 FLA851629 FUW851629 GES851629 GOO851629 GYK851629 HIG851629 HSC851629 IBY851629 ILU851629 IVQ851629 JFM851629 JPI851629 JZE851629 KJA851629 KSW851629 LCS851629 LMO851629 LWK851629 MGG851629 MQC851629 MZY851629 NJU851629 NTQ851629 ODM851629 ONI851629 OXE851629 PHA851629 PQW851629 QAS851629 QKO851629 QUK851629 REG851629 ROC851629 RXY851629 SHU851629 SRQ851629 TBM851629 TLI851629 TVE851629 UFA851629 UOW851629 UYS851629 VIO851629 VSK851629 WCG851629 WMC851629 WVY851629 Q917165 JM917165 TI917165 ADE917165 ANA917165 AWW917165 BGS917165 BQO917165 CAK917165 CKG917165 CUC917165 DDY917165 DNU917165 DXQ917165 EHM917165 ERI917165 FBE917165 FLA917165 FUW917165 GES917165 GOO917165 GYK917165 HIG917165 HSC917165 IBY917165 ILU917165 IVQ917165 JFM917165 JPI917165 JZE917165 KJA917165 KSW917165 LCS917165 LMO917165 LWK917165 MGG917165 MQC917165 MZY917165 NJU917165 NTQ917165 ODM917165 ONI917165 OXE917165 PHA917165 PQW917165 QAS917165 QKO917165 QUK917165 REG917165 ROC917165 RXY917165 SHU917165 SRQ917165 TBM917165 TLI917165 TVE917165 UFA917165 UOW917165 UYS917165 VIO917165 VSK917165 WCG917165 WMC917165 WVY917165 Q982701 JM982701 TI982701 ADE982701 ANA982701 AWW982701 BGS982701 BQO982701 CAK982701 CKG982701 CUC982701 DDY982701 DNU982701 DXQ982701 EHM982701 ERI982701 FBE982701 FLA982701 FUW982701 GES982701 GOO982701 GYK982701 HIG982701 HSC982701 IBY982701 ILU982701 IVQ982701 JFM982701 JPI982701 JZE982701 KJA982701 KSW982701 LCS982701 LMO982701 LWK982701 MGG982701 MQC982701 MZY982701 NJU982701 NTQ982701 ODM982701 ONI982701 OXE982701 PHA982701 PQW982701 QAS982701 QKO982701 QUK982701 REG982701 ROC982701 RXY982701 SHU982701 SRQ982701 TBM982701 TLI982701 TVE982701 UFA982701 UOW982701 UYS982701 VIO982701 VSK982701 WCG982701 WMC982701 WVY982701 C65235:F65235 IY65235:JB65235 SU65235:SX65235 ACQ65235:ACT65235 AMM65235:AMP65235 AWI65235:AWL65235 BGE65235:BGH65235 BQA65235:BQD65235 BZW65235:BZZ65235 CJS65235:CJV65235 CTO65235:CTR65235 DDK65235:DDN65235 DNG65235:DNJ65235 DXC65235:DXF65235 EGY65235:EHB65235 EQU65235:EQX65235 FAQ65235:FAT65235 FKM65235:FKP65235 FUI65235:FUL65235 GEE65235:GEH65235 GOA65235:GOD65235 GXW65235:GXZ65235 HHS65235:HHV65235 HRO65235:HRR65235 IBK65235:IBN65235 ILG65235:ILJ65235 IVC65235:IVF65235 JEY65235:JFB65235 JOU65235:JOX65235 JYQ65235:JYT65235 KIM65235:KIP65235 KSI65235:KSL65235 LCE65235:LCH65235 LMA65235:LMD65235 LVW65235:LVZ65235 MFS65235:MFV65235 MPO65235:MPR65235 MZK65235:MZN65235 NJG65235:NJJ65235 NTC65235:NTF65235 OCY65235:ODB65235 OMU65235:OMX65235 OWQ65235:OWT65235 PGM65235:PGP65235 PQI65235:PQL65235 QAE65235:QAH65235 QKA65235:QKD65235 QTW65235:QTZ65235 RDS65235:RDV65235 RNO65235:RNR65235 RXK65235:RXN65235 SHG65235:SHJ65235 SRC65235:SRF65235 TAY65235:TBB65235 TKU65235:TKX65235 TUQ65235:TUT65235 UEM65235:UEP65235 UOI65235:UOL65235 UYE65235:UYH65235 VIA65235:VID65235 VRW65235:VRZ65235 WBS65235:WBV65235 WLO65235:WLR65235 WVK65235:WVN65235 C130771:F130771 IY130771:JB130771 SU130771:SX130771 ACQ130771:ACT130771 AMM130771:AMP130771 AWI130771:AWL130771 BGE130771:BGH130771 BQA130771:BQD130771 BZW130771:BZZ130771 CJS130771:CJV130771 CTO130771:CTR130771 DDK130771:DDN130771 DNG130771:DNJ130771 DXC130771:DXF130771 EGY130771:EHB130771 EQU130771:EQX130771 FAQ130771:FAT130771 FKM130771:FKP130771 FUI130771:FUL130771 GEE130771:GEH130771 GOA130771:GOD130771 GXW130771:GXZ130771 HHS130771:HHV130771 HRO130771:HRR130771 IBK130771:IBN130771 ILG130771:ILJ130771 IVC130771:IVF130771 JEY130771:JFB130771 JOU130771:JOX130771 JYQ130771:JYT130771 KIM130771:KIP130771 KSI130771:KSL130771 LCE130771:LCH130771 LMA130771:LMD130771 LVW130771:LVZ130771 MFS130771:MFV130771 MPO130771:MPR130771 MZK130771:MZN130771 NJG130771:NJJ130771 NTC130771:NTF130771 OCY130771:ODB130771 OMU130771:OMX130771 OWQ130771:OWT130771 PGM130771:PGP130771 PQI130771:PQL130771 QAE130771:QAH130771 QKA130771:QKD130771 QTW130771:QTZ130771 RDS130771:RDV130771 RNO130771:RNR130771 RXK130771:RXN130771 SHG130771:SHJ130771 SRC130771:SRF130771 TAY130771:TBB130771 TKU130771:TKX130771 TUQ130771:TUT130771 UEM130771:UEP130771 UOI130771:UOL130771 UYE130771:UYH130771 VIA130771:VID130771 VRW130771:VRZ130771 WBS130771:WBV130771 WLO130771:WLR130771 WVK130771:WVN130771 C196307:F196307 IY196307:JB196307 SU196307:SX196307 ACQ196307:ACT196307 AMM196307:AMP196307 AWI196307:AWL196307 BGE196307:BGH196307 BQA196307:BQD196307 BZW196307:BZZ196307 CJS196307:CJV196307 CTO196307:CTR196307 DDK196307:DDN196307 DNG196307:DNJ196307 DXC196307:DXF196307 EGY196307:EHB196307 EQU196307:EQX196307 FAQ196307:FAT196307 FKM196307:FKP196307 FUI196307:FUL196307 GEE196307:GEH196307 GOA196307:GOD196307 GXW196307:GXZ196307 HHS196307:HHV196307 HRO196307:HRR196307 IBK196307:IBN196307 ILG196307:ILJ196307 IVC196307:IVF196307 JEY196307:JFB196307 JOU196307:JOX196307 JYQ196307:JYT196307 KIM196307:KIP196307 KSI196307:KSL196307 LCE196307:LCH196307 LMA196307:LMD196307 LVW196307:LVZ196307 MFS196307:MFV196307 MPO196307:MPR196307 MZK196307:MZN196307 NJG196307:NJJ196307 NTC196307:NTF196307 OCY196307:ODB196307 OMU196307:OMX196307 OWQ196307:OWT196307 PGM196307:PGP196307 PQI196307:PQL196307 QAE196307:QAH196307 QKA196307:QKD196307 QTW196307:QTZ196307 RDS196307:RDV196307 RNO196307:RNR196307 RXK196307:RXN196307 SHG196307:SHJ196307 SRC196307:SRF196307 TAY196307:TBB196307 TKU196307:TKX196307 TUQ196307:TUT196307 UEM196307:UEP196307 UOI196307:UOL196307 UYE196307:UYH196307 VIA196307:VID196307 VRW196307:VRZ196307 WBS196307:WBV196307 WLO196307:WLR196307 WVK196307:WVN196307 C261843:F261843 IY261843:JB261843 SU261843:SX261843 ACQ261843:ACT261843 AMM261843:AMP261843 AWI261843:AWL261843 BGE261843:BGH261843 BQA261843:BQD261843 BZW261843:BZZ261843 CJS261843:CJV261843 CTO261843:CTR261843 DDK261843:DDN261843 DNG261843:DNJ261843 DXC261843:DXF261843 EGY261843:EHB261843 EQU261843:EQX261843 FAQ261843:FAT261843 FKM261843:FKP261843 FUI261843:FUL261843 GEE261843:GEH261843 GOA261843:GOD261843 GXW261843:GXZ261843 HHS261843:HHV261843 HRO261843:HRR261843 IBK261843:IBN261843 ILG261843:ILJ261843 IVC261843:IVF261843 JEY261843:JFB261843 JOU261843:JOX261843 JYQ261843:JYT261843 KIM261843:KIP261843 KSI261843:KSL261843 LCE261843:LCH261843 LMA261843:LMD261843 LVW261843:LVZ261843 MFS261843:MFV261843 MPO261843:MPR261843 MZK261843:MZN261843 NJG261843:NJJ261843 NTC261843:NTF261843 OCY261843:ODB261843 OMU261843:OMX261843 OWQ261843:OWT261843 PGM261843:PGP261843 PQI261843:PQL261843 QAE261843:QAH261843 QKA261843:QKD261843 QTW261843:QTZ261843 RDS261843:RDV261843 RNO261843:RNR261843 RXK261843:RXN261843 SHG261843:SHJ261843 SRC261843:SRF261843 TAY261843:TBB261843 TKU261843:TKX261843 TUQ261843:TUT261843 UEM261843:UEP261843 UOI261843:UOL261843 UYE261843:UYH261843 VIA261843:VID261843 VRW261843:VRZ261843 WBS261843:WBV261843 WLO261843:WLR261843 WVK261843:WVN261843 C327379:F327379 IY327379:JB327379 SU327379:SX327379 ACQ327379:ACT327379 AMM327379:AMP327379 AWI327379:AWL327379 BGE327379:BGH327379 BQA327379:BQD327379 BZW327379:BZZ327379 CJS327379:CJV327379 CTO327379:CTR327379 DDK327379:DDN327379 DNG327379:DNJ327379 DXC327379:DXF327379 EGY327379:EHB327379 EQU327379:EQX327379 FAQ327379:FAT327379 FKM327379:FKP327379 FUI327379:FUL327379 GEE327379:GEH327379 GOA327379:GOD327379 GXW327379:GXZ327379 HHS327379:HHV327379 HRO327379:HRR327379 IBK327379:IBN327379 ILG327379:ILJ327379 IVC327379:IVF327379 JEY327379:JFB327379 JOU327379:JOX327379 JYQ327379:JYT327379 KIM327379:KIP327379 KSI327379:KSL327379 LCE327379:LCH327379 LMA327379:LMD327379 LVW327379:LVZ327379 MFS327379:MFV327379 MPO327379:MPR327379 MZK327379:MZN327379 NJG327379:NJJ327379 NTC327379:NTF327379 OCY327379:ODB327379 OMU327379:OMX327379 OWQ327379:OWT327379 PGM327379:PGP327379 PQI327379:PQL327379 QAE327379:QAH327379 QKA327379:QKD327379 QTW327379:QTZ327379 RDS327379:RDV327379 RNO327379:RNR327379 RXK327379:RXN327379 SHG327379:SHJ327379 SRC327379:SRF327379 TAY327379:TBB327379 TKU327379:TKX327379 TUQ327379:TUT327379 UEM327379:UEP327379 UOI327379:UOL327379 UYE327379:UYH327379 VIA327379:VID327379 VRW327379:VRZ327379 WBS327379:WBV327379 WLO327379:WLR327379 WVK327379:WVN327379 C392915:F392915 IY392915:JB392915 SU392915:SX392915 ACQ392915:ACT392915 AMM392915:AMP392915 AWI392915:AWL392915 BGE392915:BGH392915 BQA392915:BQD392915 BZW392915:BZZ392915 CJS392915:CJV392915 CTO392915:CTR392915 DDK392915:DDN392915 DNG392915:DNJ392915 DXC392915:DXF392915 EGY392915:EHB392915 EQU392915:EQX392915 FAQ392915:FAT392915 FKM392915:FKP392915 FUI392915:FUL392915 GEE392915:GEH392915 GOA392915:GOD392915 GXW392915:GXZ392915 HHS392915:HHV392915 HRO392915:HRR392915 IBK392915:IBN392915 ILG392915:ILJ392915 IVC392915:IVF392915 JEY392915:JFB392915 JOU392915:JOX392915 JYQ392915:JYT392915 KIM392915:KIP392915 KSI392915:KSL392915 LCE392915:LCH392915 LMA392915:LMD392915 LVW392915:LVZ392915 MFS392915:MFV392915 MPO392915:MPR392915 MZK392915:MZN392915 NJG392915:NJJ392915 NTC392915:NTF392915 OCY392915:ODB392915 OMU392915:OMX392915 OWQ392915:OWT392915 PGM392915:PGP392915 PQI392915:PQL392915 QAE392915:QAH392915 QKA392915:QKD392915 QTW392915:QTZ392915 RDS392915:RDV392915 RNO392915:RNR392915 RXK392915:RXN392915 SHG392915:SHJ392915 SRC392915:SRF392915 TAY392915:TBB392915 TKU392915:TKX392915 TUQ392915:TUT392915 UEM392915:UEP392915 UOI392915:UOL392915 UYE392915:UYH392915 VIA392915:VID392915 VRW392915:VRZ392915 WBS392915:WBV392915 WLO392915:WLR392915 WVK392915:WVN392915 C458451:F458451 IY458451:JB458451 SU458451:SX458451 ACQ458451:ACT458451 AMM458451:AMP458451 AWI458451:AWL458451 BGE458451:BGH458451 BQA458451:BQD458451 BZW458451:BZZ458451 CJS458451:CJV458451 CTO458451:CTR458451 DDK458451:DDN458451 DNG458451:DNJ458451 DXC458451:DXF458451 EGY458451:EHB458451 EQU458451:EQX458451 FAQ458451:FAT458451 FKM458451:FKP458451 FUI458451:FUL458451 GEE458451:GEH458451 GOA458451:GOD458451 GXW458451:GXZ458451 HHS458451:HHV458451 HRO458451:HRR458451 IBK458451:IBN458451 ILG458451:ILJ458451 IVC458451:IVF458451 JEY458451:JFB458451 JOU458451:JOX458451 JYQ458451:JYT458451 KIM458451:KIP458451 KSI458451:KSL458451 LCE458451:LCH458451 LMA458451:LMD458451 LVW458451:LVZ458451 MFS458451:MFV458451 MPO458451:MPR458451 MZK458451:MZN458451 NJG458451:NJJ458451 NTC458451:NTF458451 OCY458451:ODB458451 OMU458451:OMX458451 OWQ458451:OWT458451 PGM458451:PGP458451 PQI458451:PQL458451 QAE458451:QAH458451 QKA458451:QKD458451 QTW458451:QTZ458451 RDS458451:RDV458451 RNO458451:RNR458451 RXK458451:RXN458451 SHG458451:SHJ458451 SRC458451:SRF458451 TAY458451:TBB458451 TKU458451:TKX458451 TUQ458451:TUT458451 UEM458451:UEP458451 UOI458451:UOL458451 UYE458451:UYH458451 VIA458451:VID458451 VRW458451:VRZ458451 WBS458451:WBV458451 WLO458451:WLR458451 WVK458451:WVN458451 C523987:F523987 IY523987:JB523987 SU523987:SX523987 ACQ523987:ACT523987 AMM523987:AMP523987 AWI523987:AWL523987 BGE523987:BGH523987 BQA523987:BQD523987 BZW523987:BZZ523987 CJS523987:CJV523987 CTO523987:CTR523987 DDK523987:DDN523987 DNG523987:DNJ523987 DXC523987:DXF523987 EGY523987:EHB523987 EQU523987:EQX523987 FAQ523987:FAT523987 FKM523987:FKP523987 FUI523987:FUL523987 GEE523987:GEH523987 GOA523987:GOD523987 GXW523987:GXZ523987 HHS523987:HHV523987 HRO523987:HRR523987 IBK523987:IBN523987 ILG523987:ILJ523987 IVC523987:IVF523987 JEY523987:JFB523987 JOU523987:JOX523987 JYQ523987:JYT523987 KIM523987:KIP523987 KSI523987:KSL523987 LCE523987:LCH523987 LMA523987:LMD523987 LVW523987:LVZ523987 MFS523987:MFV523987 MPO523987:MPR523987 MZK523987:MZN523987 NJG523987:NJJ523987 NTC523987:NTF523987 OCY523987:ODB523987 OMU523987:OMX523987 OWQ523987:OWT523987 PGM523987:PGP523987 PQI523987:PQL523987 QAE523987:QAH523987 QKA523987:QKD523987 QTW523987:QTZ523987 RDS523987:RDV523987 RNO523987:RNR523987 RXK523987:RXN523987 SHG523987:SHJ523987 SRC523987:SRF523987 TAY523987:TBB523987 TKU523987:TKX523987 TUQ523987:TUT523987 UEM523987:UEP523987 UOI523987:UOL523987 UYE523987:UYH523987 VIA523987:VID523987 VRW523987:VRZ523987 WBS523987:WBV523987 WLO523987:WLR523987 WVK523987:WVN523987 C589523:F589523 IY589523:JB589523 SU589523:SX589523 ACQ589523:ACT589523 AMM589523:AMP589523 AWI589523:AWL589523 BGE589523:BGH589523 BQA589523:BQD589523 BZW589523:BZZ589523 CJS589523:CJV589523 CTO589523:CTR589523 DDK589523:DDN589523 DNG589523:DNJ589523 DXC589523:DXF589523 EGY589523:EHB589523 EQU589523:EQX589523 FAQ589523:FAT589523 FKM589523:FKP589523 FUI589523:FUL589523 GEE589523:GEH589523 GOA589523:GOD589523 GXW589523:GXZ589523 HHS589523:HHV589523 HRO589523:HRR589523 IBK589523:IBN589523 ILG589523:ILJ589523 IVC589523:IVF589523 JEY589523:JFB589523 JOU589523:JOX589523 JYQ589523:JYT589523 KIM589523:KIP589523 KSI589523:KSL589523 LCE589523:LCH589523 LMA589523:LMD589523 LVW589523:LVZ589523 MFS589523:MFV589523 MPO589523:MPR589523 MZK589523:MZN589523 NJG589523:NJJ589523 NTC589523:NTF589523 OCY589523:ODB589523 OMU589523:OMX589523 OWQ589523:OWT589523 PGM589523:PGP589523 PQI589523:PQL589523 QAE589523:QAH589523 QKA589523:QKD589523 QTW589523:QTZ589523 RDS589523:RDV589523 RNO589523:RNR589523 RXK589523:RXN589523 SHG589523:SHJ589523 SRC589523:SRF589523 TAY589523:TBB589523 TKU589523:TKX589523 TUQ589523:TUT589523 UEM589523:UEP589523 UOI589523:UOL589523 UYE589523:UYH589523 VIA589523:VID589523 VRW589523:VRZ589523 WBS589523:WBV589523 WLO589523:WLR589523 WVK589523:WVN589523 C655059:F655059 IY655059:JB655059 SU655059:SX655059 ACQ655059:ACT655059 AMM655059:AMP655059 AWI655059:AWL655059 BGE655059:BGH655059 BQA655059:BQD655059 BZW655059:BZZ655059 CJS655059:CJV655059 CTO655059:CTR655059 DDK655059:DDN655059 DNG655059:DNJ655059 DXC655059:DXF655059 EGY655059:EHB655059 EQU655059:EQX655059 FAQ655059:FAT655059 FKM655059:FKP655059 FUI655059:FUL655059 GEE655059:GEH655059 GOA655059:GOD655059 GXW655059:GXZ655059 HHS655059:HHV655059 HRO655059:HRR655059 IBK655059:IBN655059 ILG655059:ILJ655059 IVC655059:IVF655059 JEY655059:JFB655059 JOU655059:JOX655059 JYQ655059:JYT655059 KIM655059:KIP655059 KSI655059:KSL655059 LCE655059:LCH655059 LMA655059:LMD655059 LVW655059:LVZ655059 MFS655059:MFV655059 MPO655059:MPR655059 MZK655059:MZN655059 NJG655059:NJJ655059 NTC655059:NTF655059 OCY655059:ODB655059 OMU655059:OMX655059 OWQ655059:OWT655059 PGM655059:PGP655059 PQI655059:PQL655059 QAE655059:QAH655059 QKA655059:QKD655059 QTW655059:QTZ655059 RDS655059:RDV655059 RNO655059:RNR655059 RXK655059:RXN655059 SHG655059:SHJ655059 SRC655059:SRF655059 TAY655059:TBB655059 TKU655059:TKX655059 TUQ655059:TUT655059 UEM655059:UEP655059 UOI655059:UOL655059 UYE655059:UYH655059 VIA655059:VID655059 VRW655059:VRZ655059 WBS655059:WBV655059 WLO655059:WLR655059 WVK655059:WVN655059 C720595:F720595 IY720595:JB720595 SU720595:SX720595 ACQ720595:ACT720595 AMM720595:AMP720595 AWI720595:AWL720595 BGE720595:BGH720595 BQA720595:BQD720595 BZW720595:BZZ720595 CJS720595:CJV720595 CTO720595:CTR720595 DDK720595:DDN720595 DNG720595:DNJ720595 DXC720595:DXF720595 EGY720595:EHB720595 EQU720595:EQX720595 FAQ720595:FAT720595 FKM720595:FKP720595 FUI720595:FUL720595 GEE720595:GEH720595 GOA720595:GOD720595 GXW720595:GXZ720595 HHS720595:HHV720595 HRO720595:HRR720595 IBK720595:IBN720595 ILG720595:ILJ720595 IVC720595:IVF720595 JEY720595:JFB720595 JOU720595:JOX720595 JYQ720595:JYT720595 KIM720595:KIP720595 KSI720595:KSL720595 LCE720595:LCH720595 LMA720595:LMD720595 LVW720595:LVZ720595 MFS720595:MFV720595 MPO720595:MPR720595 MZK720595:MZN720595 NJG720595:NJJ720595 NTC720595:NTF720595 OCY720595:ODB720595 OMU720595:OMX720595 OWQ720595:OWT720595 PGM720595:PGP720595 PQI720595:PQL720595 QAE720595:QAH720595 QKA720595:QKD720595 QTW720595:QTZ720595 RDS720595:RDV720595 RNO720595:RNR720595 RXK720595:RXN720595 SHG720595:SHJ720595 SRC720595:SRF720595 TAY720595:TBB720595 TKU720595:TKX720595 TUQ720595:TUT720595 UEM720595:UEP720595 UOI720595:UOL720595 UYE720595:UYH720595 VIA720595:VID720595 VRW720595:VRZ720595 WBS720595:WBV720595 WLO720595:WLR720595 WVK720595:WVN720595 C786131:F786131 IY786131:JB786131 SU786131:SX786131 ACQ786131:ACT786131 AMM786131:AMP786131 AWI786131:AWL786131 BGE786131:BGH786131 BQA786131:BQD786131 BZW786131:BZZ786131 CJS786131:CJV786131 CTO786131:CTR786131 DDK786131:DDN786131 DNG786131:DNJ786131 DXC786131:DXF786131 EGY786131:EHB786131 EQU786131:EQX786131 FAQ786131:FAT786131 FKM786131:FKP786131 FUI786131:FUL786131 GEE786131:GEH786131 GOA786131:GOD786131 GXW786131:GXZ786131 HHS786131:HHV786131 HRO786131:HRR786131 IBK786131:IBN786131 ILG786131:ILJ786131 IVC786131:IVF786131 JEY786131:JFB786131 JOU786131:JOX786131 JYQ786131:JYT786131 KIM786131:KIP786131 KSI786131:KSL786131 LCE786131:LCH786131 LMA786131:LMD786131 LVW786131:LVZ786131 MFS786131:MFV786131 MPO786131:MPR786131 MZK786131:MZN786131 NJG786131:NJJ786131 NTC786131:NTF786131 OCY786131:ODB786131 OMU786131:OMX786131 OWQ786131:OWT786131 PGM786131:PGP786131 PQI786131:PQL786131 QAE786131:QAH786131 QKA786131:QKD786131 QTW786131:QTZ786131 RDS786131:RDV786131 RNO786131:RNR786131 RXK786131:RXN786131 SHG786131:SHJ786131 SRC786131:SRF786131 TAY786131:TBB786131 TKU786131:TKX786131 TUQ786131:TUT786131 UEM786131:UEP786131 UOI786131:UOL786131 UYE786131:UYH786131 VIA786131:VID786131 VRW786131:VRZ786131 WBS786131:WBV786131 WLO786131:WLR786131 WVK786131:WVN786131 C851667:F851667 IY851667:JB851667 SU851667:SX851667 ACQ851667:ACT851667 AMM851667:AMP851667 AWI851667:AWL851667 BGE851667:BGH851667 BQA851667:BQD851667 BZW851667:BZZ851667 CJS851667:CJV851667 CTO851667:CTR851667 DDK851667:DDN851667 DNG851667:DNJ851667 DXC851667:DXF851667 EGY851667:EHB851667 EQU851667:EQX851667 FAQ851667:FAT851667 FKM851667:FKP851667 FUI851667:FUL851667 GEE851667:GEH851667 GOA851667:GOD851667 GXW851667:GXZ851667 HHS851667:HHV851667 HRO851667:HRR851667 IBK851667:IBN851667 ILG851667:ILJ851667 IVC851667:IVF851667 JEY851667:JFB851667 JOU851667:JOX851667 JYQ851667:JYT851667 KIM851667:KIP851667 KSI851667:KSL851667 LCE851667:LCH851667 LMA851667:LMD851667 LVW851667:LVZ851667 MFS851667:MFV851667 MPO851667:MPR851667 MZK851667:MZN851667 NJG851667:NJJ851667 NTC851667:NTF851667 OCY851667:ODB851667 OMU851667:OMX851667 OWQ851667:OWT851667 PGM851667:PGP851667 PQI851667:PQL851667 QAE851667:QAH851667 QKA851667:QKD851667 QTW851667:QTZ851667 RDS851667:RDV851667 RNO851667:RNR851667 RXK851667:RXN851667 SHG851667:SHJ851667 SRC851667:SRF851667 TAY851667:TBB851667 TKU851667:TKX851667 TUQ851667:TUT851667 UEM851667:UEP851667 UOI851667:UOL851667 UYE851667:UYH851667 VIA851667:VID851667 VRW851667:VRZ851667 WBS851667:WBV851667 WLO851667:WLR851667 WVK851667:WVN851667 C917203:F917203 IY917203:JB917203 SU917203:SX917203 ACQ917203:ACT917203 AMM917203:AMP917203 AWI917203:AWL917203 BGE917203:BGH917203 BQA917203:BQD917203 BZW917203:BZZ917203 CJS917203:CJV917203 CTO917203:CTR917203 DDK917203:DDN917203 DNG917203:DNJ917203 DXC917203:DXF917203 EGY917203:EHB917203 EQU917203:EQX917203 FAQ917203:FAT917203 FKM917203:FKP917203 FUI917203:FUL917203 GEE917203:GEH917203 GOA917203:GOD917203 GXW917203:GXZ917203 HHS917203:HHV917203 HRO917203:HRR917203 IBK917203:IBN917203 ILG917203:ILJ917203 IVC917203:IVF917203 JEY917203:JFB917203 JOU917203:JOX917203 JYQ917203:JYT917203 KIM917203:KIP917203 KSI917203:KSL917203 LCE917203:LCH917203 LMA917203:LMD917203 LVW917203:LVZ917203 MFS917203:MFV917203 MPO917203:MPR917203 MZK917203:MZN917203 NJG917203:NJJ917203 NTC917203:NTF917203 OCY917203:ODB917203 OMU917203:OMX917203 OWQ917203:OWT917203 PGM917203:PGP917203 PQI917203:PQL917203 QAE917203:QAH917203 QKA917203:QKD917203 QTW917203:QTZ917203 RDS917203:RDV917203 RNO917203:RNR917203 RXK917203:RXN917203 SHG917203:SHJ917203 SRC917203:SRF917203 TAY917203:TBB917203 TKU917203:TKX917203 TUQ917203:TUT917203 UEM917203:UEP917203 UOI917203:UOL917203 UYE917203:UYH917203 VIA917203:VID917203 VRW917203:VRZ917203 WBS917203:WBV917203 WLO917203:WLR917203 WVK917203:WVN917203 C982739:F982739 IY982739:JB982739 SU982739:SX982739 ACQ982739:ACT982739 AMM982739:AMP982739 AWI982739:AWL982739 BGE982739:BGH982739 BQA982739:BQD982739 BZW982739:BZZ982739 CJS982739:CJV982739 CTO982739:CTR982739 DDK982739:DDN982739 DNG982739:DNJ982739 DXC982739:DXF982739 EGY982739:EHB982739 EQU982739:EQX982739 FAQ982739:FAT982739 FKM982739:FKP982739 FUI982739:FUL982739 GEE982739:GEH982739 GOA982739:GOD982739 GXW982739:GXZ982739 HHS982739:HHV982739 HRO982739:HRR982739 IBK982739:IBN982739 ILG982739:ILJ982739 IVC982739:IVF982739 JEY982739:JFB982739 JOU982739:JOX982739 JYQ982739:JYT982739 KIM982739:KIP982739 KSI982739:KSL982739 LCE982739:LCH982739 LMA982739:LMD982739 LVW982739:LVZ982739 MFS982739:MFV982739 MPO982739:MPR982739 MZK982739:MZN982739 NJG982739:NJJ982739 NTC982739:NTF982739 OCY982739:ODB982739 OMU982739:OMX982739 OWQ982739:OWT982739 PGM982739:PGP982739 PQI982739:PQL982739 QAE982739:QAH982739 QKA982739:QKD982739 QTW982739:QTZ982739 RDS982739:RDV982739 RNO982739:RNR982739 RXK982739:RXN982739 SHG982739:SHJ982739 SRC982739:SRF982739 TAY982739:TBB982739 TKU982739:TKX982739 TUQ982739:TUT982739 UEM982739:UEP982739 UOI982739:UOL982739 UYE982739:UYH982739 VIA982739:VID982739 VRW982739:VRZ982739 WBS982739:WBV982739 WLO982739:WLR982739 WVK982739:WVN982739 C65237:F65237 IY65237:JB65237 SU65237:SX65237 ACQ65237:ACT65237 AMM65237:AMP65237 AWI65237:AWL65237 BGE65237:BGH65237 BQA65237:BQD65237 BZW65237:BZZ65237 CJS65237:CJV65237 CTO65237:CTR65237 DDK65237:DDN65237 DNG65237:DNJ65237 DXC65237:DXF65237 EGY65237:EHB65237 EQU65237:EQX65237 FAQ65237:FAT65237 FKM65237:FKP65237 FUI65237:FUL65237 GEE65237:GEH65237 GOA65237:GOD65237 GXW65237:GXZ65237 HHS65237:HHV65237 HRO65237:HRR65237 IBK65237:IBN65237 ILG65237:ILJ65237 IVC65237:IVF65237 JEY65237:JFB65237 JOU65237:JOX65237 JYQ65237:JYT65237 KIM65237:KIP65237 KSI65237:KSL65237 LCE65237:LCH65237 LMA65237:LMD65237 LVW65237:LVZ65237 MFS65237:MFV65237 MPO65237:MPR65237 MZK65237:MZN65237 NJG65237:NJJ65237 NTC65237:NTF65237 OCY65237:ODB65237 OMU65237:OMX65237 OWQ65237:OWT65237 PGM65237:PGP65237 PQI65237:PQL65237 QAE65237:QAH65237 QKA65237:QKD65237 QTW65237:QTZ65237 RDS65237:RDV65237 RNO65237:RNR65237 RXK65237:RXN65237 SHG65237:SHJ65237 SRC65237:SRF65237 TAY65237:TBB65237 TKU65237:TKX65237 TUQ65237:TUT65237 UEM65237:UEP65237 UOI65237:UOL65237 UYE65237:UYH65237 VIA65237:VID65237 VRW65237:VRZ65237 WBS65237:WBV65237 WLO65237:WLR65237 WVK65237:WVN65237 C130773:F130773 IY130773:JB130773 SU130773:SX130773 ACQ130773:ACT130773 AMM130773:AMP130773 AWI130773:AWL130773 BGE130773:BGH130773 BQA130773:BQD130773 BZW130773:BZZ130773 CJS130773:CJV130773 CTO130773:CTR130773 DDK130773:DDN130773 DNG130773:DNJ130773 DXC130773:DXF130773 EGY130773:EHB130773 EQU130773:EQX130773 FAQ130773:FAT130773 FKM130773:FKP130773 FUI130773:FUL130773 GEE130773:GEH130773 GOA130773:GOD130773 GXW130773:GXZ130773 HHS130773:HHV130773 HRO130773:HRR130773 IBK130773:IBN130773 ILG130773:ILJ130773 IVC130773:IVF130773 JEY130773:JFB130773 JOU130773:JOX130773 JYQ130773:JYT130773 KIM130773:KIP130773 KSI130773:KSL130773 LCE130773:LCH130773 LMA130773:LMD130773 LVW130773:LVZ130773 MFS130773:MFV130773 MPO130773:MPR130773 MZK130773:MZN130773 NJG130773:NJJ130773 NTC130773:NTF130773 OCY130773:ODB130773 OMU130773:OMX130773 OWQ130773:OWT130773 PGM130773:PGP130773 PQI130773:PQL130773 QAE130773:QAH130773 QKA130773:QKD130773 QTW130773:QTZ130773 RDS130773:RDV130773 RNO130773:RNR130773 RXK130773:RXN130773 SHG130773:SHJ130773 SRC130773:SRF130773 TAY130773:TBB130773 TKU130773:TKX130773 TUQ130773:TUT130773 UEM130773:UEP130773 UOI130773:UOL130773 UYE130773:UYH130773 VIA130773:VID130773 VRW130773:VRZ130773 WBS130773:WBV130773 WLO130773:WLR130773 WVK130773:WVN130773 C196309:F196309 IY196309:JB196309 SU196309:SX196309 ACQ196309:ACT196309 AMM196309:AMP196309 AWI196309:AWL196309 BGE196309:BGH196309 BQA196309:BQD196309 BZW196309:BZZ196309 CJS196309:CJV196309 CTO196309:CTR196309 DDK196309:DDN196309 DNG196309:DNJ196309 DXC196309:DXF196309 EGY196309:EHB196309 EQU196309:EQX196309 FAQ196309:FAT196309 FKM196309:FKP196309 FUI196309:FUL196309 GEE196309:GEH196309 GOA196309:GOD196309 GXW196309:GXZ196309 HHS196309:HHV196309 HRO196309:HRR196309 IBK196309:IBN196309 ILG196309:ILJ196309 IVC196309:IVF196309 JEY196309:JFB196309 JOU196309:JOX196309 JYQ196309:JYT196309 KIM196309:KIP196309 KSI196309:KSL196309 LCE196309:LCH196309 LMA196309:LMD196309 LVW196309:LVZ196309 MFS196309:MFV196309 MPO196309:MPR196309 MZK196309:MZN196309 NJG196309:NJJ196309 NTC196309:NTF196309 OCY196309:ODB196309 OMU196309:OMX196309 OWQ196309:OWT196309 PGM196309:PGP196309 PQI196309:PQL196309 QAE196309:QAH196309 QKA196309:QKD196309 QTW196309:QTZ196309 RDS196309:RDV196309 RNO196309:RNR196309 RXK196309:RXN196309 SHG196309:SHJ196309 SRC196309:SRF196309 TAY196309:TBB196309 TKU196309:TKX196309 TUQ196309:TUT196309 UEM196309:UEP196309 UOI196309:UOL196309 UYE196309:UYH196309 VIA196309:VID196309 VRW196309:VRZ196309 WBS196309:WBV196309 WLO196309:WLR196309 WVK196309:WVN196309 C261845:F261845 IY261845:JB261845 SU261845:SX261845 ACQ261845:ACT261845 AMM261845:AMP261845 AWI261845:AWL261845 BGE261845:BGH261845 BQA261845:BQD261845 BZW261845:BZZ261845 CJS261845:CJV261845 CTO261845:CTR261845 DDK261845:DDN261845 DNG261845:DNJ261845 DXC261845:DXF261845 EGY261845:EHB261845 EQU261845:EQX261845 FAQ261845:FAT261845 FKM261845:FKP261845 FUI261845:FUL261845 GEE261845:GEH261845 GOA261845:GOD261845 GXW261845:GXZ261845 HHS261845:HHV261845 HRO261845:HRR261845 IBK261845:IBN261845 ILG261845:ILJ261845 IVC261845:IVF261845 JEY261845:JFB261845 JOU261845:JOX261845 JYQ261845:JYT261845 KIM261845:KIP261845 KSI261845:KSL261845 LCE261845:LCH261845 LMA261845:LMD261845 LVW261845:LVZ261845 MFS261845:MFV261845 MPO261845:MPR261845 MZK261845:MZN261845 NJG261845:NJJ261845 NTC261845:NTF261845 OCY261845:ODB261845 OMU261845:OMX261845 OWQ261845:OWT261845 PGM261845:PGP261845 PQI261845:PQL261845 QAE261845:QAH261845 QKA261845:QKD261845 QTW261845:QTZ261845 RDS261845:RDV261845 RNO261845:RNR261845 RXK261845:RXN261845 SHG261845:SHJ261845 SRC261845:SRF261845 TAY261845:TBB261845 TKU261845:TKX261845 TUQ261845:TUT261845 UEM261845:UEP261845 UOI261845:UOL261845 UYE261845:UYH261845 VIA261845:VID261845 VRW261845:VRZ261845 WBS261845:WBV261845 WLO261845:WLR261845 WVK261845:WVN261845 C327381:F327381 IY327381:JB327381 SU327381:SX327381 ACQ327381:ACT327381 AMM327381:AMP327381 AWI327381:AWL327381 BGE327381:BGH327381 BQA327381:BQD327381 BZW327381:BZZ327381 CJS327381:CJV327381 CTO327381:CTR327381 DDK327381:DDN327381 DNG327381:DNJ327381 DXC327381:DXF327381 EGY327381:EHB327381 EQU327381:EQX327381 FAQ327381:FAT327381 FKM327381:FKP327381 FUI327381:FUL327381 GEE327381:GEH327381 GOA327381:GOD327381 GXW327381:GXZ327381 HHS327381:HHV327381 HRO327381:HRR327381 IBK327381:IBN327381 ILG327381:ILJ327381 IVC327381:IVF327381 JEY327381:JFB327381 JOU327381:JOX327381 JYQ327381:JYT327381 KIM327381:KIP327381 KSI327381:KSL327381 LCE327381:LCH327381 LMA327381:LMD327381 LVW327381:LVZ327381 MFS327381:MFV327381 MPO327381:MPR327381 MZK327381:MZN327381 NJG327381:NJJ327381 NTC327381:NTF327381 OCY327381:ODB327381 OMU327381:OMX327381 OWQ327381:OWT327381 PGM327381:PGP327381 PQI327381:PQL327381 QAE327381:QAH327381 QKA327381:QKD327381 QTW327381:QTZ327381 RDS327381:RDV327381 RNO327381:RNR327381 RXK327381:RXN327381 SHG327381:SHJ327381 SRC327381:SRF327381 TAY327381:TBB327381 TKU327381:TKX327381 TUQ327381:TUT327381 UEM327381:UEP327381 UOI327381:UOL327381 UYE327381:UYH327381 VIA327381:VID327381 VRW327381:VRZ327381 WBS327381:WBV327381 WLO327381:WLR327381 WVK327381:WVN327381 C392917:F392917 IY392917:JB392917 SU392917:SX392917 ACQ392917:ACT392917 AMM392917:AMP392917 AWI392917:AWL392917 BGE392917:BGH392917 BQA392917:BQD392917 BZW392917:BZZ392917 CJS392917:CJV392917 CTO392917:CTR392917 DDK392917:DDN392917 DNG392917:DNJ392917 DXC392917:DXF392917 EGY392917:EHB392917 EQU392917:EQX392917 FAQ392917:FAT392917 FKM392917:FKP392917 FUI392917:FUL392917 GEE392917:GEH392917 GOA392917:GOD392917 GXW392917:GXZ392917 HHS392917:HHV392917 HRO392917:HRR392917 IBK392917:IBN392917 ILG392917:ILJ392917 IVC392917:IVF392917 JEY392917:JFB392917 JOU392917:JOX392917 JYQ392917:JYT392917 KIM392917:KIP392917 KSI392917:KSL392917 LCE392917:LCH392917 LMA392917:LMD392917 LVW392917:LVZ392917 MFS392917:MFV392917 MPO392917:MPR392917 MZK392917:MZN392917 NJG392917:NJJ392917 NTC392917:NTF392917 OCY392917:ODB392917 OMU392917:OMX392917 OWQ392917:OWT392917 PGM392917:PGP392917 PQI392917:PQL392917 QAE392917:QAH392917 QKA392917:QKD392917 QTW392917:QTZ392917 RDS392917:RDV392917 RNO392917:RNR392917 RXK392917:RXN392917 SHG392917:SHJ392917 SRC392917:SRF392917 TAY392917:TBB392917 TKU392917:TKX392917 TUQ392917:TUT392917 UEM392917:UEP392917 UOI392917:UOL392917 UYE392917:UYH392917 VIA392917:VID392917 VRW392917:VRZ392917 WBS392917:WBV392917 WLO392917:WLR392917 WVK392917:WVN392917 C458453:F458453 IY458453:JB458453 SU458453:SX458453 ACQ458453:ACT458453 AMM458453:AMP458453 AWI458453:AWL458453 BGE458453:BGH458453 BQA458453:BQD458453 BZW458453:BZZ458453 CJS458453:CJV458453 CTO458453:CTR458453 DDK458453:DDN458453 DNG458453:DNJ458453 DXC458453:DXF458453 EGY458453:EHB458453 EQU458453:EQX458453 FAQ458453:FAT458453 FKM458453:FKP458453 FUI458453:FUL458453 GEE458453:GEH458453 GOA458453:GOD458453 GXW458453:GXZ458453 HHS458453:HHV458453 HRO458453:HRR458453 IBK458453:IBN458453 ILG458453:ILJ458453 IVC458453:IVF458453 JEY458453:JFB458453 JOU458453:JOX458453 JYQ458453:JYT458453 KIM458453:KIP458453 KSI458453:KSL458453 LCE458453:LCH458453 LMA458453:LMD458453 LVW458453:LVZ458453 MFS458453:MFV458453 MPO458453:MPR458453 MZK458453:MZN458453 NJG458453:NJJ458453 NTC458453:NTF458453 OCY458453:ODB458453 OMU458453:OMX458453 OWQ458453:OWT458453 PGM458453:PGP458453 PQI458453:PQL458453 QAE458453:QAH458453 QKA458453:QKD458453 QTW458453:QTZ458453 RDS458453:RDV458453 RNO458453:RNR458453 RXK458453:RXN458453 SHG458453:SHJ458453 SRC458453:SRF458453 TAY458453:TBB458453 TKU458453:TKX458453 TUQ458453:TUT458453 UEM458453:UEP458453 UOI458453:UOL458453 UYE458453:UYH458453 VIA458453:VID458453 VRW458453:VRZ458453 WBS458453:WBV458453 WLO458453:WLR458453 WVK458453:WVN458453 C523989:F523989 IY523989:JB523989 SU523989:SX523989 ACQ523989:ACT523989 AMM523989:AMP523989 AWI523989:AWL523989 BGE523989:BGH523989 BQA523989:BQD523989 BZW523989:BZZ523989 CJS523989:CJV523989 CTO523989:CTR523989 DDK523989:DDN523989 DNG523989:DNJ523989 DXC523989:DXF523989 EGY523989:EHB523989 EQU523989:EQX523989 FAQ523989:FAT523989 FKM523989:FKP523989 FUI523989:FUL523989 GEE523989:GEH523989 GOA523989:GOD523989 GXW523989:GXZ523989 HHS523989:HHV523989 HRO523989:HRR523989 IBK523989:IBN523989 ILG523989:ILJ523989 IVC523989:IVF523989 JEY523989:JFB523989 JOU523989:JOX523989 JYQ523989:JYT523989 KIM523989:KIP523989 KSI523989:KSL523989 LCE523989:LCH523989 LMA523989:LMD523989 LVW523989:LVZ523989 MFS523989:MFV523989 MPO523989:MPR523989 MZK523989:MZN523989 NJG523989:NJJ523989 NTC523989:NTF523989 OCY523989:ODB523989 OMU523989:OMX523989 OWQ523989:OWT523989 PGM523989:PGP523989 PQI523989:PQL523989 QAE523989:QAH523989 QKA523989:QKD523989 QTW523989:QTZ523989 RDS523989:RDV523989 RNO523989:RNR523989 RXK523989:RXN523989 SHG523989:SHJ523989 SRC523989:SRF523989 TAY523989:TBB523989 TKU523989:TKX523989 TUQ523989:TUT523989 UEM523989:UEP523989 UOI523989:UOL523989 UYE523989:UYH523989 VIA523989:VID523989 VRW523989:VRZ523989 WBS523989:WBV523989 WLO523989:WLR523989 WVK523989:WVN523989 C589525:F589525 IY589525:JB589525 SU589525:SX589525 ACQ589525:ACT589525 AMM589525:AMP589525 AWI589525:AWL589525 BGE589525:BGH589525 BQA589525:BQD589525 BZW589525:BZZ589525 CJS589525:CJV589525 CTO589525:CTR589525 DDK589525:DDN589525 DNG589525:DNJ589525 DXC589525:DXF589525 EGY589525:EHB589525 EQU589525:EQX589525 FAQ589525:FAT589525 FKM589525:FKP589525 FUI589525:FUL589525 GEE589525:GEH589525 GOA589525:GOD589525 GXW589525:GXZ589525 HHS589525:HHV589525 HRO589525:HRR589525 IBK589525:IBN589525 ILG589525:ILJ589525 IVC589525:IVF589525 JEY589525:JFB589525 JOU589525:JOX589525 JYQ589525:JYT589525 KIM589525:KIP589525 KSI589525:KSL589525 LCE589525:LCH589525 LMA589525:LMD589525 LVW589525:LVZ589525 MFS589525:MFV589525 MPO589525:MPR589525 MZK589525:MZN589525 NJG589525:NJJ589525 NTC589525:NTF589525 OCY589525:ODB589525 OMU589525:OMX589525 OWQ589525:OWT589525 PGM589525:PGP589525 PQI589525:PQL589525 QAE589525:QAH589525 QKA589525:QKD589525 QTW589525:QTZ589525 RDS589525:RDV589525 RNO589525:RNR589525 RXK589525:RXN589525 SHG589525:SHJ589525 SRC589525:SRF589525 TAY589525:TBB589525 TKU589525:TKX589525 TUQ589525:TUT589525 UEM589525:UEP589525 UOI589525:UOL589525 UYE589525:UYH589525 VIA589525:VID589525 VRW589525:VRZ589525 WBS589525:WBV589525 WLO589525:WLR589525 WVK589525:WVN589525 C655061:F655061 IY655061:JB655061 SU655061:SX655061 ACQ655061:ACT655061 AMM655061:AMP655061 AWI655061:AWL655061 BGE655061:BGH655061 BQA655061:BQD655061 BZW655061:BZZ655061 CJS655061:CJV655061 CTO655061:CTR655061 DDK655061:DDN655061 DNG655061:DNJ655061 DXC655061:DXF655061 EGY655061:EHB655061 EQU655061:EQX655061 FAQ655061:FAT655061 FKM655061:FKP655061 FUI655061:FUL655061 GEE655061:GEH655061 GOA655061:GOD655061 GXW655061:GXZ655061 HHS655061:HHV655061 HRO655061:HRR655061 IBK655061:IBN655061 ILG655061:ILJ655061 IVC655061:IVF655061 JEY655061:JFB655061 JOU655061:JOX655061 JYQ655061:JYT655061 KIM655061:KIP655061 KSI655061:KSL655061 LCE655061:LCH655061 LMA655061:LMD655061 LVW655061:LVZ655061 MFS655061:MFV655061 MPO655061:MPR655061 MZK655061:MZN655061 NJG655061:NJJ655061 NTC655061:NTF655061 OCY655061:ODB655061 OMU655061:OMX655061 OWQ655061:OWT655061 PGM655061:PGP655061 PQI655061:PQL655061 QAE655061:QAH655061 QKA655061:QKD655061 QTW655061:QTZ655061 RDS655061:RDV655061 RNO655061:RNR655061 RXK655061:RXN655061 SHG655061:SHJ655061 SRC655061:SRF655061 TAY655061:TBB655061 TKU655061:TKX655061 TUQ655061:TUT655061 UEM655061:UEP655061 UOI655061:UOL655061 UYE655061:UYH655061 VIA655061:VID655061 VRW655061:VRZ655061 WBS655061:WBV655061 WLO655061:WLR655061 WVK655061:WVN655061 C720597:F720597 IY720597:JB720597 SU720597:SX720597 ACQ720597:ACT720597 AMM720597:AMP720597 AWI720597:AWL720597 BGE720597:BGH720597 BQA720597:BQD720597 BZW720597:BZZ720597 CJS720597:CJV720597 CTO720597:CTR720597 DDK720597:DDN720597 DNG720597:DNJ720597 DXC720597:DXF720597 EGY720597:EHB720597 EQU720597:EQX720597 FAQ720597:FAT720597 FKM720597:FKP720597 FUI720597:FUL720597 GEE720597:GEH720597 GOA720597:GOD720597 GXW720597:GXZ720597 HHS720597:HHV720597 HRO720597:HRR720597 IBK720597:IBN720597 ILG720597:ILJ720597 IVC720597:IVF720597 JEY720597:JFB720597 JOU720597:JOX720597 JYQ720597:JYT720597 KIM720597:KIP720597 KSI720597:KSL720597 LCE720597:LCH720597 LMA720597:LMD720597 LVW720597:LVZ720597 MFS720597:MFV720597 MPO720597:MPR720597 MZK720597:MZN720597 NJG720597:NJJ720597 NTC720597:NTF720597 OCY720597:ODB720597 OMU720597:OMX720597 OWQ720597:OWT720597 PGM720597:PGP720597 PQI720597:PQL720597 QAE720597:QAH720597 QKA720597:QKD720597 QTW720597:QTZ720597 RDS720597:RDV720597 RNO720597:RNR720597 RXK720597:RXN720597 SHG720597:SHJ720597 SRC720597:SRF720597 TAY720597:TBB720597 TKU720597:TKX720597 TUQ720597:TUT720597 UEM720597:UEP720597 UOI720597:UOL720597 UYE720597:UYH720597 VIA720597:VID720597 VRW720597:VRZ720597 WBS720597:WBV720597 WLO720597:WLR720597 WVK720597:WVN720597 C786133:F786133 IY786133:JB786133 SU786133:SX786133 ACQ786133:ACT786133 AMM786133:AMP786133 AWI786133:AWL786133 BGE786133:BGH786133 BQA786133:BQD786133 BZW786133:BZZ786133 CJS786133:CJV786133 CTO786133:CTR786133 DDK786133:DDN786133 DNG786133:DNJ786133 DXC786133:DXF786133 EGY786133:EHB786133 EQU786133:EQX786133 FAQ786133:FAT786133 FKM786133:FKP786133 FUI786133:FUL786133 GEE786133:GEH786133 GOA786133:GOD786133 GXW786133:GXZ786133 HHS786133:HHV786133 HRO786133:HRR786133 IBK786133:IBN786133 ILG786133:ILJ786133 IVC786133:IVF786133 JEY786133:JFB786133 JOU786133:JOX786133 JYQ786133:JYT786133 KIM786133:KIP786133 KSI786133:KSL786133 LCE786133:LCH786133 LMA786133:LMD786133 LVW786133:LVZ786133 MFS786133:MFV786133 MPO786133:MPR786133 MZK786133:MZN786133 NJG786133:NJJ786133 NTC786133:NTF786133 OCY786133:ODB786133 OMU786133:OMX786133 OWQ786133:OWT786133 PGM786133:PGP786133 PQI786133:PQL786133 QAE786133:QAH786133 QKA786133:QKD786133 QTW786133:QTZ786133 RDS786133:RDV786133 RNO786133:RNR786133 RXK786133:RXN786133 SHG786133:SHJ786133 SRC786133:SRF786133 TAY786133:TBB786133 TKU786133:TKX786133 TUQ786133:TUT786133 UEM786133:UEP786133 UOI786133:UOL786133 UYE786133:UYH786133 VIA786133:VID786133 VRW786133:VRZ786133 WBS786133:WBV786133 WLO786133:WLR786133 WVK786133:WVN786133 C851669:F851669 IY851669:JB851669 SU851669:SX851669 ACQ851669:ACT851669 AMM851669:AMP851669 AWI851669:AWL851669 BGE851669:BGH851669 BQA851669:BQD851669 BZW851669:BZZ851669 CJS851669:CJV851669 CTO851669:CTR851669 DDK851669:DDN851669 DNG851669:DNJ851669 DXC851669:DXF851669 EGY851669:EHB851669 EQU851669:EQX851669 FAQ851669:FAT851669 FKM851669:FKP851669 FUI851669:FUL851669 GEE851669:GEH851669 GOA851669:GOD851669 GXW851669:GXZ851669 HHS851669:HHV851669 HRO851669:HRR851669 IBK851669:IBN851669 ILG851669:ILJ851669 IVC851669:IVF851669 JEY851669:JFB851669 JOU851669:JOX851669 JYQ851669:JYT851669 KIM851669:KIP851669 KSI851669:KSL851669 LCE851669:LCH851669 LMA851669:LMD851669 LVW851669:LVZ851669 MFS851669:MFV851669 MPO851669:MPR851669 MZK851669:MZN851669 NJG851669:NJJ851669 NTC851669:NTF851669 OCY851669:ODB851669 OMU851669:OMX851669 OWQ851669:OWT851669 PGM851669:PGP851669 PQI851669:PQL851669 QAE851669:QAH851669 QKA851669:QKD851669 QTW851669:QTZ851669 RDS851669:RDV851669 RNO851669:RNR851669 RXK851669:RXN851669 SHG851669:SHJ851669 SRC851669:SRF851669 TAY851669:TBB851669 TKU851669:TKX851669 TUQ851669:TUT851669 UEM851669:UEP851669 UOI851669:UOL851669 UYE851669:UYH851669 VIA851669:VID851669 VRW851669:VRZ851669 WBS851669:WBV851669 WLO851669:WLR851669 WVK851669:WVN851669 C917205:F917205 IY917205:JB917205 SU917205:SX917205 ACQ917205:ACT917205 AMM917205:AMP917205 AWI917205:AWL917205 BGE917205:BGH917205 BQA917205:BQD917205 BZW917205:BZZ917205 CJS917205:CJV917205 CTO917205:CTR917205 DDK917205:DDN917205 DNG917205:DNJ917205 DXC917205:DXF917205 EGY917205:EHB917205 EQU917205:EQX917205 FAQ917205:FAT917205 FKM917205:FKP917205 FUI917205:FUL917205 GEE917205:GEH917205 GOA917205:GOD917205 GXW917205:GXZ917205 HHS917205:HHV917205 HRO917205:HRR917205 IBK917205:IBN917205 ILG917205:ILJ917205 IVC917205:IVF917205 JEY917205:JFB917205 JOU917205:JOX917205 JYQ917205:JYT917205 KIM917205:KIP917205 KSI917205:KSL917205 LCE917205:LCH917205 LMA917205:LMD917205 LVW917205:LVZ917205 MFS917205:MFV917205 MPO917205:MPR917205 MZK917205:MZN917205 NJG917205:NJJ917205 NTC917205:NTF917205 OCY917205:ODB917205 OMU917205:OMX917205 OWQ917205:OWT917205 PGM917205:PGP917205 PQI917205:PQL917205 QAE917205:QAH917205 QKA917205:QKD917205 QTW917205:QTZ917205 RDS917205:RDV917205 RNO917205:RNR917205 RXK917205:RXN917205 SHG917205:SHJ917205 SRC917205:SRF917205 TAY917205:TBB917205 TKU917205:TKX917205 TUQ917205:TUT917205 UEM917205:UEP917205 UOI917205:UOL917205 UYE917205:UYH917205 VIA917205:VID917205 VRW917205:VRZ917205 WBS917205:WBV917205 WLO917205:WLR917205 WVK917205:WVN917205 C982741:F982741 IY982741:JB982741 SU982741:SX982741 ACQ982741:ACT982741 AMM982741:AMP982741 AWI982741:AWL982741 BGE982741:BGH982741 BQA982741:BQD982741 BZW982741:BZZ982741 CJS982741:CJV982741 CTO982741:CTR982741 DDK982741:DDN982741 DNG982741:DNJ982741 DXC982741:DXF982741 EGY982741:EHB982741 EQU982741:EQX982741 FAQ982741:FAT982741 FKM982741:FKP982741 FUI982741:FUL982741 GEE982741:GEH982741 GOA982741:GOD982741 GXW982741:GXZ982741 HHS982741:HHV982741 HRO982741:HRR982741 IBK982741:IBN982741 ILG982741:ILJ982741 IVC982741:IVF982741 JEY982741:JFB982741 JOU982741:JOX982741 JYQ982741:JYT982741 KIM982741:KIP982741 KSI982741:KSL982741 LCE982741:LCH982741 LMA982741:LMD982741 LVW982741:LVZ982741 MFS982741:MFV982741 MPO982741:MPR982741 MZK982741:MZN982741 NJG982741:NJJ982741 NTC982741:NTF982741 OCY982741:ODB982741 OMU982741:OMX982741 OWQ982741:OWT982741 PGM982741:PGP982741 PQI982741:PQL982741 QAE982741:QAH982741 QKA982741:QKD982741 QTW982741:QTZ982741 RDS982741:RDV982741 RNO982741:RNR982741 RXK982741:RXN982741 SHG982741:SHJ982741 SRC982741:SRF982741 TAY982741:TBB982741 TKU982741:TKX982741 TUQ982741:TUT982741 UEM982741:UEP982741 UOI982741:UOL982741 UYE982741:UYH982741 VIA982741:VID982741 VRW982741:VRZ982741 WBS982741:WBV982741 WLO982741:WLR982741 WVK982741:WVN982741 Q65246 JM65246 TI65246 ADE65246 ANA65246 AWW65246 BGS65246 BQO65246 CAK65246 CKG65246 CUC65246 DDY65246 DNU65246 DXQ65246 EHM65246 ERI65246 FBE65246 FLA65246 FUW65246 GES65246 GOO65246 GYK65246 HIG65246 HSC65246 IBY65246 ILU65246 IVQ65246 JFM65246 JPI65246 JZE65246 KJA65246 KSW65246 LCS65246 LMO65246 LWK65246 MGG65246 MQC65246 MZY65246 NJU65246 NTQ65246 ODM65246 ONI65246 OXE65246 PHA65246 PQW65246 QAS65246 QKO65246 QUK65246 REG65246 ROC65246 RXY65246 SHU65246 SRQ65246 TBM65246 TLI65246 TVE65246 UFA65246 UOW65246 UYS65246 VIO65246 VSK65246 WCG65246 WMC65246 WVY65246 Q130782 JM130782 TI130782 ADE130782 ANA130782 AWW130782 BGS130782 BQO130782 CAK130782 CKG130782 CUC130782 DDY130782 DNU130782 DXQ130782 EHM130782 ERI130782 FBE130782 FLA130782 FUW130782 GES130782 GOO130782 GYK130782 HIG130782 HSC130782 IBY130782 ILU130782 IVQ130782 JFM130782 JPI130782 JZE130782 KJA130782 KSW130782 LCS130782 LMO130782 LWK130782 MGG130782 MQC130782 MZY130782 NJU130782 NTQ130782 ODM130782 ONI130782 OXE130782 PHA130782 PQW130782 QAS130782 QKO130782 QUK130782 REG130782 ROC130782 RXY130782 SHU130782 SRQ130782 TBM130782 TLI130782 TVE130782 UFA130782 UOW130782 UYS130782 VIO130782 VSK130782 WCG130782 WMC130782 WVY130782 Q196318 JM196318 TI196318 ADE196318 ANA196318 AWW196318 BGS196318 BQO196318 CAK196318 CKG196318 CUC196318 DDY196318 DNU196318 DXQ196318 EHM196318 ERI196318 FBE196318 FLA196318 FUW196318 GES196318 GOO196318 GYK196318 HIG196318 HSC196318 IBY196318 ILU196318 IVQ196318 JFM196318 JPI196318 JZE196318 KJA196318 KSW196318 LCS196318 LMO196318 LWK196318 MGG196318 MQC196318 MZY196318 NJU196318 NTQ196318 ODM196318 ONI196318 OXE196318 PHA196318 PQW196318 QAS196318 QKO196318 QUK196318 REG196318 ROC196318 RXY196318 SHU196318 SRQ196318 TBM196318 TLI196318 TVE196318 UFA196318 UOW196318 UYS196318 VIO196318 VSK196318 WCG196318 WMC196318 WVY196318 Q261854 JM261854 TI261854 ADE261854 ANA261854 AWW261854 BGS261854 BQO261854 CAK261854 CKG261854 CUC261854 DDY261854 DNU261854 DXQ261854 EHM261854 ERI261854 FBE261854 FLA261854 FUW261854 GES261854 GOO261854 GYK261854 HIG261854 HSC261854 IBY261854 ILU261854 IVQ261854 JFM261854 JPI261854 JZE261854 KJA261854 KSW261854 LCS261854 LMO261854 LWK261854 MGG261854 MQC261854 MZY261854 NJU261854 NTQ261854 ODM261854 ONI261854 OXE261854 PHA261854 PQW261854 QAS261854 QKO261854 QUK261854 REG261854 ROC261854 RXY261854 SHU261854 SRQ261854 TBM261854 TLI261854 TVE261854 UFA261854 UOW261854 UYS261854 VIO261854 VSK261854 WCG261854 WMC261854 WVY261854 Q327390 JM327390 TI327390 ADE327390 ANA327390 AWW327390 BGS327390 BQO327390 CAK327390 CKG327390 CUC327390 DDY327390 DNU327390 DXQ327390 EHM327390 ERI327390 FBE327390 FLA327390 FUW327390 GES327390 GOO327390 GYK327390 HIG327390 HSC327390 IBY327390 ILU327390 IVQ327390 JFM327390 JPI327390 JZE327390 KJA327390 KSW327390 LCS327390 LMO327390 LWK327390 MGG327390 MQC327390 MZY327390 NJU327390 NTQ327390 ODM327390 ONI327390 OXE327390 PHA327390 PQW327390 QAS327390 QKO327390 QUK327390 REG327390 ROC327390 RXY327390 SHU327390 SRQ327390 TBM327390 TLI327390 TVE327390 UFA327390 UOW327390 UYS327390 VIO327390 VSK327390 WCG327390 WMC327390 WVY327390 Q392926 JM392926 TI392926 ADE392926 ANA392926 AWW392926 BGS392926 BQO392926 CAK392926 CKG392926 CUC392926 DDY392926 DNU392926 DXQ392926 EHM392926 ERI392926 FBE392926 FLA392926 FUW392926 GES392926 GOO392926 GYK392926 HIG392926 HSC392926 IBY392926 ILU392926 IVQ392926 JFM392926 JPI392926 JZE392926 KJA392926 KSW392926 LCS392926 LMO392926 LWK392926 MGG392926 MQC392926 MZY392926 NJU392926 NTQ392926 ODM392926 ONI392926 OXE392926 PHA392926 PQW392926 QAS392926 QKO392926 QUK392926 REG392926 ROC392926 RXY392926 SHU392926 SRQ392926 TBM392926 TLI392926 TVE392926 UFA392926 UOW392926 UYS392926 VIO392926 VSK392926 WCG392926 WMC392926 WVY392926 Q458462 JM458462 TI458462 ADE458462 ANA458462 AWW458462 BGS458462 BQO458462 CAK458462 CKG458462 CUC458462 DDY458462 DNU458462 DXQ458462 EHM458462 ERI458462 FBE458462 FLA458462 FUW458462 GES458462 GOO458462 GYK458462 HIG458462 HSC458462 IBY458462 ILU458462 IVQ458462 JFM458462 JPI458462 JZE458462 KJA458462 KSW458462 LCS458462 LMO458462 LWK458462 MGG458462 MQC458462 MZY458462 NJU458462 NTQ458462 ODM458462 ONI458462 OXE458462 PHA458462 PQW458462 QAS458462 QKO458462 QUK458462 REG458462 ROC458462 RXY458462 SHU458462 SRQ458462 TBM458462 TLI458462 TVE458462 UFA458462 UOW458462 UYS458462 VIO458462 VSK458462 WCG458462 WMC458462 WVY458462 Q523998 JM523998 TI523998 ADE523998 ANA523998 AWW523998 BGS523998 BQO523998 CAK523998 CKG523998 CUC523998 DDY523998 DNU523998 DXQ523998 EHM523998 ERI523998 FBE523998 FLA523998 FUW523998 GES523998 GOO523998 GYK523998 HIG523998 HSC523998 IBY523998 ILU523998 IVQ523998 JFM523998 JPI523998 JZE523998 KJA523998 KSW523998 LCS523998 LMO523998 LWK523998 MGG523998 MQC523998 MZY523998 NJU523998 NTQ523998 ODM523998 ONI523998 OXE523998 PHA523998 PQW523998 QAS523998 QKO523998 QUK523998 REG523998 ROC523998 RXY523998 SHU523998 SRQ523998 TBM523998 TLI523998 TVE523998 UFA523998 UOW523998 UYS523998 VIO523998 VSK523998 WCG523998 WMC523998 WVY523998 Q589534 JM589534 TI589534 ADE589534 ANA589534 AWW589534 BGS589534 BQO589534 CAK589534 CKG589534 CUC589534 DDY589534 DNU589534 DXQ589534 EHM589534 ERI589534 FBE589534 FLA589534 FUW589534 GES589534 GOO589534 GYK589534 HIG589534 HSC589534 IBY589534 ILU589534 IVQ589534 JFM589534 JPI589534 JZE589534 KJA589534 KSW589534 LCS589534 LMO589534 LWK589534 MGG589534 MQC589534 MZY589534 NJU589534 NTQ589534 ODM589534 ONI589534 OXE589534 PHA589534 PQW589534 QAS589534 QKO589534 QUK589534 REG589534 ROC589534 RXY589534 SHU589534 SRQ589534 TBM589534 TLI589534 TVE589534 UFA589534 UOW589534 UYS589534 VIO589534 VSK589534 WCG589534 WMC589534 WVY589534 Q655070 JM655070 TI655070 ADE655070 ANA655070 AWW655070 BGS655070 BQO655070 CAK655070 CKG655070 CUC655070 DDY655070 DNU655070 DXQ655070 EHM655070 ERI655070 FBE655070 FLA655070 FUW655070 GES655070 GOO655070 GYK655070 HIG655070 HSC655070 IBY655070 ILU655070 IVQ655070 JFM655070 JPI655070 JZE655070 KJA655070 KSW655070 LCS655070 LMO655070 LWK655070 MGG655070 MQC655070 MZY655070 NJU655070 NTQ655070 ODM655070 ONI655070 OXE655070 PHA655070 PQW655070 QAS655070 QKO655070 QUK655070 REG655070 ROC655070 RXY655070 SHU655070 SRQ655070 TBM655070 TLI655070 TVE655070 UFA655070 UOW655070 UYS655070 VIO655070 VSK655070 WCG655070 WMC655070 WVY655070 Q720606 JM720606 TI720606 ADE720606 ANA720606 AWW720606 BGS720606 BQO720606 CAK720606 CKG720606 CUC720606 DDY720606 DNU720606 DXQ720606 EHM720606 ERI720606 FBE720606 FLA720606 FUW720606 GES720606 GOO720606 GYK720606 HIG720606 HSC720606 IBY720606 ILU720606 IVQ720606 JFM720606 JPI720606 JZE720606 KJA720606 KSW720606 LCS720606 LMO720606 LWK720606 MGG720606 MQC720606 MZY720606 NJU720606 NTQ720606 ODM720606 ONI720606 OXE720606 PHA720606 PQW720606 QAS720606 QKO720606 QUK720606 REG720606 ROC720606 RXY720606 SHU720606 SRQ720606 TBM720606 TLI720606 TVE720606 UFA720606 UOW720606 UYS720606 VIO720606 VSK720606 WCG720606 WMC720606 WVY720606 Q786142 JM786142 TI786142 ADE786142 ANA786142 AWW786142 BGS786142 BQO786142 CAK786142 CKG786142 CUC786142 DDY786142 DNU786142 DXQ786142 EHM786142 ERI786142 FBE786142 FLA786142 FUW786142 GES786142 GOO786142 GYK786142 HIG786142 HSC786142 IBY786142 ILU786142 IVQ786142 JFM786142 JPI786142 JZE786142 KJA786142 KSW786142 LCS786142 LMO786142 LWK786142 MGG786142 MQC786142 MZY786142 NJU786142 NTQ786142 ODM786142 ONI786142 OXE786142 PHA786142 PQW786142 QAS786142 QKO786142 QUK786142 REG786142 ROC786142 RXY786142 SHU786142 SRQ786142 TBM786142 TLI786142 TVE786142 UFA786142 UOW786142 UYS786142 VIO786142 VSK786142 WCG786142 WMC786142 WVY786142 Q851678 JM851678 TI851678 ADE851678 ANA851678 AWW851678 BGS851678 BQO851678 CAK851678 CKG851678 CUC851678 DDY851678 DNU851678 DXQ851678 EHM851678 ERI851678 FBE851678 FLA851678 FUW851678 GES851678 GOO851678 GYK851678 HIG851678 HSC851678 IBY851678 ILU851678 IVQ851678 JFM851678 JPI851678 JZE851678 KJA851678 KSW851678 LCS851678 LMO851678 LWK851678 MGG851678 MQC851678 MZY851678 NJU851678 NTQ851678 ODM851678 ONI851678 OXE851678 PHA851678 PQW851678 QAS851678 QKO851678 QUK851678 REG851678 ROC851678 RXY851678 SHU851678 SRQ851678 TBM851678 TLI851678 TVE851678 UFA851678 UOW851678 UYS851678 VIO851678 VSK851678 WCG851678 WMC851678 WVY851678 Q917214 JM917214 TI917214 ADE917214 ANA917214 AWW917214 BGS917214 BQO917214 CAK917214 CKG917214 CUC917214 DDY917214 DNU917214 DXQ917214 EHM917214 ERI917214 FBE917214 FLA917214 FUW917214 GES917214 GOO917214 GYK917214 HIG917214 HSC917214 IBY917214 ILU917214 IVQ917214 JFM917214 JPI917214 JZE917214 KJA917214 KSW917214 LCS917214 LMO917214 LWK917214 MGG917214 MQC917214 MZY917214 NJU917214 NTQ917214 ODM917214 ONI917214 OXE917214 PHA917214 PQW917214 QAS917214 QKO917214 QUK917214 REG917214 ROC917214 RXY917214 SHU917214 SRQ917214 TBM917214 TLI917214 TVE917214 UFA917214 UOW917214 UYS917214 VIO917214 VSK917214 WCG917214 WMC917214 WVY917214 Q982750 JM982750 TI982750 ADE982750 ANA982750 AWW982750 BGS982750 BQO982750 CAK982750 CKG982750 CUC982750 DDY982750 DNU982750 DXQ982750 EHM982750 ERI982750 FBE982750 FLA982750 FUW982750 GES982750 GOO982750 GYK982750 HIG982750 HSC982750 IBY982750 ILU982750 IVQ982750 JFM982750 JPI982750 JZE982750 KJA982750 KSW982750 LCS982750 LMO982750 LWK982750 MGG982750 MQC982750 MZY982750 NJU982750 NTQ982750 ODM982750 ONI982750 OXE982750 PHA982750 PQW982750 QAS982750 QKO982750 QUK982750 REG982750 ROC982750 RXY982750 SHU982750 SRQ982750 TBM982750 TLI982750 TVE982750 UFA982750 UOW982750 UYS982750 VIO982750 VSK982750 WCG982750 WMC982750 WVY982750 C65284:F65284 IY65284:JB65284 SU65284:SX65284 ACQ65284:ACT65284 AMM65284:AMP65284 AWI65284:AWL65284 BGE65284:BGH65284 BQA65284:BQD65284 BZW65284:BZZ65284 CJS65284:CJV65284 CTO65284:CTR65284 DDK65284:DDN65284 DNG65284:DNJ65284 DXC65284:DXF65284 EGY65284:EHB65284 EQU65284:EQX65284 FAQ65284:FAT65284 FKM65284:FKP65284 FUI65284:FUL65284 GEE65284:GEH65284 GOA65284:GOD65284 GXW65284:GXZ65284 HHS65284:HHV65284 HRO65284:HRR65284 IBK65284:IBN65284 ILG65284:ILJ65284 IVC65284:IVF65284 JEY65284:JFB65284 JOU65284:JOX65284 JYQ65284:JYT65284 KIM65284:KIP65284 KSI65284:KSL65284 LCE65284:LCH65284 LMA65284:LMD65284 LVW65284:LVZ65284 MFS65284:MFV65284 MPO65284:MPR65284 MZK65284:MZN65284 NJG65284:NJJ65284 NTC65284:NTF65284 OCY65284:ODB65284 OMU65284:OMX65284 OWQ65284:OWT65284 PGM65284:PGP65284 PQI65284:PQL65284 QAE65284:QAH65284 QKA65284:QKD65284 QTW65284:QTZ65284 RDS65284:RDV65284 RNO65284:RNR65284 RXK65284:RXN65284 SHG65284:SHJ65284 SRC65284:SRF65284 TAY65284:TBB65284 TKU65284:TKX65284 TUQ65284:TUT65284 UEM65284:UEP65284 UOI65284:UOL65284 UYE65284:UYH65284 VIA65284:VID65284 VRW65284:VRZ65284 WBS65284:WBV65284 WLO65284:WLR65284 WVK65284:WVN65284 C130820:F130820 IY130820:JB130820 SU130820:SX130820 ACQ130820:ACT130820 AMM130820:AMP130820 AWI130820:AWL130820 BGE130820:BGH130820 BQA130820:BQD130820 BZW130820:BZZ130820 CJS130820:CJV130820 CTO130820:CTR130820 DDK130820:DDN130820 DNG130820:DNJ130820 DXC130820:DXF130820 EGY130820:EHB130820 EQU130820:EQX130820 FAQ130820:FAT130820 FKM130820:FKP130820 FUI130820:FUL130820 GEE130820:GEH130820 GOA130820:GOD130820 GXW130820:GXZ130820 HHS130820:HHV130820 HRO130820:HRR130820 IBK130820:IBN130820 ILG130820:ILJ130820 IVC130820:IVF130820 JEY130820:JFB130820 JOU130820:JOX130820 JYQ130820:JYT130820 KIM130820:KIP130820 KSI130820:KSL130820 LCE130820:LCH130820 LMA130820:LMD130820 LVW130820:LVZ130820 MFS130820:MFV130820 MPO130820:MPR130820 MZK130820:MZN130820 NJG130820:NJJ130820 NTC130820:NTF130820 OCY130820:ODB130820 OMU130820:OMX130820 OWQ130820:OWT130820 PGM130820:PGP130820 PQI130820:PQL130820 QAE130820:QAH130820 QKA130820:QKD130820 QTW130820:QTZ130820 RDS130820:RDV130820 RNO130820:RNR130820 RXK130820:RXN130820 SHG130820:SHJ130820 SRC130820:SRF130820 TAY130820:TBB130820 TKU130820:TKX130820 TUQ130820:TUT130820 UEM130820:UEP130820 UOI130820:UOL130820 UYE130820:UYH130820 VIA130820:VID130820 VRW130820:VRZ130820 WBS130820:WBV130820 WLO130820:WLR130820 WVK130820:WVN130820 C196356:F196356 IY196356:JB196356 SU196356:SX196356 ACQ196356:ACT196356 AMM196356:AMP196356 AWI196356:AWL196356 BGE196356:BGH196356 BQA196356:BQD196356 BZW196356:BZZ196356 CJS196356:CJV196356 CTO196356:CTR196356 DDK196356:DDN196356 DNG196356:DNJ196356 DXC196356:DXF196356 EGY196356:EHB196356 EQU196356:EQX196356 FAQ196356:FAT196356 FKM196356:FKP196356 FUI196356:FUL196356 GEE196356:GEH196356 GOA196356:GOD196356 GXW196356:GXZ196356 HHS196356:HHV196356 HRO196356:HRR196356 IBK196356:IBN196356 ILG196356:ILJ196356 IVC196356:IVF196356 JEY196356:JFB196356 JOU196356:JOX196356 JYQ196356:JYT196356 KIM196356:KIP196356 KSI196356:KSL196356 LCE196356:LCH196356 LMA196356:LMD196356 LVW196356:LVZ196356 MFS196356:MFV196356 MPO196356:MPR196356 MZK196356:MZN196356 NJG196356:NJJ196356 NTC196356:NTF196356 OCY196356:ODB196356 OMU196356:OMX196356 OWQ196356:OWT196356 PGM196356:PGP196356 PQI196356:PQL196356 QAE196356:QAH196356 QKA196356:QKD196356 QTW196356:QTZ196356 RDS196356:RDV196356 RNO196356:RNR196356 RXK196356:RXN196356 SHG196356:SHJ196356 SRC196356:SRF196356 TAY196356:TBB196356 TKU196356:TKX196356 TUQ196356:TUT196356 UEM196356:UEP196356 UOI196356:UOL196356 UYE196356:UYH196356 VIA196356:VID196356 VRW196356:VRZ196356 WBS196356:WBV196356 WLO196356:WLR196356 WVK196356:WVN196356 C261892:F261892 IY261892:JB261892 SU261892:SX261892 ACQ261892:ACT261892 AMM261892:AMP261892 AWI261892:AWL261892 BGE261892:BGH261892 BQA261892:BQD261892 BZW261892:BZZ261892 CJS261892:CJV261892 CTO261892:CTR261892 DDK261892:DDN261892 DNG261892:DNJ261892 DXC261892:DXF261892 EGY261892:EHB261892 EQU261892:EQX261892 FAQ261892:FAT261892 FKM261892:FKP261892 FUI261892:FUL261892 GEE261892:GEH261892 GOA261892:GOD261892 GXW261892:GXZ261892 HHS261892:HHV261892 HRO261892:HRR261892 IBK261892:IBN261892 ILG261892:ILJ261892 IVC261892:IVF261892 JEY261892:JFB261892 JOU261892:JOX261892 JYQ261892:JYT261892 KIM261892:KIP261892 KSI261892:KSL261892 LCE261892:LCH261892 LMA261892:LMD261892 LVW261892:LVZ261892 MFS261892:MFV261892 MPO261892:MPR261892 MZK261892:MZN261892 NJG261892:NJJ261892 NTC261892:NTF261892 OCY261892:ODB261892 OMU261892:OMX261892 OWQ261892:OWT261892 PGM261892:PGP261892 PQI261892:PQL261892 QAE261892:QAH261892 QKA261892:QKD261892 QTW261892:QTZ261892 RDS261892:RDV261892 RNO261892:RNR261892 RXK261892:RXN261892 SHG261892:SHJ261892 SRC261892:SRF261892 TAY261892:TBB261892 TKU261892:TKX261892 TUQ261892:TUT261892 UEM261892:UEP261892 UOI261892:UOL261892 UYE261892:UYH261892 VIA261892:VID261892 VRW261892:VRZ261892 WBS261892:WBV261892 WLO261892:WLR261892 WVK261892:WVN261892 C327428:F327428 IY327428:JB327428 SU327428:SX327428 ACQ327428:ACT327428 AMM327428:AMP327428 AWI327428:AWL327428 BGE327428:BGH327428 BQA327428:BQD327428 BZW327428:BZZ327428 CJS327428:CJV327428 CTO327428:CTR327428 DDK327428:DDN327428 DNG327428:DNJ327428 DXC327428:DXF327428 EGY327428:EHB327428 EQU327428:EQX327428 FAQ327428:FAT327428 FKM327428:FKP327428 FUI327428:FUL327428 GEE327428:GEH327428 GOA327428:GOD327428 GXW327428:GXZ327428 HHS327428:HHV327428 HRO327428:HRR327428 IBK327428:IBN327428 ILG327428:ILJ327428 IVC327428:IVF327428 JEY327428:JFB327428 JOU327428:JOX327428 JYQ327428:JYT327428 KIM327428:KIP327428 KSI327428:KSL327428 LCE327428:LCH327428 LMA327428:LMD327428 LVW327428:LVZ327428 MFS327428:MFV327428 MPO327428:MPR327428 MZK327428:MZN327428 NJG327428:NJJ327428 NTC327428:NTF327428 OCY327428:ODB327428 OMU327428:OMX327428 OWQ327428:OWT327428 PGM327428:PGP327428 PQI327428:PQL327428 QAE327428:QAH327428 QKA327428:QKD327428 QTW327428:QTZ327428 RDS327428:RDV327428 RNO327428:RNR327428 RXK327428:RXN327428 SHG327428:SHJ327428 SRC327428:SRF327428 TAY327428:TBB327428 TKU327428:TKX327428 TUQ327428:TUT327428 UEM327428:UEP327428 UOI327428:UOL327428 UYE327428:UYH327428 VIA327428:VID327428 VRW327428:VRZ327428 WBS327428:WBV327428 WLO327428:WLR327428 WVK327428:WVN327428 C392964:F392964 IY392964:JB392964 SU392964:SX392964 ACQ392964:ACT392964 AMM392964:AMP392964 AWI392964:AWL392964 BGE392964:BGH392964 BQA392964:BQD392964 BZW392964:BZZ392964 CJS392964:CJV392964 CTO392964:CTR392964 DDK392964:DDN392964 DNG392964:DNJ392964 DXC392964:DXF392964 EGY392964:EHB392964 EQU392964:EQX392964 FAQ392964:FAT392964 FKM392964:FKP392964 FUI392964:FUL392964 GEE392964:GEH392964 GOA392964:GOD392964 GXW392964:GXZ392964 HHS392964:HHV392964 HRO392964:HRR392964 IBK392964:IBN392964 ILG392964:ILJ392964 IVC392964:IVF392964 JEY392964:JFB392964 JOU392964:JOX392964 JYQ392964:JYT392964 KIM392964:KIP392964 KSI392964:KSL392964 LCE392964:LCH392964 LMA392964:LMD392964 LVW392964:LVZ392964 MFS392964:MFV392964 MPO392964:MPR392964 MZK392964:MZN392964 NJG392964:NJJ392964 NTC392964:NTF392964 OCY392964:ODB392964 OMU392964:OMX392964 OWQ392964:OWT392964 PGM392964:PGP392964 PQI392964:PQL392964 QAE392964:QAH392964 QKA392964:QKD392964 QTW392964:QTZ392964 RDS392964:RDV392964 RNO392964:RNR392964 RXK392964:RXN392964 SHG392964:SHJ392964 SRC392964:SRF392964 TAY392964:TBB392964 TKU392964:TKX392964 TUQ392964:TUT392964 UEM392964:UEP392964 UOI392964:UOL392964 UYE392964:UYH392964 VIA392964:VID392964 VRW392964:VRZ392964 WBS392964:WBV392964 WLO392964:WLR392964 WVK392964:WVN392964 C458500:F458500 IY458500:JB458500 SU458500:SX458500 ACQ458500:ACT458500 AMM458500:AMP458500 AWI458500:AWL458500 BGE458500:BGH458500 BQA458500:BQD458500 BZW458500:BZZ458500 CJS458500:CJV458500 CTO458500:CTR458500 DDK458500:DDN458500 DNG458500:DNJ458500 DXC458500:DXF458500 EGY458500:EHB458500 EQU458500:EQX458500 FAQ458500:FAT458500 FKM458500:FKP458500 FUI458500:FUL458500 GEE458500:GEH458500 GOA458500:GOD458500 GXW458500:GXZ458500 HHS458500:HHV458500 HRO458500:HRR458500 IBK458500:IBN458500 ILG458500:ILJ458500 IVC458500:IVF458500 JEY458500:JFB458500 JOU458500:JOX458500 JYQ458500:JYT458500 KIM458500:KIP458500 KSI458500:KSL458500 LCE458500:LCH458500 LMA458500:LMD458500 LVW458500:LVZ458500 MFS458500:MFV458500 MPO458500:MPR458500 MZK458500:MZN458500 NJG458500:NJJ458500 NTC458500:NTF458500 OCY458500:ODB458500 OMU458500:OMX458500 OWQ458500:OWT458500 PGM458500:PGP458500 PQI458500:PQL458500 QAE458500:QAH458500 QKA458500:QKD458500 QTW458500:QTZ458500 RDS458500:RDV458500 RNO458500:RNR458500 RXK458500:RXN458500 SHG458500:SHJ458500 SRC458500:SRF458500 TAY458500:TBB458500 TKU458500:TKX458500 TUQ458500:TUT458500 UEM458500:UEP458500 UOI458500:UOL458500 UYE458500:UYH458500 VIA458500:VID458500 VRW458500:VRZ458500 WBS458500:WBV458500 WLO458500:WLR458500 WVK458500:WVN458500 C524036:F524036 IY524036:JB524036 SU524036:SX524036 ACQ524036:ACT524036 AMM524036:AMP524036 AWI524036:AWL524036 BGE524036:BGH524036 BQA524036:BQD524036 BZW524036:BZZ524036 CJS524036:CJV524036 CTO524036:CTR524036 DDK524036:DDN524036 DNG524036:DNJ524036 DXC524036:DXF524036 EGY524036:EHB524036 EQU524036:EQX524036 FAQ524036:FAT524036 FKM524036:FKP524036 FUI524036:FUL524036 GEE524036:GEH524036 GOA524036:GOD524036 GXW524036:GXZ524036 HHS524036:HHV524036 HRO524036:HRR524036 IBK524036:IBN524036 ILG524036:ILJ524036 IVC524036:IVF524036 JEY524036:JFB524036 JOU524036:JOX524036 JYQ524036:JYT524036 KIM524036:KIP524036 KSI524036:KSL524036 LCE524036:LCH524036 LMA524036:LMD524036 LVW524036:LVZ524036 MFS524036:MFV524036 MPO524036:MPR524036 MZK524036:MZN524036 NJG524036:NJJ524036 NTC524036:NTF524036 OCY524036:ODB524036 OMU524036:OMX524036 OWQ524036:OWT524036 PGM524036:PGP524036 PQI524036:PQL524036 QAE524036:QAH524036 QKA524036:QKD524036 QTW524036:QTZ524036 RDS524036:RDV524036 RNO524036:RNR524036 RXK524036:RXN524036 SHG524036:SHJ524036 SRC524036:SRF524036 TAY524036:TBB524036 TKU524036:TKX524036 TUQ524036:TUT524036 UEM524036:UEP524036 UOI524036:UOL524036 UYE524036:UYH524036 VIA524036:VID524036 VRW524036:VRZ524036 WBS524036:WBV524036 WLO524036:WLR524036 WVK524036:WVN524036 C589572:F589572 IY589572:JB589572 SU589572:SX589572 ACQ589572:ACT589572 AMM589572:AMP589572 AWI589572:AWL589572 BGE589572:BGH589572 BQA589572:BQD589572 BZW589572:BZZ589572 CJS589572:CJV589572 CTO589572:CTR589572 DDK589572:DDN589572 DNG589572:DNJ589572 DXC589572:DXF589572 EGY589572:EHB589572 EQU589572:EQX589572 FAQ589572:FAT589572 FKM589572:FKP589572 FUI589572:FUL589572 GEE589572:GEH589572 GOA589572:GOD589572 GXW589572:GXZ589572 HHS589572:HHV589572 HRO589572:HRR589572 IBK589572:IBN589572 ILG589572:ILJ589572 IVC589572:IVF589572 JEY589572:JFB589572 JOU589572:JOX589572 JYQ589572:JYT589572 KIM589572:KIP589572 KSI589572:KSL589572 LCE589572:LCH589572 LMA589572:LMD589572 LVW589572:LVZ589572 MFS589572:MFV589572 MPO589572:MPR589572 MZK589572:MZN589572 NJG589572:NJJ589572 NTC589572:NTF589572 OCY589572:ODB589572 OMU589572:OMX589572 OWQ589572:OWT589572 PGM589572:PGP589572 PQI589572:PQL589572 QAE589572:QAH589572 QKA589572:QKD589572 QTW589572:QTZ589572 RDS589572:RDV589572 RNO589572:RNR589572 RXK589572:RXN589572 SHG589572:SHJ589572 SRC589572:SRF589572 TAY589572:TBB589572 TKU589572:TKX589572 TUQ589572:TUT589572 UEM589572:UEP589572 UOI589572:UOL589572 UYE589572:UYH589572 VIA589572:VID589572 VRW589572:VRZ589572 WBS589572:WBV589572 WLO589572:WLR589572 WVK589572:WVN589572 C655108:F655108 IY655108:JB655108 SU655108:SX655108 ACQ655108:ACT655108 AMM655108:AMP655108 AWI655108:AWL655108 BGE655108:BGH655108 BQA655108:BQD655108 BZW655108:BZZ655108 CJS655108:CJV655108 CTO655108:CTR655108 DDK655108:DDN655108 DNG655108:DNJ655108 DXC655108:DXF655108 EGY655108:EHB655108 EQU655108:EQX655108 FAQ655108:FAT655108 FKM655108:FKP655108 FUI655108:FUL655108 GEE655108:GEH655108 GOA655108:GOD655108 GXW655108:GXZ655108 HHS655108:HHV655108 HRO655108:HRR655108 IBK655108:IBN655108 ILG655108:ILJ655108 IVC655108:IVF655108 JEY655108:JFB655108 JOU655108:JOX655108 JYQ655108:JYT655108 KIM655108:KIP655108 KSI655108:KSL655108 LCE655108:LCH655108 LMA655108:LMD655108 LVW655108:LVZ655108 MFS655108:MFV655108 MPO655108:MPR655108 MZK655108:MZN655108 NJG655108:NJJ655108 NTC655108:NTF655108 OCY655108:ODB655108 OMU655108:OMX655108 OWQ655108:OWT655108 PGM655108:PGP655108 PQI655108:PQL655108 QAE655108:QAH655108 QKA655108:QKD655108 QTW655108:QTZ655108 RDS655108:RDV655108 RNO655108:RNR655108 RXK655108:RXN655108 SHG655108:SHJ655108 SRC655108:SRF655108 TAY655108:TBB655108 TKU655108:TKX655108 TUQ655108:TUT655108 UEM655108:UEP655108 UOI655108:UOL655108 UYE655108:UYH655108 VIA655108:VID655108 VRW655108:VRZ655108 WBS655108:WBV655108 WLO655108:WLR655108 WVK655108:WVN655108 C720644:F720644 IY720644:JB720644 SU720644:SX720644 ACQ720644:ACT720644 AMM720644:AMP720644 AWI720644:AWL720644 BGE720644:BGH720644 BQA720644:BQD720644 BZW720644:BZZ720644 CJS720644:CJV720644 CTO720644:CTR720644 DDK720644:DDN720644 DNG720644:DNJ720644 DXC720644:DXF720644 EGY720644:EHB720644 EQU720644:EQX720644 FAQ720644:FAT720644 FKM720644:FKP720644 FUI720644:FUL720644 GEE720644:GEH720644 GOA720644:GOD720644 GXW720644:GXZ720644 HHS720644:HHV720644 HRO720644:HRR720644 IBK720644:IBN720644 ILG720644:ILJ720644 IVC720644:IVF720644 JEY720644:JFB720644 JOU720644:JOX720644 JYQ720644:JYT720644 KIM720644:KIP720644 KSI720644:KSL720644 LCE720644:LCH720644 LMA720644:LMD720644 LVW720644:LVZ720644 MFS720644:MFV720644 MPO720644:MPR720644 MZK720644:MZN720644 NJG720644:NJJ720644 NTC720644:NTF720644 OCY720644:ODB720644 OMU720644:OMX720644 OWQ720644:OWT720644 PGM720644:PGP720644 PQI720644:PQL720644 QAE720644:QAH720644 QKA720644:QKD720644 QTW720644:QTZ720644 RDS720644:RDV720644 RNO720644:RNR720644 RXK720644:RXN720644 SHG720644:SHJ720644 SRC720644:SRF720644 TAY720644:TBB720644 TKU720644:TKX720644 TUQ720644:TUT720644 UEM720644:UEP720644 UOI720644:UOL720644 UYE720644:UYH720644 VIA720644:VID720644 VRW720644:VRZ720644 WBS720644:WBV720644 WLO720644:WLR720644 WVK720644:WVN720644 C786180:F786180 IY786180:JB786180 SU786180:SX786180 ACQ786180:ACT786180 AMM786180:AMP786180 AWI786180:AWL786180 BGE786180:BGH786180 BQA786180:BQD786180 BZW786180:BZZ786180 CJS786180:CJV786180 CTO786180:CTR786180 DDK786180:DDN786180 DNG786180:DNJ786180 DXC786180:DXF786180 EGY786180:EHB786180 EQU786180:EQX786180 FAQ786180:FAT786180 FKM786180:FKP786180 FUI786180:FUL786180 GEE786180:GEH786180 GOA786180:GOD786180 GXW786180:GXZ786180 HHS786180:HHV786180 HRO786180:HRR786180 IBK786180:IBN786180 ILG786180:ILJ786180 IVC786180:IVF786180 JEY786180:JFB786180 JOU786180:JOX786180 JYQ786180:JYT786180 KIM786180:KIP786180 KSI786180:KSL786180 LCE786180:LCH786180 LMA786180:LMD786180 LVW786180:LVZ786180 MFS786180:MFV786180 MPO786180:MPR786180 MZK786180:MZN786180 NJG786180:NJJ786180 NTC786180:NTF786180 OCY786180:ODB786180 OMU786180:OMX786180 OWQ786180:OWT786180 PGM786180:PGP786180 PQI786180:PQL786180 QAE786180:QAH786180 QKA786180:QKD786180 QTW786180:QTZ786180 RDS786180:RDV786180 RNO786180:RNR786180 RXK786180:RXN786180 SHG786180:SHJ786180 SRC786180:SRF786180 TAY786180:TBB786180 TKU786180:TKX786180 TUQ786180:TUT786180 UEM786180:UEP786180 UOI786180:UOL786180 UYE786180:UYH786180 VIA786180:VID786180 VRW786180:VRZ786180 WBS786180:WBV786180 WLO786180:WLR786180 WVK786180:WVN786180 C851716:F851716 IY851716:JB851716 SU851716:SX851716 ACQ851716:ACT851716 AMM851716:AMP851716 AWI851716:AWL851716 BGE851716:BGH851716 BQA851716:BQD851716 BZW851716:BZZ851716 CJS851716:CJV851716 CTO851716:CTR851716 DDK851716:DDN851716 DNG851716:DNJ851716 DXC851716:DXF851716 EGY851716:EHB851716 EQU851716:EQX851716 FAQ851716:FAT851716 FKM851716:FKP851716 FUI851716:FUL851716 GEE851716:GEH851716 GOA851716:GOD851716 GXW851716:GXZ851716 HHS851716:HHV851716 HRO851716:HRR851716 IBK851716:IBN851716 ILG851716:ILJ851716 IVC851716:IVF851716 JEY851716:JFB851716 JOU851716:JOX851716 JYQ851716:JYT851716 KIM851716:KIP851716 KSI851716:KSL851716 LCE851716:LCH851716 LMA851716:LMD851716 LVW851716:LVZ851716 MFS851716:MFV851716 MPO851716:MPR851716 MZK851716:MZN851716 NJG851716:NJJ851716 NTC851716:NTF851716 OCY851716:ODB851716 OMU851716:OMX851716 OWQ851716:OWT851716 PGM851716:PGP851716 PQI851716:PQL851716 QAE851716:QAH851716 QKA851716:QKD851716 QTW851716:QTZ851716 RDS851716:RDV851716 RNO851716:RNR851716 RXK851716:RXN851716 SHG851716:SHJ851716 SRC851716:SRF851716 TAY851716:TBB851716 TKU851716:TKX851716 TUQ851716:TUT851716 UEM851716:UEP851716 UOI851716:UOL851716 UYE851716:UYH851716 VIA851716:VID851716 VRW851716:VRZ851716 WBS851716:WBV851716 WLO851716:WLR851716 WVK851716:WVN851716 C917252:F917252 IY917252:JB917252 SU917252:SX917252 ACQ917252:ACT917252 AMM917252:AMP917252 AWI917252:AWL917252 BGE917252:BGH917252 BQA917252:BQD917252 BZW917252:BZZ917252 CJS917252:CJV917252 CTO917252:CTR917252 DDK917252:DDN917252 DNG917252:DNJ917252 DXC917252:DXF917252 EGY917252:EHB917252 EQU917252:EQX917252 FAQ917252:FAT917252 FKM917252:FKP917252 FUI917252:FUL917252 GEE917252:GEH917252 GOA917252:GOD917252 GXW917252:GXZ917252 HHS917252:HHV917252 HRO917252:HRR917252 IBK917252:IBN917252 ILG917252:ILJ917252 IVC917252:IVF917252 JEY917252:JFB917252 JOU917252:JOX917252 JYQ917252:JYT917252 KIM917252:KIP917252 KSI917252:KSL917252 LCE917252:LCH917252 LMA917252:LMD917252 LVW917252:LVZ917252 MFS917252:MFV917252 MPO917252:MPR917252 MZK917252:MZN917252 NJG917252:NJJ917252 NTC917252:NTF917252 OCY917252:ODB917252 OMU917252:OMX917252 OWQ917252:OWT917252 PGM917252:PGP917252 PQI917252:PQL917252 QAE917252:QAH917252 QKA917252:QKD917252 QTW917252:QTZ917252 RDS917252:RDV917252 RNO917252:RNR917252 RXK917252:RXN917252 SHG917252:SHJ917252 SRC917252:SRF917252 TAY917252:TBB917252 TKU917252:TKX917252 TUQ917252:TUT917252 UEM917252:UEP917252 UOI917252:UOL917252 UYE917252:UYH917252 VIA917252:VID917252 VRW917252:VRZ917252 WBS917252:WBV917252 WLO917252:WLR917252 WVK917252:WVN917252 C982788:F982788 IY982788:JB982788 SU982788:SX982788 ACQ982788:ACT982788 AMM982788:AMP982788 AWI982788:AWL982788 BGE982788:BGH982788 BQA982788:BQD982788 BZW982788:BZZ982788 CJS982788:CJV982788 CTO982788:CTR982788 DDK982788:DDN982788 DNG982788:DNJ982788 DXC982788:DXF982788 EGY982788:EHB982788 EQU982788:EQX982788 FAQ982788:FAT982788 FKM982788:FKP982788 FUI982788:FUL982788 GEE982788:GEH982788 GOA982788:GOD982788 GXW982788:GXZ982788 HHS982788:HHV982788 HRO982788:HRR982788 IBK982788:IBN982788 ILG982788:ILJ982788 IVC982788:IVF982788 JEY982788:JFB982788 JOU982788:JOX982788 JYQ982788:JYT982788 KIM982788:KIP982788 KSI982788:KSL982788 LCE982788:LCH982788 LMA982788:LMD982788 LVW982788:LVZ982788 MFS982788:MFV982788 MPO982788:MPR982788 MZK982788:MZN982788 NJG982788:NJJ982788 NTC982788:NTF982788 OCY982788:ODB982788 OMU982788:OMX982788 OWQ982788:OWT982788 PGM982788:PGP982788 PQI982788:PQL982788 QAE982788:QAH982788 QKA982788:QKD982788 QTW982788:QTZ982788 RDS982788:RDV982788 RNO982788:RNR982788 RXK982788:RXN982788 SHG982788:SHJ982788 SRC982788:SRF982788 TAY982788:TBB982788 TKU982788:TKX982788 TUQ982788:TUT982788 UEM982788:UEP982788 UOI982788:UOL982788 UYE982788:UYH982788 VIA982788:VID982788 VRW982788:VRZ982788 WBS982788:WBV982788 WLO982788:WLR982788 WVK982788:WVN982788 C65286:F65286 IY65286:JB65286 SU65286:SX65286 ACQ65286:ACT65286 AMM65286:AMP65286 AWI65286:AWL65286 BGE65286:BGH65286 BQA65286:BQD65286 BZW65286:BZZ65286 CJS65286:CJV65286 CTO65286:CTR65286 DDK65286:DDN65286 DNG65286:DNJ65286 DXC65286:DXF65286 EGY65286:EHB65286 EQU65286:EQX65286 FAQ65286:FAT65286 FKM65286:FKP65286 FUI65286:FUL65286 GEE65286:GEH65286 GOA65286:GOD65286 GXW65286:GXZ65286 HHS65286:HHV65286 HRO65286:HRR65286 IBK65286:IBN65286 ILG65286:ILJ65286 IVC65286:IVF65286 JEY65286:JFB65286 JOU65286:JOX65286 JYQ65286:JYT65286 KIM65286:KIP65286 KSI65286:KSL65286 LCE65286:LCH65286 LMA65286:LMD65286 LVW65286:LVZ65286 MFS65286:MFV65286 MPO65286:MPR65286 MZK65286:MZN65286 NJG65286:NJJ65286 NTC65286:NTF65286 OCY65286:ODB65286 OMU65286:OMX65286 OWQ65286:OWT65286 PGM65286:PGP65286 PQI65286:PQL65286 QAE65286:QAH65286 QKA65286:QKD65286 QTW65286:QTZ65286 RDS65286:RDV65286 RNO65286:RNR65286 RXK65286:RXN65286 SHG65286:SHJ65286 SRC65286:SRF65286 TAY65286:TBB65286 TKU65286:TKX65286 TUQ65286:TUT65286 UEM65286:UEP65286 UOI65286:UOL65286 UYE65286:UYH65286 VIA65286:VID65286 VRW65286:VRZ65286 WBS65286:WBV65286 WLO65286:WLR65286 WVK65286:WVN65286 C130822:F130822 IY130822:JB130822 SU130822:SX130822 ACQ130822:ACT130822 AMM130822:AMP130822 AWI130822:AWL130822 BGE130822:BGH130822 BQA130822:BQD130822 BZW130822:BZZ130822 CJS130822:CJV130822 CTO130822:CTR130822 DDK130822:DDN130822 DNG130822:DNJ130822 DXC130822:DXF130822 EGY130822:EHB130822 EQU130822:EQX130822 FAQ130822:FAT130822 FKM130822:FKP130822 FUI130822:FUL130822 GEE130822:GEH130822 GOA130822:GOD130822 GXW130822:GXZ130822 HHS130822:HHV130822 HRO130822:HRR130822 IBK130822:IBN130822 ILG130822:ILJ130822 IVC130822:IVF130822 JEY130822:JFB130822 JOU130822:JOX130822 JYQ130822:JYT130822 KIM130822:KIP130822 KSI130822:KSL130822 LCE130822:LCH130822 LMA130822:LMD130822 LVW130822:LVZ130822 MFS130822:MFV130822 MPO130822:MPR130822 MZK130822:MZN130822 NJG130822:NJJ130822 NTC130822:NTF130822 OCY130822:ODB130822 OMU130822:OMX130822 OWQ130822:OWT130822 PGM130822:PGP130822 PQI130822:PQL130822 QAE130822:QAH130822 QKA130822:QKD130822 QTW130822:QTZ130822 RDS130822:RDV130822 RNO130822:RNR130822 RXK130822:RXN130822 SHG130822:SHJ130822 SRC130822:SRF130822 TAY130822:TBB130822 TKU130822:TKX130822 TUQ130822:TUT130822 UEM130822:UEP130822 UOI130822:UOL130822 UYE130822:UYH130822 VIA130822:VID130822 VRW130822:VRZ130822 WBS130822:WBV130822 WLO130822:WLR130822 WVK130822:WVN130822 C196358:F196358 IY196358:JB196358 SU196358:SX196358 ACQ196358:ACT196358 AMM196358:AMP196358 AWI196358:AWL196358 BGE196358:BGH196358 BQA196358:BQD196358 BZW196358:BZZ196358 CJS196358:CJV196358 CTO196358:CTR196358 DDK196358:DDN196358 DNG196358:DNJ196358 DXC196358:DXF196358 EGY196358:EHB196358 EQU196358:EQX196358 FAQ196358:FAT196358 FKM196358:FKP196358 FUI196358:FUL196358 GEE196358:GEH196358 GOA196358:GOD196358 GXW196358:GXZ196358 HHS196358:HHV196358 HRO196358:HRR196358 IBK196358:IBN196358 ILG196358:ILJ196358 IVC196358:IVF196358 JEY196358:JFB196358 JOU196358:JOX196358 JYQ196358:JYT196358 KIM196358:KIP196358 KSI196358:KSL196358 LCE196358:LCH196358 LMA196358:LMD196358 LVW196358:LVZ196358 MFS196358:MFV196358 MPO196358:MPR196358 MZK196358:MZN196358 NJG196358:NJJ196358 NTC196358:NTF196358 OCY196358:ODB196358 OMU196358:OMX196358 OWQ196358:OWT196358 PGM196358:PGP196358 PQI196358:PQL196358 QAE196358:QAH196358 QKA196358:QKD196358 QTW196358:QTZ196358 RDS196358:RDV196358 RNO196358:RNR196358 RXK196358:RXN196358 SHG196358:SHJ196358 SRC196358:SRF196358 TAY196358:TBB196358 TKU196358:TKX196358 TUQ196358:TUT196358 UEM196358:UEP196358 UOI196358:UOL196358 UYE196358:UYH196358 VIA196358:VID196358 VRW196358:VRZ196358 WBS196358:WBV196358 WLO196358:WLR196358 WVK196358:WVN196358 C261894:F261894 IY261894:JB261894 SU261894:SX261894 ACQ261894:ACT261894 AMM261894:AMP261894 AWI261894:AWL261894 BGE261894:BGH261894 BQA261894:BQD261894 BZW261894:BZZ261894 CJS261894:CJV261894 CTO261894:CTR261894 DDK261894:DDN261894 DNG261894:DNJ261894 DXC261894:DXF261894 EGY261894:EHB261894 EQU261894:EQX261894 FAQ261894:FAT261894 FKM261894:FKP261894 FUI261894:FUL261894 GEE261894:GEH261894 GOA261894:GOD261894 GXW261894:GXZ261894 HHS261894:HHV261894 HRO261894:HRR261894 IBK261894:IBN261894 ILG261894:ILJ261894 IVC261894:IVF261894 JEY261894:JFB261894 JOU261894:JOX261894 JYQ261894:JYT261894 KIM261894:KIP261894 KSI261894:KSL261894 LCE261894:LCH261894 LMA261894:LMD261894 LVW261894:LVZ261894 MFS261894:MFV261894 MPO261894:MPR261894 MZK261894:MZN261894 NJG261894:NJJ261894 NTC261894:NTF261894 OCY261894:ODB261894 OMU261894:OMX261894 OWQ261894:OWT261894 PGM261894:PGP261894 PQI261894:PQL261894 QAE261894:QAH261894 QKA261894:QKD261894 QTW261894:QTZ261894 RDS261894:RDV261894 RNO261894:RNR261894 RXK261894:RXN261894 SHG261894:SHJ261894 SRC261894:SRF261894 TAY261894:TBB261894 TKU261894:TKX261894 TUQ261894:TUT261894 UEM261894:UEP261894 UOI261894:UOL261894 UYE261894:UYH261894 VIA261894:VID261894 VRW261894:VRZ261894 WBS261894:WBV261894 WLO261894:WLR261894 WVK261894:WVN261894 C327430:F327430 IY327430:JB327430 SU327430:SX327430 ACQ327430:ACT327430 AMM327430:AMP327430 AWI327430:AWL327430 BGE327430:BGH327430 BQA327430:BQD327430 BZW327430:BZZ327430 CJS327430:CJV327430 CTO327430:CTR327430 DDK327430:DDN327430 DNG327430:DNJ327430 DXC327430:DXF327430 EGY327430:EHB327430 EQU327430:EQX327430 FAQ327430:FAT327430 FKM327430:FKP327430 FUI327430:FUL327430 GEE327430:GEH327430 GOA327430:GOD327430 GXW327430:GXZ327430 HHS327430:HHV327430 HRO327430:HRR327430 IBK327430:IBN327430 ILG327430:ILJ327430 IVC327430:IVF327430 JEY327430:JFB327430 JOU327430:JOX327430 JYQ327430:JYT327430 KIM327430:KIP327430 KSI327430:KSL327430 LCE327430:LCH327430 LMA327430:LMD327430 LVW327430:LVZ327430 MFS327430:MFV327430 MPO327430:MPR327430 MZK327430:MZN327430 NJG327430:NJJ327430 NTC327430:NTF327430 OCY327430:ODB327430 OMU327430:OMX327430 OWQ327430:OWT327430 PGM327430:PGP327430 PQI327430:PQL327430 QAE327430:QAH327430 QKA327430:QKD327430 QTW327430:QTZ327430 RDS327430:RDV327430 RNO327430:RNR327430 RXK327430:RXN327430 SHG327430:SHJ327430 SRC327430:SRF327430 TAY327430:TBB327430 TKU327430:TKX327430 TUQ327430:TUT327430 UEM327430:UEP327430 UOI327430:UOL327430 UYE327430:UYH327430 VIA327430:VID327430 VRW327430:VRZ327430 WBS327430:WBV327430 WLO327430:WLR327430 WVK327430:WVN327430 C392966:F392966 IY392966:JB392966 SU392966:SX392966 ACQ392966:ACT392966 AMM392966:AMP392966 AWI392966:AWL392966 BGE392966:BGH392966 BQA392966:BQD392966 BZW392966:BZZ392966 CJS392966:CJV392966 CTO392966:CTR392966 DDK392966:DDN392966 DNG392966:DNJ392966 DXC392966:DXF392966 EGY392966:EHB392966 EQU392966:EQX392966 FAQ392966:FAT392966 FKM392966:FKP392966 FUI392966:FUL392966 GEE392966:GEH392966 GOA392966:GOD392966 GXW392966:GXZ392966 HHS392966:HHV392966 HRO392966:HRR392966 IBK392966:IBN392966 ILG392966:ILJ392966 IVC392966:IVF392966 JEY392966:JFB392966 JOU392966:JOX392966 JYQ392966:JYT392966 KIM392966:KIP392966 KSI392966:KSL392966 LCE392966:LCH392966 LMA392966:LMD392966 LVW392966:LVZ392966 MFS392966:MFV392966 MPO392966:MPR392966 MZK392966:MZN392966 NJG392966:NJJ392966 NTC392966:NTF392966 OCY392966:ODB392966 OMU392966:OMX392966 OWQ392966:OWT392966 PGM392966:PGP392966 PQI392966:PQL392966 QAE392966:QAH392966 QKA392966:QKD392966 QTW392966:QTZ392966 RDS392966:RDV392966 RNO392966:RNR392966 RXK392966:RXN392966 SHG392966:SHJ392966 SRC392966:SRF392966 TAY392966:TBB392966 TKU392966:TKX392966 TUQ392966:TUT392966 UEM392966:UEP392966 UOI392966:UOL392966 UYE392966:UYH392966 VIA392966:VID392966 VRW392966:VRZ392966 WBS392966:WBV392966 WLO392966:WLR392966 WVK392966:WVN392966 C458502:F458502 IY458502:JB458502 SU458502:SX458502 ACQ458502:ACT458502 AMM458502:AMP458502 AWI458502:AWL458502 BGE458502:BGH458502 BQA458502:BQD458502 BZW458502:BZZ458502 CJS458502:CJV458502 CTO458502:CTR458502 DDK458502:DDN458502 DNG458502:DNJ458502 DXC458502:DXF458502 EGY458502:EHB458502 EQU458502:EQX458502 FAQ458502:FAT458502 FKM458502:FKP458502 FUI458502:FUL458502 GEE458502:GEH458502 GOA458502:GOD458502 GXW458502:GXZ458502 HHS458502:HHV458502 HRO458502:HRR458502 IBK458502:IBN458502 ILG458502:ILJ458502 IVC458502:IVF458502 JEY458502:JFB458502 JOU458502:JOX458502 JYQ458502:JYT458502 KIM458502:KIP458502 KSI458502:KSL458502 LCE458502:LCH458502 LMA458502:LMD458502 LVW458502:LVZ458502 MFS458502:MFV458502 MPO458502:MPR458502 MZK458502:MZN458502 NJG458502:NJJ458502 NTC458502:NTF458502 OCY458502:ODB458502 OMU458502:OMX458502 OWQ458502:OWT458502 PGM458502:PGP458502 PQI458502:PQL458502 QAE458502:QAH458502 QKA458502:QKD458502 QTW458502:QTZ458502 RDS458502:RDV458502 RNO458502:RNR458502 RXK458502:RXN458502 SHG458502:SHJ458502 SRC458502:SRF458502 TAY458502:TBB458502 TKU458502:TKX458502 TUQ458502:TUT458502 UEM458502:UEP458502 UOI458502:UOL458502 UYE458502:UYH458502 VIA458502:VID458502 VRW458502:VRZ458502 WBS458502:WBV458502 WLO458502:WLR458502 WVK458502:WVN458502 C524038:F524038 IY524038:JB524038 SU524038:SX524038 ACQ524038:ACT524038 AMM524038:AMP524038 AWI524038:AWL524038 BGE524038:BGH524038 BQA524038:BQD524038 BZW524038:BZZ524038 CJS524038:CJV524038 CTO524038:CTR524038 DDK524038:DDN524038 DNG524038:DNJ524038 DXC524038:DXF524038 EGY524038:EHB524038 EQU524038:EQX524038 FAQ524038:FAT524038 FKM524038:FKP524038 FUI524038:FUL524038 GEE524038:GEH524038 GOA524038:GOD524038 GXW524038:GXZ524038 HHS524038:HHV524038 HRO524038:HRR524038 IBK524038:IBN524038 ILG524038:ILJ524038 IVC524038:IVF524038 JEY524038:JFB524038 JOU524038:JOX524038 JYQ524038:JYT524038 KIM524038:KIP524038 KSI524038:KSL524038 LCE524038:LCH524038 LMA524038:LMD524038 LVW524038:LVZ524038 MFS524038:MFV524038 MPO524038:MPR524038 MZK524038:MZN524038 NJG524038:NJJ524038 NTC524038:NTF524038 OCY524038:ODB524038 OMU524038:OMX524038 OWQ524038:OWT524038 PGM524038:PGP524038 PQI524038:PQL524038 QAE524038:QAH524038 QKA524038:QKD524038 QTW524038:QTZ524038 RDS524038:RDV524038 RNO524038:RNR524038 RXK524038:RXN524038 SHG524038:SHJ524038 SRC524038:SRF524038 TAY524038:TBB524038 TKU524038:TKX524038 TUQ524038:TUT524038 UEM524038:UEP524038 UOI524038:UOL524038 UYE524038:UYH524038 VIA524038:VID524038 VRW524038:VRZ524038 WBS524038:WBV524038 WLO524038:WLR524038 WVK524038:WVN524038 C589574:F589574 IY589574:JB589574 SU589574:SX589574 ACQ589574:ACT589574 AMM589574:AMP589574 AWI589574:AWL589574 BGE589574:BGH589574 BQA589574:BQD589574 BZW589574:BZZ589574 CJS589574:CJV589574 CTO589574:CTR589574 DDK589574:DDN589574 DNG589574:DNJ589574 DXC589574:DXF589574 EGY589574:EHB589574 EQU589574:EQX589574 FAQ589574:FAT589574 FKM589574:FKP589574 FUI589574:FUL589574 GEE589574:GEH589574 GOA589574:GOD589574 GXW589574:GXZ589574 HHS589574:HHV589574 HRO589574:HRR589574 IBK589574:IBN589574 ILG589574:ILJ589574 IVC589574:IVF589574 JEY589574:JFB589574 JOU589574:JOX589574 JYQ589574:JYT589574 KIM589574:KIP589574 KSI589574:KSL589574 LCE589574:LCH589574 LMA589574:LMD589574 LVW589574:LVZ589574 MFS589574:MFV589574 MPO589574:MPR589574 MZK589574:MZN589574 NJG589574:NJJ589574 NTC589574:NTF589574 OCY589574:ODB589574 OMU589574:OMX589574 OWQ589574:OWT589574 PGM589574:PGP589574 PQI589574:PQL589574 QAE589574:QAH589574 QKA589574:QKD589574 QTW589574:QTZ589574 RDS589574:RDV589574 RNO589574:RNR589574 RXK589574:RXN589574 SHG589574:SHJ589574 SRC589574:SRF589574 TAY589574:TBB589574 TKU589574:TKX589574 TUQ589574:TUT589574 UEM589574:UEP589574 UOI589574:UOL589574 UYE589574:UYH589574 VIA589574:VID589574 VRW589574:VRZ589574 WBS589574:WBV589574 WLO589574:WLR589574 WVK589574:WVN589574 C655110:F655110 IY655110:JB655110 SU655110:SX655110 ACQ655110:ACT655110 AMM655110:AMP655110 AWI655110:AWL655110 BGE655110:BGH655110 BQA655110:BQD655110 BZW655110:BZZ655110 CJS655110:CJV655110 CTO655110:CTR655110 DDK655110:DDN655110 DNG655110:DNJ655110 DXC655110:DXF655110 EGY655110:EHB655110 EQU655110:EQX655110 FAQ655110:FAT655110 FKM655110:FKP655110 FUI655110:FUL655110 GEE655110:GEH655110 GOA655110:GOD655110 GXW655110:GXZ655110 HHS655110:HHV655110 HRO655110:HRR655110 IBK655110:IBN655110 ILG655110:ILJ655110 IVC655110:IVF655110 JEY655110:JFB655110 JOU655110:JOX655110 JYQ655110:JYT655110 KIM655110:KIP655110 KSI655110:KSL655110 LCE655110:LCH655110 LMA655110:LMD655110 LVW655110:LVZ655110 MFS655110:MFV655110 MPO655110:MPR655110 MZK655110:MZN655110 NJG655110:NJJ655110 NTC655110:NTF655110 OCY655110:ODB655110 OMU655110:OMX655110 OWQ655110:OWT655110 PGM655110:PGP655110 PQI655110:PQL655110 QAE655110:QAH655110 QKA655110:QKD655110 QTW655110:QTZ655110 RDS655110:RDV655110 RNO655110:RNR655110 RXK655110:RXN655110 SHG655110:SHJ655110 SRC655110:SRF655110 TAY655110:TBB655110 TKU655110:TKX655110 TUQ655110:TUT655110 UEM655110:UEP655110 UOI655110:UOL655110 UYE655110:UYH655110 VIA655110:VID655110 VRW655110:VRZ655110 WBS655110:WBV655110 WLO655110:WLR655110 WVK655110:WVN655110 C720646:F720646 IY720646:JB720646 SU720646:SX720646 ACQ720646:ACT720646 AMM720646:AMP720646 AWI720646:AWL720646 BGE720646:BGH720646 BQA720646:BQD720646 BZW720646:BZZ720646 CJS720646:CJV720646 CTO720646:CTR720646 DDK720646:DDN720646 DNG720646:DNJ720646 DXC720646:DXF720646 EGY720646:EHB720646 EQU720646:EQX720646 FAQ720646:FAT720646 FKM720646:FKP720646 FUI720646:FUL720646 GEE720646:GEH720646 GOA720646:GOD720646 GXW720646:GXZ720646 HHS720646:HHV720646 HRO720646:HRR720646 IBK720646:IBN720646 ILG720646:ILJ720646 IVC720646:IVF720646 JEY720646:JFB720646 JOU720646:JOX720646 JYQ720646:JYT720646 KIM720646:KIP720646 KSI720646:KSL720646 LCE720646:LCH720646 LMA720646:LMD720646 LVW720646:LVZ720646 MFS720646:MFV720646 MPO720646:MPR720646 MZK720646:MZN720646 NJG720646:NJJ720646 NTC720646:NTF720646 OCY720646:ODB720646 OMU720646:OMX720646 OWQ720646:OWT720646 PGM720646:PGP720646 PQI720646:PQL720646 QAE720646:QAH720646 QKA720646:QKD720646 QTW720646:QTZ720646 RDS720646:RDV720646 RNO720646:RNR720646 RXK720646:RXN720646 SHG720646:SHJ720646 SRC720646:SRF720646 TAY720646:TBB720646 TKU720646:TKX720646 TUQ720646:TUT720646 UEM720646:UEP720646 UOI720646:UOL720646 UYE720646:UYH720646 VIA720646:VID720646 VRW720646:VRZ720646 WBS720646:WBV720646 WLO720646:WLR720646 WVK720646:WVN720646 C786182:F786182 IY786182:JB786182 SU786182:SX786182 ACQ786182:ACT786182 AMM786182:AMP786182 AWI786182:AWL786182 BGE786182:BGH786182 BQA786182:BQD786182 BZW786182:BZZ786182 CJS786182:CJV786182 CTO786182:CTR786182 DDK786182:DDN786182 DNG786182:DNJ786182 DXC786182:DXF786182 EGY786182:EHB786182 EQU786182:EQX786182 FAQ786182:FAT786182 FKM786182:FKP786182 FUI786182:FUL786182 GEE786182:GEH786182 GOA786182:GOD786182 GXW786182:GXZ786182 HHS786182:HHV786182 HRO786182:HRR786182 IBK786182:IBN786182 ILG786182:ILJ786182 IVC786182:IVF786182 JEY786182:JFB786182 JOU786182:JOX786182 JYQ786182:JYT786182 KIM786182:KIP786182 KSI786182:KSL786182 LCE786182:LCH786182 LMA786182:LMD786182 LVW786182:LVZ786182 MFS786182:MFV786182 MPO786182:MPR786182 MZK786182:MZN786182 NJG786182:NJJ786182 NTC786182:NTF786182 OCY786182:ODB786182 OMU786182:OMX786182 OWQ786182:OWT786182 PGM786182:PGP786182 PQI786182:PQL786182 QAE786182:QAH786182 QKA786182:QKD786182 QTW786182:QTZ786182 RDS786182:RDV786182 RNO786182:RNR786182 RXK786182:RXN786182 SHG786182:SHJ786182 SRC786182:SRF786182 TAY786182:TBB786182 TKU786182:TKX786182 TUQ786182:TUT786182 UEM786182:UEP786182 UOI786182:UOL786182 UYE786182:UYH786182 VIA786182:VID786182 VRW786182:VRZ786182 WBS786182:WBV786182 WLO786182:WLR786182 WVK786182:WVN786182 C851718:F851718 IY851718:JB851718 SU851718:SX851718 ACQ851718:ACT851718 AMM851718:AMP851718 AWI851718:AWL851718 BGE851718:BGH851718 BQA851718:BQD851718 BZW851718:BZZ851718 CJS851718:CJV851718 CTO851718:CTR851718 DDK851718:DDN851718 DNG851718:DNJ851718 DXC851718:DXF851718 EGY851718:EHB851718 EQU851718:EQX851718 FAQ851718:FAT851718 FKM851718:FKP851718 FUI851718:FUL851718 GEE851718:GEH851718 GOA851718:GOD851718 GXW851718:GXZ851718 HHS851718:HHV851718 HRO851718:HRR851718 IBK851718:IBN851718 ILG851718:ILJ851718 IVC851718:IVF851718 JEY851718:JFB851718 JOU851718:JOX851718 JYQ851718:JYT851718 KIM851718:KIP851718 KSI851718:KSL851718 LCE851718:LCH851718 LMA851718:LMD851718 LVW851718:LVZ851718 MFS851718:MFV851718 MPO851718:MPR851718 MZK851718:MZN851718 NJG851718:NJJ851718 NTC851718:NTF851718 OCY851718:ODB851718 OMU851718:OMX851718 OWQ851718:OWT851718 PGM851718:PGP851718 PQI851718:PQL851718 QAE851718:QAH851718 QKA851718:QKD851718 QTW851718:QTZ851718 RDS851718:RDV851718 RNO851718:RNR851718 RXK851718:RXN851718 SHG851718:SHJ851718 SRC851718:SRF851718 TAY851718:TBB851718 TKU851718:TKX851718 TUQ851718:TUT851718 UEM851718:UEP851718 UOI851718:UOL851718 UYE851718:UYH851718 VIA851718:VID851718 VRW851718:VRZ851718 WBS851718:WBV851718 WLO851718:WLR851718 WVK851718:WVN851718 C917254:F917254 IY917254:JB917254 SU917254:SX917254 ACQ917254:ACT917254 AMM917254:AMP917254 AWI917254:AWL917254 BGE917254:BGH917254 BQA917254:BQD917254 BZW917254:BZZ917254 CJS917254:CJV917254 CTO917254:CTR917254 DDK917254:DDN917254 DNG917254:DNJ917254 DXC917254:DXF917254 EGY917254:EHB917254 EQU917254:EQX917254 FAQ917254:FAT917254 FKM917254:FKP917254 FUI917254:FUL917254 GEE917254:GEH917254 GOA917254:GOD917254 GXW917254:GXZ917254 HHS917254:HHV917254 HRO917254:HRR917254 IBK917254:IBN917254 ILG917254:ILJ917254 IVC917254:IVF917254 JEY917254:JFB917254 JOU917254:JOX917254 JYQ917254:JYT917254 KIM917254:KIP917254 KSI917254:KSL917254 LCE917254:LCH917254 LMA917254:LMD917254 LVW917254:LVZ917254 MFS917254:MFV917254 MPO917254:MPR917254 MZK917254:MZN917254 NJG917254:NJJ917254 NTC917254:NTF917254 OCY917254:ODB917254 OMU917254:OMX917254 OWQ917254:OWT917254 PGM917254:PGP917254 PQI917254:PQL917254 QAE917254:QAH917254 QKA917254:QKD917254 QTW917254:QTZ917254 RDS917254:RDV917254 RNO917254:RNR917254 RXK917254:RXN917254 SHG917254:SHJ917254 SRC917254:SRF917254 TAY917254:TBB917254 TKU917254:TKX917254 TUQ917254:TUT917254 UEM917254:UEP917254 UOI917254:UOL917254 UYE917254:UYH917254 VIA917254:VID917254 VRW917254:VRZ917254 WBS917254:WBV917254 WLO917254:WLR917254 WVK917254:WVN917254 C982790:F982790 IY982790:JB982790 SU982790:SX982790 ACQ982790:ACT982790 AMM982790:AMP982790 AWI982790:AWL982790 BGE982790:BGH982790 BQA982790:BQD982790 BZW982790:BZZ982790 CJS982790:CJV982790 CTO982790:CTR982790 DDK982790:DDN982790 DNG982790:DNJ982790 DXC982790:DXF982790 EGY982790:EHB982790 EQU982790:EQX982790 FAQ982790:FAT982790 FKM982790:FKP982790 FUI982790:FUL982790 GEE982790:GEH982790 GOA982790:GOD982790 GXW982790:GXZ982790 HHS982790:HHV982790 HRO982790:HRR982790 IBK982790:IBN982790 ILG982790:ILJ982790 IVC982790:IVF982790 JEY982790:JFB982790 JOU982790:JOX982790 JYQ982790:JYT982790 KIM982790:KIP982790 KSI982790:KSL982790 LCE982790:LCH982790 LMA982790:LMD982790 LVW982790:LVZ982790 MFS982790:MFV982790 MPO982790:MPR982790 MZK982790:MZN982790 NJG982790:NJJ982790 NTC982790:NTF982790 OCY982790:ODB982790 OMU982790:OMX982790 OWQ982790:OWT982790 PGM982790:PGP982790 PQI982790:PQL982790 QAE982790:QAH982790 QKA982790:QKD982790 QTW982790:QTZ982790 RDS982790:RDV982790 RNO982790:RNR982790 RXK982790:RXN982790 SHG982790:SHJ982790 SRC982790:SRF982790 TAY982790:TBB982790 TKU982790:TKX982790 TUQ982790:TUT982790 UEM982790:UEP982790 UOI982790:UOL982790 UYE982790:UYH982790 VIA982790:VID982790 VRW982790:VRZ982790 WBS982790:WBV982790 WLO982790:WLR982790 WVK982790:WVN982790 Q65295 JM65295 TI65295 ADE65295 ANA65295 AWW65295 BGS65295 BQO65295 CAK65295 CKG65295 CUC65295 DDY65295 DNU65295 DXQ65295 EHM65295 ERI65295 FBE65295 FLA65295 FUW65295 GES65295 GOO65295 GYK65295 HIG65295 HSC65295 IBY65295 ILU65295 IVQ65295 JFM65295 JPI65295 JZE65295 KJA65295 KSW65295 LCS65295 LMO65295 LWK65295 MGG65295 MQC65295 MZY65295 NJU65295 NTQ65295 ODM65295 ONI65295 OXE65295 PHA65295 PQW65295 QAS65295 QKO65295 QUK65295 REG65295 ROC65295 RXY65295 SHU65295 SRQ65295 TBM65295 TLI65295 TVE65295 UFA65295 UOW65295 UYS65295 VIO65295 VSK65295 WCG65295 WMC65295 WVY65295 Q130831 JM130831 TI130831 ADE130831 ANA130831 AWW130831 BGS130831 BQO130831 CAK130831 CKG130831 CUC130831 DDY130831 DNU130831 DXQ130831 EHM130831 ERI130831 FBE130831 FLA130831 FUW130831 GES130831 GOO130831 GYK130831 HIG130831 HSC130831 IBY130831 ILU130831 IVQ130831 JFM130831 JPI130831 JZE130831 KJA130831 KSW130831 LCS130831 LMO130831 LWK130831 MGG130831 MQC130831 MZY130831 NJU130831 NTQ130831 ODM130831 ONI130831 OXE130831 PHA130831 PQW130831 QAS130831 QKO130831 QUK130831 REG130831 ROC130831 RXY130831 SHU130831 SRQ130831 TBM130831 TLI130831 TVE130831 UFA130831 UOW130831 UYS130831 VIO130831 VSK130831 WCG130831 WMC130831 WVY130831 Q196367 JM196367 TI196367 ADE196367 ANA196367 AWW196367 BGS196367 BQO196367 CAK196367 CKG196367 CUC196367 DDY196367 DNU196367 DXQ196367 EHM196367 ERI196367 FBE196367 FLA196367 FUW196367 GES196367 GOO196367 GYK196367 HIG196367 HSC196367 IBY196367 ILU196367 IVQ196367 JFM196367 JPI196367 JZE196367 KJA196367 KSW196367 LCS196367 LMO196367 LWK196367 MGG196367 MQC196367 MZY196367 NJU196367 NTQ196367 ODM196367 ONI196367 OXE196367 PHA196367 PQW196367 QAS196367 QKO196367 QUK196367 REG196367 ROC196367 RXY196367 SHU196367 SRQ196367 TBM196367 TLI196367 TVE196367 UFA196367 UOW196367 UYS196367 VIO196367 VSK196367 WCG196367 WMC196367 WVY196367 Q261903 JM261903 TI261903 ADE261903 ANA261903 AWW261903 BGS261903 BQO261903 CAK261903 CKG261903 CUC261903 DDY261903 DNU261903 DXQ261903 EHM261903 ERI261903 FBE261903 FLA261903 FUW261903 GES261903 GOO261903 GYK261903 HIG261903 HSC261903 IBY261903 ILU261903 IVQ261903 JFM261903 JPI261903 JZE261903 KJA261903 KSW261903 LCS261903 LMO261903 LWK261903 MGG261903 MQC261903 MZY261903 NJU261903 NTQ261903 ODM261903 ONI261903 OXE261903 PHA261903 PQW261903 QAS261903 QKO261903 QUK261903 REG261903 ROC261903 RXY261903 SHU261903 SRQ261903 TBM261903 TLI261903 TVE261903 UFA261903 UOW261903 UYS261903 VIO261903 VSK261903 WCG261903 WMC261903 WVY261903 Q327439 JM327439 TI327439 ADE327439 ANA327439 AWW327439 BGS327439 BQO327439 CAK327439 CKG327439 CUC327439 DDY327439 DNU327439 DXQ327439 EHM327439 ERI327439 FBE327439 FLA327439 FUW327439 GES327439 GOO327439 GYK327439 HIG327439 HSC327439 IBY327439 ILU327439 IVQ327439 JFM327439 JPI327439 JZE327439 KJA327439 KSW327439 LCS327439 LMO327439 LWK327439 MGG327439 MQC327439 MZY327439 NJU327439 NTQ327439 ODM327439 ONI327439 OXE327439 PHA327439 PQW327439 QAS327439 QKO327439 QUK327439 REG327439 ROC327439 RXY327439 SHU327439 SRQ327439 TBM327439 TLI327439 TVE327439 UFA327439 UOW327439 UYS327439 VIO327439 VSK327439 WCG327439 WMC327439 WVY327439 Q392975 JM392975 TI392975 ADE392975 ANA392975 AWW392975 BGS392975 BQO392975 CAK392975 CKG392975 CUC392975 DDY392975 DNU392975 DXQ392975 EHM392975 ERI392975 FBE392975 FLA392975 FUW392975 GES392975 GOO392975 GYK392975 HIG392975 HSC392975 IBY392975 ILU392975 IVQ392975 JFM392975 JPI392975 JZE392975 KJA392975 KSW392975 LCS392975 LMO392975 LWK392975 MGG392975 MQC392975 MZY392975 NJU392975 NTQ392975 ODM392975 ONI392975 OXE392975 PHA392975 PQW392975 QAS392975 QKO392975 QUK392975 REG392975 ROC392975 RXY392975 SHU392975 SRQ392975 TBM392975 TLI392975 TVE392975 UFA392975 UOW392975 UYS392975 VIO392975 VSK392975 WCG392975 WMC392975 WVY392975 Q458511 JM458511 TI458511 ADE458511 ANA458511 AWW458511 BGS458511 BQO458511 CAK458511 CKG458511 CUC458511 DDY458511 DNU458511 DXQ458511 EHM458511 ERI458511 FBE458511 FLA458511 FUW458511 GES458511 GOO458511 GYK458511 HIG458511 HSC458511 IBY458511 ILU458511 IVQ458511 JFM458511 JPI458511 JZE458511 KJA458511 KSW458511 LCS458511 LMO458511 LWK458511 MGG458511 MQC458511 MZY458511 NJU458511 NTQ458511 ODM458511 ONI458511 OXE458511 PHA458511 PQW458511 QAS458511 QKO458511 QUK458511 REG458511 ROC458511 RXY458511 SHU458511 SRQ458511 TBM458511 TLI458511 TVE458511 UFA458511 UOW458511 UYS458511 VIO458511 VSK458511 WCG458511 WMC458511 WVY458511 Q524047 JM524047 TI524047 ADE524047 ANA524047 AWW524047 BGS524047 BQO524047 CAK524047 CKG524047 CUC524047 DDY524047 DNU524047 DXQ524047 EHM524047 ERI524047 FBE524047 FLA524047 FUW524047 GES524047 GOO524047 GYK524047 HIG524047 HSC524047 IBY524047 ILU524047 IVQ524047 JFM524047 JPI524047 JZE524047 KJA524047 KSW524047 LCS524047 LMO524047 LWK524047 MGG524047 MQC524047 MZY524047 NJU524047 NTQ524047 ODM524047 ONI524047 OXE524047 PHA524047 PQW524047 QAS524047 QKO524047 QUK524047 REG524047 ROC524047 RXY524047 SHU524047 SRQ524047 TBM524047 TLI524047 TVE524047 UFA524047 UOW524047 UYS524047 VIO524047 VSK524047 WCG524047 WMC524047 WVY524047 Q589583 JM589583 TI589583 ADE589583 ANA589583 AWW589583 BGS589583 BQO589583 CAK589583 CKG589583 CUC589583 DDY589583 DNU589583 DXQ589583 EHM589583 ERI589583 FBE589583 FLA589583 FUW589583 GES589583 GOO589583 GYK589583 HIG589583 HSC589583 IBY589583 ILU589583 IVQ589583 JFM589583 JPI589583 JZE589583 KJA589583 KSW589583 LCS589583 LMO589583 LWK589583 MGG589583 MQC589583 MZY589583 NJU589583 NTQ589583 ODM589583 ONI589583 OXE589583 PHA589583 PQW589583 QAS589583 QKO589583 QUK589583 REG589583 ROC589583 RXY589583 SHU589583 SRQ589583 TBM589583 TLI589583 TVE589583 UFA589583 UOW589583 UYS589583 VIO589583 VSK589583 WCG589583 WMC589583 WVY589583 Q655119 JM655119 TI655119 ADE655119 ANA655119 AWW655119 BGS655119 BQO655119 CAK655119 CKG655119 CUC655119 DDY655119 DNU655119 DXQ655119 EHM655119 ERI655119 FBE655119 FLA655119 FUW655119 GES655119 GOO655119 GYK655119 HIG655119 HSC655119 IBY655119 ILU655119 IVQ655119 JFM655119 JPI655119 JZE655119 KJA655119 KSW655119 LCS655119 LMO655119 LWK655119 MGG655119 MQC655119 MZY655119 NJU655119 NTQ655119 ODM655119 ONI655119 OXE655119 PHA655119 PQW655119 QAS655119 QKO655119 QUK655119 REG655119 ROC655119 RXY655119 SHU655119 SRQ655119 TBM655119 TLI655119 TVE655119 UFA655119 UOW655119 UYS655119 VIO655119 VSK655119 WCG655119 WMC655119 WVY655119 Q720655 JM720655 TI720655 ADE720655 ANA720655 AWW720655 BGS720655 BQO720655 CAK720655 CKG720655 CUC720655 DDY720655 DNU720655 DXQ720655 EHM720655 ERI720655 FBE720655 FLA720655 FUW720655 GES720655 GOO720655 GYK720655 HIG720655 HSC720655 IBY720655 ILU720655 IVQ720655 JFM720655 JPI720655 JZE720655 KJA720655 KSW720655 LCS720655 LMO720655 LWK720655 MGG720655 MQC720655 MZY720655 NJU720655 NTQ720655 ODM720655 ONI720655 OXE720655 PHA720655 PQW720655 QAS720655 QKO720655 QUK720655 REG720655 ROC720655 RXY720655 SHU720655 SRQ720655 TBM720655 TLI720655 TVE720655 UFA720655 UOW720655 UYS720655 VIO720655 VSK720655 WCG720655 WMC720655 WVY720655 Q786191 JM786191 TI786191 ADE786191 ANA786191 AWW786191 BGS786191 BQO786191 CAK786191 CKG786191 CUC786191 DDY786191 DNU786191 DXQ786191 EHM786191 ERI786191 FBE786191 FLA786191 FUW786191 GES786191 GOO786191 GYK786191 HIG786191 HSC786191 IBY786191 ILU786191 IVQ786191 JFM786191 JPI786191 JZE786191 KJA786191 KSW786191 LCS786191 LMO786191 LWK786191 MGG786191 MQC786191 MZY786191 NJU786191 NTQ786191 ODM786191 ONI786191 OXE786191 PHA786191 PQW786191 QAS786191 QKO786191 QUK786191 REG786191 ROC786191 RXY786191 SHU786191 SRQ786191 TBM786191 TLI786191 TVE786191 UFA786191 UOW786191 UYS786191 VIO786191 VSK786191 WCG786191 WMC786191 WVY786191 Q851727 JM851727 TI851727 ADE851727 ANA851727 AWW851727 BGS851727 BQO851727 CAK851727 CKG851727 CUC851727 DDY851727 DNU851727 DXQ851727 EHM851727 ERI851727 FBE851727 FLA851727 FUW851727 GES851727 GOO851727 GYK851727 HIG851727 HSC851727 IBY851727 ILU851727 IVQ851727 JFM851727 JPI851727 JZE851727 KJA851727 KSW851727 LCS851727 LMO851727 LWK851727 MGG851727 MQC851727 MZY851727 NJU851727 NTQ851727 ODM851727 ONI851727 OXE851727 PHA851727 PQW851727 QAS851727 QKO851727 QUK851727 REG851727 ROC851727 RXY851727 SHU851727 SRQ851727 TBM851727 TLI851727 TVE851727 UFA851727 UOW851727 UYS851727 VIO851727 VSK851727 WCG851727 WMC851727 WVY851727 Q917263 JM917263 TI917263 ADE917263 ANA917263 AWW917263 BGS917263 BQO917263 CAK917263 CKG917263 CUC917263 DDY917263 DNU917263 DXQ917263 EHM917263 ERI917263 FBE917263 FLA917263 FUW917263 GES917263 GOO917263 GYK917263 HIG917263 HSC917263 IBY917263 ILU917263 IVQ917263 JFM917263 JPI917263 JZE917263 KJA917263 KSW917263 LCS917263 LMO917263 LWK917263 MGG917263 MQC917263 MZY917263 NJU917263 NTQ917263 ODM917263 ONI917263 OXE917263 PHA917263 PQW917263 QAS917263 QKO917263 QUK917263 REG917263 ROC917263 RXY917263 SHU917263 SRQ917263 TBM917263 TLI917263 TVE917263 UFA917263 UOW917263 UYS917263 VIO917263 VSK917263 WCG917263 WMC917263 WVY917263 Q982799 JM982799 TI982799 ADE982799 ANA982799 AWW982799 BGS982799 BQO982799 CAK982799 CKG982799 CUC982799 DDY982799 DNU982799 DXQ982799 EHM982799 ERI982799 FBE982799 FLA982799 FUW982799 GES982799 GOO982799 GYK982799 HIG982799 HSC982799 IBY982799 ILU982799 IVQ982799 JFM982799 JPI982799 JZE982799 KJA982799 KSW982799 LCS982799 LMO982799 LWK982799 MGG982799 MQC982799 MZY982799 NJU982799 NTQ982799 ODM982799 ONI982799 OXE982799 PHA982799 PQW982799 QAS982799 QKO982799 QUK982799 REG982799 ROC982799 RXY982799 SHU982799 SRQ982799 TBM982799 TLI982799 TVE982799 UFA982799 UOW982799 UYS982799 VIO982799 VSK982799 WCG982799 WMC982799 WVY982799 C65333:F65333 IY65333:JB65333 SU65333:SX65333 ACQ65333:ACT65333 AMM65333:AMP65333 AWI65333:AWL65333 BGE65333:BGH65333 BQA65333:BQD65333 BZW65333:BZZ65333 CJS65333:CJV65333 CTO65333:CTR65333 DDK65333:DDN65333 DNG65333:DNJ65333 DXC65333:DXF65333 EGY65333:EHB65333 EQU65333:EQX65333 FAQ65333:FAT65333 FKM65333:FKP65333 FUI65333:FUL65333 GEE65333:GEH65333 GOA65333:GOD65333 GXW65333:GXZ65333 HHS65333:HHV65333 HRO65333:HRR65333 IBK65333:IBN65333 ILG65333:ILJ65333 IVC65333:IVF65333 JEY65333:JFB65333 JOU65333:JOX65333 JYQ65333:JYT65333 KIM65333:KIP65333 KSI65333:KSL65333 LCE65333:LCH65333 LMA65333:LMD65333 LVW65333:LVZ65333 MFS65333:MFV65333 MPO65333:MPR65333 MZK65333:MZN65333 NJG65333:NJJ65333 NTC65333:NTF65333 OCY65333:ODB65333 OMU65333:OMX65333 OWQ65333:OWT65333 PGM65333:PGP65333 PQI65333:PQL65333 QAE65333:QAH65333 QKA65333:QKD65333 QTW65333:QTZ65333 RDS65333:RDV65333 RNO65333:RNR65333 RXK65333:RXN65333 SHG65333:SHJ65333 SRC65333:SRF65333 TAY65333:TBB65333 TKU65333:TKX65333 TUQ65333:TUT65333 UEM65333:UEP65333 UOI65333:UOL65333 UYE65333:UYH65333 VIA65333:VID65333 VRW65333:VRZ65333 WBS65333:WBV65333 WLO65333:WLR65333 WVK65333:WVN65333 C130869:F130869 IY130869:JB130869 SU130869:SX130869 ACQ130869:ACT130869 AMM130869:AMP130869 AWI130869:AWL130869 BGE130869:BGH130869 BQA130869:BQD130869 BZW130869:BZZ130869 CJS130869:CJV130869 CTO130869:CTR130869 DDK130869:DDN130869 DNG130869:DNJ130869 DXC130869:DXF130869 EGY130869:EHB130869 EQU130869:EQX130869 FAQ130869:FAT130869 FKM130869:FKP130869 FUI130869:FUL130869 GEE130869:GEH130869 GOA130869:GOD130869 GXW130869:GXZ130869 HHS130869:HHV130869 HRO130869:HRR130869 IBK130869:IBN130869 ILG130869:ILJ130869 IVC130869:IVF130869 JEY130869:JFB130869 JOU130869:JOX130869 JYQ130869:JYT130869 KIM130869:KIP130869 KSI130869:KSL130869 LCE130869:LCH130869 LMA130869:LMD130869 LVW130869:LVZ130869 MFS130869:MFV130869 MPO130869:MPR130869 MZK130869:MZN130869 NJG130869:NJJ130869 NTC130869:NTF130869 OCY130869:ODB130869 OMU130869:OMX130869 OWQ130869:OWT130869 PGM130869:PGP130869 PQI130869:PQL130869 QAE130869:QAH130869 QKA130869:QKD130869 QTW130869:QTZ130869 RDS130869:RDV130869 RNO130869:RNR130869 RXK130869:RXN130869 SHG130869:SHJ130869 SRC130869:SRF130869 TAY130869:TBB130869 TKU130869:TKX130869 TUQ130869:TUT130869 UEM130869:UEP130869 UOI130869:UOL130869 UYE130869:UYH130869 VIA130869:VID130869 VRW130869:VRZ130869 WBS130869:WBV130869 WLO130869:WLR130869 WVK130869:WVN130869 C196405:F196405 IY196405:JB196405 SU196405:SX196405 ACQ196405:ACT196405 AMM196405:AMP196405 AWI196405:AWL196405 BGE196405:BGH196405 BQA196405:BQD196405 BZW196405:BZZ196405 CJS196405:CJV196405 CTO196405:CTR196405 DDK196405:DDN196405 DNG196405:DNJ196405 DXC196405:DXF196405 EGY196405:EHB196405 EQU196405:EQX196405 FAQ196405:FAT196405 FKM196405:FKP196405 FUI196405:FUL196405 GEE196405:GEH196405 GOA196405:GOD196405 GXW196405:GXZ196405 HHS196405:HHV196405 HRO196405:HRR196405 IBK196405:IBN196405 ILG196405:ILJ196405 IVC196405:IVF196405 JEY196405:JFB196405 JOU196405:JOX196405 JYQ196405:JYT196405 KIM196405:KIP196405 KSI196405:KSL196405 LCE196405:LCH196405 LMA196405:LMD196405 LVW196405:LVZ196405 MFS196405:MFV196405 MPO196405:MPR196405 MZK196405:MZN196405 NJG196405:NJJ196405 NTC196405:NTF196405 OCY196405:ODB196405 OMU196405:OMX196405 OWQ196405:OWT196405 PGM196405:PGP196405 PQI196405:PQL196405 QAE196405:QAH196405 QKA196405:QKD196405 QTW196405:QTZ196405 RDS196405:RDV196405 RNO196405:RNR196405 RXK196405:RXN196405 SHG196405:SHJ196405 SRC196405:SRF196405 TAY196405:TBB196405 TKU196405:TKX196405 TUQ196405:TUT196405 UEM196405:UEP196405 UOI196405:UOL196405 UYE196405:UYH196405 VIA196405:VID196405 VRW196405:VRZ196405 WBS196405:WBV196405 WLO196405:WLR196405 WVK196405:WVN196405 C261941:F261941 IY261941:JB261941 SU261941:SX261941 ACQ261941:ACT261941 AMM261941:AMP261941 AWI261941:AWL261941 BGE261941:BGH261941 BQA261941:BQD261941 BZW261941:BZZ261941 CJS261941:CJV261941 CTO261941:CTR261941 DDK261941:DDN261941 DNG261941:DNJ261941 DXC261941:DXF261941 EGY261941:EHB261941 EQU261941:EQX261941 FAQ261941:FAT261941 FKM261941:FKP261941 FUI261941:FUL261941 GEE261941:GEH261941 GOA261941:GOD261941 GXW261941:GXZ261941 HHS261941:HHV261941 HRO261941:HRR261941 IBK261941:IBN261941 ILG261941:ILJ261941 IVC261941:IVF261941 JEY261941:JFB261941 JOU261941:JOX261941 JYQ261941:JYT261941 KIM261941:KIP261941 KSI261941:KSL261941 LCE261941:LCH261941 LMA261941:LMD261941 LVW261941:LVZ261941 MFS261941:MFV261941 MPO261941:MPR261941 MZK261941:MZN261941 NJG261941:NJJ261941 NTC261941:NTF261941 OCY261941:ODB261941 OMU261941:OMX261941 OWQ261941:OWT261941 PGM261941:PGP261941 PQI261941:PQL261941 QAE261941:QAH261941 QKA261941:QKD261941 QTW261941:QTZ261941 RDS261941:RDV261941 RNO261941:RNR261941 RXK261941:RXN261941 SHG261941:SHJ261941 SRC261941:SRF261941 TAY261941:TBB261941 TKU261941:TKX261941 TUQ261941:TUT261941 UEM261941:UEP261941 UOI261941:UOL261941 UYE261941:UYH261941 VIA261941:VID261941 VRW261941:VRZ261941 WBS261941:WBV261941 WLO261941:WLR261941 WVK261941:WVN261941 C327477:F327477 IY327477:JB327477 SU327477:SX327477 ACQ327477:ACT327477 AMM327477:AMP327477 AWI327477:AWL327477 BGE327477:BGH327477 BQA327477:BQD327477 BZW327477:BZZ327477 CJS327477:CJV327477 CTO327477:CTR327477 DDK327477:DDN327477 DNG327477:DNJ327477 DXC327477:DXF327477 EGY327477:EHB327477 EQU327477:EQX327477 FAQ327477:FAT327477 FKM327477:FKP327477 FUI327477:FUL327477 GEE327477:GEH327477 GOA327477:GOD327477 GXW327477:GXZ327477 HHS327477:HHV327477 HRO327477:HRR327477 IBK327477:IBN327477 ILG327477:ILJ327477 IVC327477:IVF327477 JEY327477:JFB327477 JOU327477:JOX327477 JYQ327477:JYT327477 KIM327477:KIP327477 KSI327477:KSL327477 LCE327477:LCH327477 LMA327477:LMD327477 LVW327477:LVZ327477 MFS327477:MFV327477 MPO327477:MPR327477 MZK327477:MZN327477 NJG327477:NJJ327477 NTC327477:NTF327477 OCY327477:ODB327477 OMU327477:OMX327477 OWQ327477:OWT327477 PGM327477:PGP327477 PQI327477:PQL327477 QAE327477:QAH327477 QKA327477:QKD327477 QTW327477:QTZ327477 RDS327477:RDV327477 RNO327477:RNR327477 RXK327477:RXN327477 SHG327477:SHJ327477 SRC327477:SRF327477 TAY327477:TBB327477 TKU327477:TKX327477 TUQ327477:TUT327477 UEM327477:UEP327477 UOI327477:UOL327477 UYE327477:UYH327477 VIA327477:VID327477 VRW327477:VRZ327477 WBS327477:WBV327477 WLO327477:WLR327477 WVK327477:WVN327477 C393013:F393013 IY393013:JB393013 SU393013:SX393013 ACQ393013:ACT393013 AMM393013:AMP393013 AWI393013:AWL393013 BGE393013:BGH393013 BQA393013:BQD393013 BZW393013:BZZ393013 CJS393013:CJV393013 CTO393013:CTR393013 DDK393013:DDN393013 DNG393013:DNJ393013 DXC393013:DXF393013 EGY393013:EHB393013 EQU393013:EQX393013 FAQ393013:FAT393013 FKM393013:FKP393013 FUI393013:FUL393013 GEE393013:GEH393013 GOA393013:GOD393013 GXW393013:GXZ393013 HHS393013:HHV393013 HRO393013:HRR393013 IBK393013:IBN393013 ILG393013:ILJ393013 IVC393013:IVF393013 JEY393013:JFB393013 JOU393013:JOX393013 JYQ393013:JYT393013 KIM393013:KIP393013 KSI393013:KSL393013 LCE393013:LCH393013 LMA393013:LMD393013 LVW393013:LVZ393013 MFS393013:MFV393013 MPO393013:MPR393013 MZK393013:MZN393013 NJG393013:NJJ393013 NTC393013:NTF393013 OCY393013:ODB393013 OMU393013:OMX393013 OWQ393013:OWT393013 PGM393013:PGP393013 PQI393013:PQL393013 QAE393013:QAH393013 QKA393013:QKD393013 QTW393013:QTZ393013 RDS393013:RDV393013 RNO393013:RNR393013 RXK393013:RXN393013 SHG393013:SHJ393013 SRC393013:SRF393013 TAY393013:TBB393013 TKU393013:TKX393013 TUQ393013:TUT393013 UEM393013:UEP393013 UOI393013:UOL393013 UYE393013:UYH393013 VIA393013:VID393013 VRW393013:VRZ393013 WBS393013:WBV393013 WLO393013:WLR393013 WVK393013:WVN393013 C458549:F458549 IY458549:JB458549 SU458549:SX458549 ACQ458549:ACT458549 AMM458549:AMP458549 AWI458549:AWL458549 BGE458549:BGH458549 BQA458549:BQD458549 BZW458549:BZZ458549 CJS458549:CJV458549 CTO458549:CTR458549 DDK458549:DDN458549 DNG458549:DNJ458549 DXC458549:DXF458549 EGY458549:EHB458549 EQU458549:EQX458549 FAQ458549:FAT458549 FKM458549:FKP458549 FUI458549:FUL458549 GEE458549:GEH458549 GOA458549:GOD458549 GXW458549:GXZ458549 HHS458549:HHV458549 HRO458549:HRR458549 IBK458549:IBN458549 ILG458549:ILJ458549 IVC458549:IVF458549 JEY458549:JFB458549 JOU458549:JOX458549 JYQ458549:JYT458549 KIM458549:KIP458549 KSI458549:KSL458549 LCE458549:LCH458549 LMA458549:LMD458549 LVW458549:LVZ458549 MFS458549:MFV458549 MPO458549:MPR458549 MZK458549:MZN458549 NJG458549:NJJ458549 NTC458549:NTF458549 OCY458549:ODB458549 OMU458549:OMX458549 OWQ458549:OWT458549 PGM458549:PGP458549 PQI458549:PQL458549 QAE458549:QAH458549 QKA458549:QKD458549 QTW458549:QTZ458549 RDS458549:RDV458549 RNO458549:RNR458549 RXK458549:RXN458549 SHG458549:SHJ458549 SRC458549:SRF458549 TAY458549:TBB458549 TKU458549:TKX458549 TUQ458549:TUT458549 UEM458549:UEP458549 UOI458549:UOL458549 UYE458549:UYH458549 VIA458549:VID458549 VRW458549:VRZ458549 WBS458549:WBV458549 WLO458549:WLR458549 WVK458549:WVN458549 C524085:F524085 IY524085:JB524085 SU524085:SX524085 ACQ524085:ACT524085 AMM524085:AMP524085 AWI524085:AWL524085 BGE524085:BGH524085 BQA524085:BQD524085 BZW524085:BZZ524085 CJS524085:CJV524085 CTO524085:CTR524085 DDK524085:DDN524085 DNG524085:DNJ524085 DXC524085:DXF524085 EGY524085:EHB524085 EQU524085:EQX524085 FAQ524085:FAT524085 FKM524085:FKP524085 FUI524085:FUL524085 GEE524085:GEH524085 GOA524085:GOD524085 GXW524085:GXZ524085 HHS524085:HHV524085 HRO524085:HRR524085 IBK524085:IBN524085 ILG524085:ILJ524085 IVC524085:IVF524085 JEY524085:JFB524085 JOU524085:JOX524085 JYQ524085:JYT524085 KIM524085:KIP524085 KSI524085:KSL524085 LCE524085:LCH524085 LMA524085:LMD524085 LVW524085:LVZ524085 MFS524085:MFV524085 MPO524085:MPR524085 MZK524085:MZN524085 NJG524085:NJJ524085 NTC524085:NTF524085 OCY524085:ODB524085 OMU524085:OMX524085 OWQ524085:OWT524085 PGM524085:PGP524085 PQI524085:PQL524085 QAE524085:QAH524085 QKA524085:QKD524085 QTW524085:QTZ524085 RDS524085:RDV524085 RNO524085:RNR524085 RXK524085:RXN524085 SHG524085:SHJ524085 SRC524085:SRF524085 TAY524085:TBB524085 TKU524085:TKX524085 TUQ524085:TUT524085 UEM524085:UEP524085 UOI524085:UOL524085 UYE524085:UYH524085 VIA524085:VID524085 VRW524085:VRZ524085 WBS524085:WBV524085 WLO524085:WLR524085 WVK524085:WVN524085 C589621:F589621 IY589621:JB589621 SU589621:SX589621 ACQ589621:ACT589621 AMM589621:AMP589621 AWI589621:AWL589621 BGE589621:BGH589621 BQA589621:BQD589621 BZW589621:BZZ589621 CJS589621:CJV589621 CTO589621:CTR589621 DDK589621:DDN589621 DNG589621:DNJ589621 DXC589621:DXF589621 EGY589621:EHB589621 EQU589621:EQX589621 FAQ589621:FAT589621 FKM589621:FKP589621 FUI589621:FUL589621 GEE589621:GEH589621 GOA589621:GOD589621 GXW589621:GXZ589621 HHS589621:HHV589621 HRO589621:HRR589621 IBK589621:IBN589621 ILG589621:ILJ589621 IVC589621:IVF589621 JEY589621:JFB589621 JOU589621:JOX589621 JYQ589621:JYT589621 KIM589621:KIP589621 KSI589621:KSL589621 LCE589621:LCH589621 LMA589621:LMD589621 LVW589621:LVZ589621 MFS589621:MFV589621 MPO589621:MPR589621 MZK589621:MZN589621 NJG589621:NJJ589621 NTC589621:NTF589621 OCY589621:ODB589621 OMU589621:OMX589621 OWQ589621:OWT589621 PGM589621:PGP589621 PQI589621:PQL589621 QAE589621:QAH589621 QKA589621:QKD589621 QTW589621:QTZ589621 RDS589621:RDV589621 RNO589621:RNR589621 RXK589621:RXN589621 SHG589621:SHJ589621 SRC589621:SRF589621 TAY589621:TBB589621 TKU589621:TKX589621 TUQ589621:TUT589621 UEM589621:UEP589621 UOI589621:UOL589621 UYE589621:UYH589621 VIA589621:VID589621 VRW589621:VRZ589621 WBS589621:WBV589621 WLO589621:WLR589621 WVK589621:WVN589621 C655157:F655157 IY655157:JB655157 SU655157:SX655157 ACQ655157:ACT655157 AMM655157:AMP655157 AWI655157:AWL655157 BGE655157:BGH655157 BQA655157:BQD655157 BZW655157:BZZ655157 CJS655157:CJV655157 CTO655157:CTR655157 DDK655157:DDN655157 DNG655157:DNJ655157 DXC655157:DXF655157 EGY655157:EHB655157 EQU655157:EQX655157 FAQ655157:FAT655157 FKM655157:FKP655157 FUI655157:FUL655157 GEE655157:GEH655157 GOA655157:GOD655157 GXW655157:GXZ655157 HHS655157:HHV655157 HRO655157:HRR655157 IBK655157:IBN655157 ILG655157:ILJ655157 IVC655157:IVF655157 JEY655157:JFB655157 JOU655157:JOX655157 JYQ655157:JYT655157 KIM655157:KIP655157 KSI655157:KSL655157 LCE655157:LCH655157 LMA655157:LMD655157 LVW655157:LVZ655157 MFS655157:MFV655157 MPO655157:MPR655157 MZK655157:MZN655157 NJG655157:NJJ655157 NTC655157:NTF655157 OCY655157:ODB655157 OMU655157:OMX655157 OWQ655157:OWT655157 PGM655157:PGP655157 PQI655157:PQL655157 QAE655157:QAH655157 QKA655157:QKD655157 QTW655157:QTZ655157 RDS655157:RDV655157 RNO655157:RNR655157 RXK655157:RXN655157 SHG655157:SHJ655157 SRC655157:SRF655157 TAY655157:TBB655157 TKU655157:TKX655157 TUQ655157:TUT655157 UEM655157:UEP655157 UOI655157:UOL655157 UYE655157:UYH655157 VIA655157:VID655157 VRW655157:VRZ655157 WBS655157:WBV655157 WLO655157:WLR655157 WVK655157:WVN655157 C720693:F720693 IY720693:JB720693 SU720693:SX720693 ACQ720693:ACT720693 AMM720693:AMP720693 AWI720693:AWL720693 BGE720693:BGH720693 BQA720693:BQD720693 BZW720693:BZZ720693 CJS720693:CJV720693 CTO720693:CTR720693 DDK720693:DDN720693 DNG720693:DNJ720693 DXC720693:DXF720693 EGY720693:EHB720693 EQU720693:EQX720693 FAQ720693:FAT720693 FKM720693:FKP720693 FUI720693:FUL720693 GEE720693:GEH720693 GOA720693:GOD720693 GXW720693:GXZ720693 HHS720693:HHV720693 HRO720693:HRR720693 IBK720693:IBN720693 ILG720693:ILJ720693 IVC720693:IVF720693 JEY720693:JFB720693 JOU720693:JOX720693 JYQ720693:JYT720693 KIM720693:KIP720693 KSI720693:KSL720693 LCE720693:LCH720693 LMA720693:LMD720693 LVW720693:LVZ720693 MFS720693:MFV720693 MPO720693:MPR720693 MZK720693:MZN720693 NJG720693:NJJ720693 NTC720693:NTF720693 OCY720693:ODB720693 OMU720693:OMX720693 OWQ720693:OWT720693 PGM720693:PGP720693 PQI720693:PQL720693 QAE720693:QAH720693 QKA720693:QKD720693 QTW720693:QTZ720693 RDS720693:RDV720693 RNO720693:RNR720693 RXK720693:RXN720693 SHG720693:SHJ720693 SRC720693:SRF720693 TAY720693:TBB720693 TKU720693:TKX720693 TUQ720693:TUT720693 UEM720693:UEP720693 UOI720693:UOL720693 UYE720693:UYH720693 VIA720693:VID720693 VRW720693:VRZ720693 WBS720693:WBV720693 WLO720693:WLR720693 WVK720693:WVN720693 C786229:F786229 IY786229:JB786229 SU786229:SX786229 ACQ786229:ACT786229 AMM786229:AMP786229 AWI786229:AWL786229 BGE786229:BGH786229 BQA786229:BQD786229 BZW786229:BZZ786229 CJS786229:CJV786229 CTO786229:CTR786229 DDK786229:DDN786229 DNG786229:DNJ786229 DXC786229:DXF786229 EGY786229:EHB786229 EQU786229:EQX786229 FAQ786229:FAT786229 FKM786229:FKP786229 FUI786229:FUL786229 GEE786229:GEH786229 GOA786229:GOD786229 GXW786229:GXZ786229 HHS786229:HHV786229 HRO786229:HRR786229 IBK786229:IBN786229 ILG786229:ILJ786229 IVC786229:IVF786229 JEY786229:JFB786229 JOU786229:JOX786229 JYQ786229:JYT786229 KIM786229:KIP786229 KSI786229:KSL786229 LCE786229:LCH786229 LMA786229:LMD786229 LVW786229:LVZ786229 MFS786229:MFV786229 MPO786229:MPR786229 MZK786229:MZN786229 NJG786229:NJJ786229 NTC786229:NTF786229 OCY786229:ODB786229 OMU786229:OMX786229 OWQ786229:OWT786229 PGM786229:PGP786229 PQI786229:PQL786229 QAE786229:QAH786229 QKA786229:QKD786229 QTW786229:QTZ786229 RDS786229:RDV786229 RNO786229:RNR786229 RXK786229:RXN786229 SHG786229:SHJ786229 SRC786229:SRF786229 TAY786229:TBB786229 TKU786229:TKX786229 TUQ786229:TUT786229 UEM786229:UEP786229 UOI786229:UOL786229 UYE786229:UYH786229 VIA786229:VID786229 VRW786229:VRZ786229 WBS786229:WBV786229 WLO786229:WLR786229 WVK786229:WVN786229 C851765:F851765 IY851765:JB851765 SU851765:SX851765 ACQ851765:ACT851765 AMM851765:AMP851765 AWI851765:AWL851765 BGE851765:BGH851765 BQA851765:BQD851765 BZW851765:BZZ851765 CJS851765:CJV851765 CTO851765:CTR851765 DDK851765:DDN851765 DNG851765:DNJ851765 DXC851765:DXF851765 EGY851765:EHB851765 EQU851765:EQX851765 FAQ851765:FAT851765 FKM851765:FKP851765 FUI851765:FUL851765 GEE851765:GEH851765 GOA851765:GOD851765 GXW851765:GXZ851765 HHS851765:HHV851765 HRO851765:HRR851765 IBK851765:IBN851765 ILG851765:ILJ851765 IVC851765:IVF851765 JEY851765:JFB851765 JOU851765:JOX851765 JYQ851765:JYT851765 KIM851765:KIP851765 KSI851765:KSL851765 LCE851765:LCH851765 LMA851765:LMD851765 LVW851765:LVZ851765 MFS851765:MFV851765 MPO851765:MPR851765 MZK851765:MZN851765 NJG851765:NJJ851765 NTC851765:NTF851765 OCY851765:ODB851765 OMU851765:OMX851765 OWQ851765:OWT851765 PGM851765:PGP851765 PQI851765:PQL851765 QAE851765:QAH851765 QKA851765:QKD851765 QTW851765:QTZ851765 RDS851765:RDV851765 RNO851765:RNR851765 RXK851765:RXN851765 SHG851765:SHJ851765 SRC851765:SRF851765 TAY851765:TBB851765 TKU851765:TKX851765 TUQ851765:TUT851765 UEM851765:UEP851765 UOI851765:UOL851765 UYE851765:UYH851765 VIA851765:VID851765 VRW851765:VRZ851765 WBS851765:WBV851765 WLO851765:WLR851765 WVK851765:WVN851765 C917301:F917301 IY917301:JB917301 SU917301:SX917301 ACQ917301:ACT917301 AMM917301:AMP917301 AWI917301:AWL917301 BGE917301:BGH917301 BQA917301:BQD917301 BZW917301:BZZ917301 CJS917301:CJV917301 CTO917301:CTR917301 DDK917301:DDN917301 DNG917301:DNJ917301 DXC917301:DXF917301 EGY917301:EHB917301 EQU917301:EQX917301 FAQ917301:FAT917301 FKM917301:FKP917301 FUI917301:FUL917301 GEE917301:GEH917301 GOA917301:GOD917301 GXW917301:GXZ917301 HHS917301:HHV917301 HRO917301:HRR917301 IBK917301:IBN917301 ILG917301:ILJ917301 IVC917301:IVF917301 JEY917301:JFB917301 JOU917301:JOX917301 JYQ917301:JYT917301 KIM917301:KIP917301 KSI917301:KSL917301 LCE917301:LCH917301 LMA917301:LMD917301 LVW917301:LVZ917301 MFS917301:MFV917301 MPO917301:MPR917301 MZK917301:MZN917301 NJG917301:NJJ917301 NTC917301:NTF917301 OCY917301:ODB917301 OMU917301:OMX917301 OWQ917301:OWT917301 PGM917301:PGP917301 PQI917301:PQL917301 QAE917301:QAH917301 QKA917301:QKD917301 QTW917301:QTZ917301 RDS917301:RDV917301 RNO917301:RNR917301 RXK917301:RXN917301 SHG917301:SHJ917301 SRC917301:SRF917301 TAY917301:TBB917301 TKU917301:TKX917301 TUQ917301:TUT917301 UEM917301:UEP917301 UOI917301:UOL917301 UYE917301:UYH917301 VIA917301:VID917301 VRW917301:VRZ917301 WBS917301:WBV917301 WLO917301:WLR917301 WVK917301:WVN917301 C982837:F982837 IY982837:JB982837 SU982837:SX982837 ACQ982837:ACT982837 AMM982837:AMP982837 AWI982837:AWL982837 BGE982837:BGH982837 BQA982837:BQD982837 BZW982837:BZZ982837 CJS982837:CJV982837 CTO982837:CTR982837 DDK982837:DDN982837 DNG982837:DNJ982837 DXC982837:DXF982837 EGY982837:EHB982837 EQU982837:EQX982837 FAQ982837:FAT982837 FKM982837:FKP982837 FUI982837:FUL982837 GEE982837:GEH982837 GOA982837:GOD982837 GXW982837:GXZ982837 HHS982837:HHV982837 HRO982837:HRR982837 IBK982837:IBN982837 ILG982837:ILJ982837 IVC982837:IVF982837 JEY982837:JFB982837 JOU982837:JOX982837 JYQ982837:JYT982837 KIM982837:KIP982837 KSI982837:KSL982837 LCE982837:LCH982837 LMA982837:LMD982837 LVW982837:LVZ982837 MFS982837:MFV982837 MPO982837:MPR982837 MZK982837:MZN982837 NJG982837:NJJ982837 NTC982837:NTF982837 OCY982837:ODB982837 OMU982837:OMX982837 OWQ982837:OWT982837 PGM982837:PGP982837 PQI982837:PQL982837 QAE982837:QAH982837 QKA982837:QKD982837 QTW982837:QTZ982837 RDS982837:RDV982837 RNO982837:RNR982837 RXK982837:RXN982837 SHG982837:SHJ982837 SRC982837:SRF982837 TAY982837:TBB982837 TKU982837:TKX982837 TUQ982837:TUT982837 UEM982837:UEP982837 UOI982837:UOL982837 UYE982837:UYH982837 VIA982837:VID982837 VRW982837:VRZ982837 WBS982837:WBV982837 WLO982837:WLR982837 WVK982837:WVN982837 C65335:F65335 IY65335:JB65335 SU65335:SX65335 ACQ65335:ACT65335 AMM65335:AMP65335 AWI65335:AWL65335 BGE65335:BGH65335 BQA65335:BQD65335 BZW65335:BZZ65335 CJS65335:CJV65335 CTO65335:CTR65335 DDK65335:DDN65335 DNG65335:DNJ65335 DXC65335:DXF65335 EGY65335:EHB65335 EQU65335:EQX65335 FAQ65335:FAT65335 FKM65335:FKP65335 FUI65335:FUL65335 GEE65335:GEH65335 GOA65335:GOD65335 GXW65335:GXZ65335 HHS65335:HHV65335 HRO65335:HRR65335 IBK65335:IBN65335 ILG65335:ILJ65335 IVC65335:IVF65335 JEY65335:JFB65335 JOU65335:JOX65335 JYQ65335:JYT65335 KIM65335:KIP65335 KSI65335:KSL65335 LCE65335:LCH65335 LMA65335:LMD65335 LVW65335:LVZ65335 MFS65335:MFV65335 MPO65335:MPR65335 MZK65335:MZN65335 NJG65335:NJJ65335 NTC65335:NTF65335 OCY65335:ODB65335 OMU65335:OMX65335 OWQ65335:OWT65335 PGM65335:PGP65335 PQI65335:PQL65335 QAE65335:QAH65335 QKA65335:QKD65335 QTW65335:QTZ65335 RDS65335:RDV65335 RNO65335:RNR65335 RXK65335:RXN65335 SHG65335:SHJ65335 SRC65335:SRF65335 TAY65335:TBB65335 TKU65335:TKX65335 TUQ65335:TUT65335 UEM65335:UEP65335 UOI65335:UOL65335 UYE65335:UYH65335 VIA65335:VID65335 VRW65335:VRZ65335 WBS65335:WBV65335 WLO65335:WLR65335 WVK65335:WVN65335 C130871:F130871 IY130871:JB130871 SU130871:SX130871 ACQ130871:ACT130871 AMM130871:AMP130871 AWI130871:AWL130871 BGE130871:BGH130871 BQA130871:BQD130871 BZW130871:BZZ130871 CJS130871:CJV130871 CTO130871:CTR130871 DDK130871:DDN130871 DNG130871:DNJ130871 DXC130871:DXF130871 EGY130871:EHB130871 EQU130871:EQX130871 FAQ130871:FAT130871 FKM130871:FKP130871 FUI130871:FUL130871 GEE130871:GEH130871 GOA130871:GOD130871 GXW130871:GXZ130871 HHS130871:HHV130871 HRO130871:HRR130871 IBK130871:IBN130871 ILG130871:ILJ130871 IVC130871:IVF130871 JEY130871:JFB130871 JOU130871:JOX130871 JYQ130871:JYT130871 KIM130871:KIP130871 KSI130871:KSL130871 LCE130871:LCH130871 LMA130871:LMD130871 LVW130871:LVZ130871 MFS130871:MFV130871 MPO130871:MPR130871 MZK130871:MZN130871 NJG130871:NJJ130871 NTC130871:NTF130871 OCY130871:ODB130871 OMU130871:OMX130871 OWQ130871:OWT130871 PGM130871:PGP130871 PQI130871:PQL130871 QAE130871:QAH130871 QKA130871:QKD130871 QTW130871:QTZ130871 RDS130871:RDV130871 RNO130871:RNR130871 RXK130871:RXN130871 SHG130871:SHJ130871 SRC130871:SRF130871 TAY130871:TBB130871 TKU130871:TKX130871 TUQ130871:TUT130871 UEM130871:UEP130871 UOI130871:UOL130871 UYE130871:UYH130871 VIA130871:VID130871 VRW130871:VRZ130871 WBS130871:WBV130871 WLO130871:WLR130871 WVK130871:WVN130871 C196407:F196407 IY196407:JB196407 SU196407:SX196407 ACQ196407:ACT196407 AMM196407:AMP196407 AWI196407:AWL196407 BGE196407:BGH196407 BQA196407:BQD196407 BZW196407:BZZ196407 CJS196407:CJV196407 CTO196407:CTR196407 DDK196407:DDN196407 DNG196407:DNJ196407 DXC196407:DXF196407 EGY196407:EHB196407 EQU196407:EQX196407 FAQ196407:FAT196407 FKM196407:FKP196407 FUI196407:FUL196407 GEE196407:GEH196407 GOA196407:GOD196407 GXW196407:GXZ196407 HHS196407:HHV196407 HRO196407:HRR196407 IBK196407:IBN196407 ILG196407:ILJ196407 IVC196407:IVF196407 JEY196407:JFB196407 JOU196407:JOX196407 JYQ196407:JYT196407 KIM196407:KIP196407 KSI196407:KSL196407 LCE196407:LCH196407 LMA196407:LMD196407 LVW196407:LVZ196407 MFS196407:MFV196407 MPO196407:MPR196407 MZK196407:MZN196407 NJG196407:NJJ196407 NTC196407:NTF196407 OCY196407:ODB196407 OMU196407:OMX196407 OWQ196407:OWT196407 PGM196407:PGP196407 PQI196407:PQL196407 QAE196407:QAH196407 QKA196407:QKD196407 QTW196407:QTZ196407 RDS196407:RDV196407 RNO196407:RNR196407 RXK196407:RXN196407 SHG196407:SHJ196407 SRC196407:SRF196407 TAY196407:TBB196407 TKU196407:TKX196407 TUQ196407:TUT196407 UEM196407:UEP196407 UOI196407:UOL196407 UYE196407:UYH196407 VIA196407:VID196407 VRW196407:VRZ196407 WBS196407:WBV196407 WLO196407:WLR196407 WVK196407:WVN196407 C261943:F261943 IY261943:JB261943 SU261943:SX261943 ACQ261943:ACT261943 AMM261943:AMP261943 AWI261943:AWL261943 BGE261943:BGH261943 BQA261943:BQD261943 BZW261943:BZZ261943 CJS261943:CJV261943 CTO261943:CTR261943 DDK261943:DDN261943 DNG261943:DNJ261943 DXC261943:DXF261943 EGY261943:EHB261943 EQU261943:EQX261943 FAQ261943:FAT261943 FKM261943:FKP261943 FUI261943:FUL261943 GEE261943:GEH261943 GOA261943:GOD261943 GXW261943:GXZ261943 HHS261943:HHV261943 HRO261943:HRR261943 IBK261943:IBN261943 ILG261943:ILJ261943 IVC261943:IVF261943 JEY261943:JFB261943 JOU261943:JOX261943 JYQ261943:JYT261943 KIM261943:KIP261943 KSI261943:KSL261943 LCE261943:LCH261943 LMA261943:LMD261943 LVW261943:LVZ261943 MFS261943:MFV261943 MPO261943:MPR261943 MZK261943:MZN261943 NJG261943:NJJ261943 NTC261943:NTF261943 OCY261943:ODB261943 OMU261943:OMX261943 OWQ261943:OWT261943 PGM261943:PGP261943 PQI261943:PQL261943 QAE261943:QAH261943 QKA261943:QKD261943 QTW261943:QTZ261943 RDS261943:RDV261943 RNO261943:RNR261943 RXK261943:RXN261943 SHG261943:SHJ261943 SRC261943:SRF261943 TAY261943:TBB261943 TKU261943:TKX261943 TUQ261943:TUT261943 UEM261943:UEP261943 UOI261943:UOL261943 UYE261943:UYH261943 VIA261943:VID261943 VRW261943:VRZ261943 WBS261943:WBV261943 WLO261943:WLR261943 WVK261943:WVN261943 C327479:F327479 IY327479:JB327479 SU327479:SX327479 ACQ327479:ACT327479 AMM327479:AMP327479 AWI327479:AWL327479 BGE327479:BGH327479 BQA327479:BQD327479 BZW327479:BZZ327479 CJS327479:CJV327479 CTO327479:CTR327479 DDK327479:DDN327479 DNG327479:DNJ327479 DXC327479:DXF327479 EGY327479:EHB327479 EQU327479:EQX327479 FAQ327479:FAT327479 FKM327479:FKP327479 FUI327479:FUL327479 GEE327479:GEH327479 GOA327479:GOD327479 GXW327479:GXZ327479 HHS327479:HHV327479 HRO327479:HRR327479 IBK327479:IBN327479 ILG327479:ILJ327479 IVC327479:IVF327479 JEY327479:JFB327479 JOU327479:JOX327479 JYQ327479:JYT327479 KIM327479:KIP327479 KSI327479:KSL327479 LCE327479:LCH327479 LMA327479:LMD327479 LVW327479:LVZ327479 MFS327479:MFV327479 MPO327479:MPR327479 MZK327479:MZN327479 NJG327479:NJJ327479 NTC327479:NTF327479 OCY327479:ODB327479 OMU327479:OMX327479 OWQ327479:OWT327479 PGM327479:PGP327479 PQI327479:PQL327479 QAE327479:QAH327479 QKA327479:QKD327479 QTW327479:QTZ327479 RDS327479:RDV327479 RNO327479:RNR327479 RXK327479:RXN327479 SHG327479:SHJ327479 SRC327479:SRF327479 TAY327479:TBB327479 TKU327479:TKX327479 TUQ327479:TUT327479 UEM327479:UEP327479 UOI327479:UOL327479 UYE327479:UYH327479 VIA327479:VID327479 VRW327479:VRZ327479 WBS327479:WBV327479 WLO327479:WLR327479 WVK327479:WVN327479 C393015:F393015 IY393015:JB393015 SU393015:SX393015 ACQ393015:ACT393015 AMM393015:AMP393015 AWI393015:AWL393015 BGE393015:BGH393015 BQA393015:BQD393015 BZW393015:BZZ393015 CJS393015:CJV393015 CTO393015:CTR393015 DDK393015:DDN393015 DNG393015:DNJ393015 DXC393015:DXF393015 EGY393015:EHB393015 EQU393015:EQX393015 FAQ393015:FAT393015 FKM393015:FKP393015 FUI393015:FUL393015 GEE393015:GEH393015 GOA393015:GOD393015 GXW393015:GXZ393015 HHS393015:HHV393015 HRO393015:HRR393015 IBK393015:IBN393015 ILG393015:ILJ393015 IVC393015:IVF393015 JEY393015:JFB393015 JOU393015:JOX393015 JYQ393015:JYT393015 KIM393015:KIP393015 KSI393015:KSL393015 LCE393015:LCH393015 LMA393015:LMD393015 LVW393015:LVZ393015 MFS393015:MFV393015 MPO393015:MPR393015 MZK393015:MZN393015 NJG393015:NJJ393015 NTC393015:NTF393015 OCY393015:ODB393015 OMU393015:OMX393015 OWQ393015:OWT393015 PGM393015:PGP393015 PQI393015:PQL393015 QAE393015:QAH393015 QKA393015:QKD393015 QTW393015:QTZ393015 RDS393015:RDV393015 RNO393015:RNR393015 RXK393015:RXN393015 SHG393015:SHJ393015 SRC393015:SRF393015 TAY393015:TBB393015 TKU393015:TKX393015 TUQ393015:TUT393015 UEM393015:UEP393015 UOI393015:UOL393015 UYE393015:UYH393015 VIA393015:VID393015 VRW393015:VRZ393015 WBS393015:WBV393015 WLO393015:WLR393015 WVK393015:WVN393015 C458551:F458551 IY458551:JB458551 SU458551:SX458551 ACQ458551:ACT458551 AMM458551:AMP458551 AWI458551:AWL458551 BGE458551:BGH458551 BQA458551:BQD458551 BZW458551:BZZ458551 CJS458551:CJV458551 CTO458551:CTR458551 DDK458551:DDN458551 DNG458551:DNJ458551 DXC458551:DXF458551 EGY458551:EHB458551 EQU458551:EQX458551 FAQ458551:FAT458551 FKM458551:FKP458551 FUI458551:FUL458551 GEE458551:GEH458551 GOA458551:GOD458551 GXW458551:GXZ458551 HHS458551:HHV458551 HRO458551:HRR458551 IBK458551:IBN458551 ILG458551:ILJ458551 IVC458551:IVF458551 JEY458551:JFB458551 JOU458551:JOX458551 JYQ458551:JYT458551 KIM458551:KIP458551 KSI458551:KSL458551 LCE458551:LCH458551 LMA458551:LMD458551 LVW458551:LVZ458551 MFS458551:MFV458551 MPO458551:MPR458551 MZK458551:MZN458551 NJG458551:NJJ458551 NTC458551:NTF458551 OCY458551:ODB458551 OMU458551:OMX458551 OWQ458551:OWT458551 PGM458551:PGP458551 PQI458551:PQL458551 QAE458551:QAH458551 QKA458551:QKD458551 QTW458551:QTZ458551 RDS458551:RDV458551 RNO458551:RNR458551 RXK458551:RXN458551 SHG458551:SHJ458551 SRC458551:SRF458551 TAY458551:TBB458551 TKU458551:TKX458551 TUQ458551:TUT458551 UEM458551:UEP458551 UOI458551:UOL458551 UYE458551:UYH458551 VIA458551:VID458551 VRW458551:VRZ458551 WBS458551:WBV458551 WLO458551:WLR458551 WVK458551:WVN458551 C524087:F524087 IY524087:JB524087 SU524087:SX524087 ACQ524087:ACT524087 AMM524087:AMP524087 AWI524087:AWL524087 BGE524087:BGH524087 BQA524087:BQD524087 BZW524087:BZZ524087 CJS524087:CJV524087 CTO524087:CTR524087 DDK524087:DDN524087 DNG524087:DNJ524087 DXC524087:DXF524087 EGY524087:EHB524087 EQU524087:EQX524087 FAQ524087:FAT524087 FKM524087:FKP524087 FUI524087:FUL524087 GEE524087:GEH524087 GOA524087:GOD524087 GXW524087:GXZ524087 HHS524087:HHV524087 HRO524087:HRR524087 IBK524087:IBN524087 ILG524087:ILJ524087 IVC524087:IVF524087 JEY524087:JFB524087 JOU524087:JOX524087 JYQ524087:JYT524087 KIM524087:KIP524087 KSI524087:KSL524087 LCE524087:LCH524087 LMA524087:LMD524087 LVW524087:LVZ524087 MFS524087:MFV524087 MPO524087:MPR524087 MZK524087:MZN524087 NJG524087:NJJ524087 NTC524087:NTF524087 OCY524087:ODB524087 OMU524087:OMX524087 OWQ524087:OWT524087 PGM524087:PGP524087 PQI524087:PQL524087 QAE524087:QAH524087 QKA524087:QKD524087 QTW524087:QTZ524087 RDS524087:RDV524087 RNO524087:RNR524087 RXK524087:RXN524087 SHG524087:SHJ524087 SRC524087:SRF524087 TAY524087:TBB524087 TKU524087:TKX524087 TUQ524087:TUT524087 UEM524087:UEP524087 UOI524087:UOL524087 UYE524087:UYH524087 VIA524087:VID524087 VRW524087:VRZ524087 WBS524087:WBV524087 WLO524087:WLR524087 WVK524087:WVN524087 C589623:F589623 IY589623:JB589623 SU589623:SX589623 ACQ589623:ACT589623 AMM589623:AMP589623 AWI589623:AWL589623 BGE589623:BGH589623 BQA589623:BQD589623 BZW589623:BZZ589623 CJS589623:CJV589623 CTO589623:CTR589623 DDK589623:DDN589623 DNG589623:DNJ589623 DXC589623:DXF589623 EGY589623:EHB589623 EQU589623:EQX589623 FAQ589623:FAT589623 FKM589623:FKP589623 FUI589623:FUL589623 GEE589623:GEH589623 GOA589623:GOD589623 GXW589623:GXZ589623 HHS589623:HHV589623 HRO589623:HRR589623 IBK589623:IBN589623 ILG589623:ILJ589623 IVC589623:IVF589623 JEY589623:JFB589623 JOU589623:JOX589623 JYQ589623:JYT589623 KIM589623:KIP589623 KSI589623:KSL589623 LCE589623:LCH589623 LMA589623:LMD589623 LVW589623:LVZ589623 MFS589623:MFV589623 MPO589623:MPR589623 MZK589623:MZN589623 NJG589623:NJJ589623 NTC589623:NTF589623 OCY589623:ODB589623 OMU589623:OMX589623 OWQ589623:OWT589623 PGM589623:PGP589623 PQI589623:PQL589623 QAE589623:QAH589623 QKA589623:QKD589623 QTW589623:QTZ589623 RDS589623:RDV589623 RNO589623:RNR589623 RXK589623:RXN589623 SHG589623:SHJ589623 SRC589623:SRF589623 TAY589623:TBB589623 TKU589623:TKX589623 TUQ589623:TUT589623 UEM589623:UEP589623 UOI589623:UOL589623 UYE589623:UYH589623 VIA589623:VID589623 VRW589623:VRZ589623 WBS589623:WBV589623 WLO589623:WLR589623 WVK589623:WVN589623 C655159:F655159 IY655159:JB655159 SU655159:SX655159 ACQ655159:ACT655159 AMM655159:AMP655159 AWI655159:AWL655159 BGE655159:BGH655159 BQA655159:BQD655159 BZW655159:BZZ655159 CJS655159:CJV655159 CTO655159:CTR655159 DDK655159:DDN655159 DNG655159:DNJ655159 DXC655159:DXF655159 EGY655159:EHB655159 EQU655159:EQX655159 FAQ655159:FAT655159 FKM655159:FKP655159 FUI655159:FUL655159 GEE655159:GEH655159 GOA655159:GOD655159 GXW655159:GXZ655159 HHS655159:HHV655159 HRO655159:HRR655159 IBK655159:IBN655159 ILG655159:ILJ655159 IVC655159:IVF655159 JEY655159:JFB655159 JOU655159:JOX655159 JYQ655159:JYT655159 KIM655159:KIP655159 KSI655159:KSL655159 LCE655159:LCH655159 LMA655159:LMD655159 LVW655159:LVZ655159 MFS655159:MFV655159 MPO655159:MPR655159 MZK655159:MZN655159 NJG655159:NJJ655159 NTC655159:NTF655159 OCY655159:ODB655159 OMU655159:OMX655159 OWQ655159:OWT655159 PGM655159:PGP655159 PQI655159:PQL655159 QAE655159:QAH655159 QKA655159:QKD655159 QTW655159:QTZ655159 RDS655159:RDV655159 RNO655159:RNR655159 RXK655159:RXN655159 SHG655159:SHJ655159 SRC655159:SRF655159 TAY655159:TBB655159 TKU655159:TKX655159 TUQ655159:TUT655159 UEM655159:UEP655159 UOI655159:UOL655159 UYE655159:UYH655159 VIA655159:VID655159 VRW655159:VRZ655159 WBS655159:WBV655159 WLO655159:WLR655159 WVK655159:WVN655159 C720695:F720695 IY720695:JB720695 SU720695:SX720695 ACQ720695:ACT720695 AMM720695:AMP720695 AWI720695:AWL720695 BGE720695:BGH720695 BQA720695:BQD720695 BZW720695:BZZ720695 CJS720695:CJV720695 CTO720695:CTR720695 DDK720695:DDN720695 DNG720695:DNJ720695 DXC720695:DXF720695 EGY720695:EHB720695 EQU720695:EQX720695 FAQ720695:FAT720695 FKM720695:FKP720695 FUI720695:FUL720695 GEE720695:GEH720695 GOA720695:GOD720695 GXW720695:GXZ720695 HHS720695:HHV720695 HRO720695:HRR720695 IBK720695:IBN720695 ILG720695:ILJ720695 IVC720695:IVF720695 JEY720695:JFB720695 JOU720695:JOX720695 JYQ720695:JYT720695 KIM720695:KIP720695 KSI720695:KSL720695 LCE720695:LCH720695 LMA720695:LMD720695 LVW720695:LVZ720695 MFS720695:MFV720695 MPO720695:MPR720695 MZK720695:MZN720695 NJG720695:NJJ720695 NTC720695:NTF720695 OCY720695:ODB720695 OMU720695:OMX720695 OWQ720695:OWT720695 PGM720695:PGP720695 PQI720695:PQL720695 QAE720695:QAH720695 QKA720695:QKD720695 QTW720695:QTZ720695 RDS720695:RDV720695 RNO720695:RNR720695 RXK720695:RXN720695 SHG720695:SHJ720695 SRC720695:SRF720695 TAY720695:TBB720695 TKU720695:TKX720695 TUQ720695:TUT720695 UEM720695:UEP720695 UOI720695:UOL720695 UYE720695:UYH720695 VIA720695:VID720695 VRW720695:VRZ720695 WBS720695:WBV720695 WLO720695:WLR720695 WVK720695:WVN720695 C786231:F786231 IY786231:JB786231 SU786231:SX786231 ACQ786231:ACT786231 AMM786231:AMP786231 AWI786231:AWL786231 BGE786231:BGH786231 BQA786231:BQD786231 BZW786231:BZZ786231 CJS786231:CJV786231 CTO786231:CTR786231 DDK786231:DDN786231 DNG786231:DNJ786231 DXC786231:DXF786231 EGY786231:EHB786231 EQU786231:EQX786231 FAQ786231:FAT786231 FKM786231:FKP786231 FUI786231:FUL786231 GEE786231:GEH786231 GOA786231:GOD786231 GXW786231:GXZ786231 HHS786231:HHV786231 HRO786231:HRR786231 IBK786231:IBN786231 ILG786231:ILJ786231 IVC786231:IVF786231 JEY786231:JFB786231 JOU786231:JOX786231 JYQ786231:JYT786231 KIM786231:KIP786231 KSI786231:KSL786231 LCE786231:LCH786231 LMA786231:LMD786231 LVW786231:LVZ786231 MFS786231:MFV786231 MPO786231:MPR786231 MZK786231:MZN786231 NJG786231:NJJ786231 NTC786231:NTF786231 OCY786231:ODB786231 OMU786231:OMX786231 OWQ786231:OWT786231 PGM786231:PGP786231 PQI786231:PQL786231 QAE786231:QAH786231 QKA786231:QKD786231 QTW786231:QTZ786231 RDS786231:RDV786231 RNO786231:RNR786231 RXK786231:RXN786231 SHG786231:SHJ786231 SRC786231:SRF786231 TAY786231:TBB786231 TKU786231:TKX786231 TUQ786231:TUT786231 UEM786231:UEP786231 UOI786231:UOL786231 UYE786231:UYH786231 VIA786231:VID786231 VRW786231:VRZ786231 WBS786231:WBV786231 WLO786231:WLR786231 WVK786231:WVN786231 C851767:F851767 IY851767:JB851767 SU851767:SX851767 ACQ851767:ACT851767 AMM851767:AMP851767 AWI851767:AWL851767 BGE851767:BGH851767 BQA851767:BQD851767 BZW851767:BZZ851767 CJS851767:CJV851767 CTO851767:CTR851767 DDK851767:DDN851767 DNG851767:DNJ851767 DXC851767:DXF851767 EGY851767:EHB851767 EQU851767:EQX851767 FAQ851767:FAT851767 FKM851767:FKP851767 FUI851767:FUL851767 GEE851767:GEH851767 GOA851767:GOD851767 GXW851767:GXZ851767 HHS851767:HHV851767 HRO851767:HRR851767 IBK851767:IBN851767 ILG851767:ILJ851767 IVC851767:IVF851767 JEY851767:JFB851767 JOU851767:JOX851767 JYQ851767:JYT851767 KIM851767:KIP851767 KSI851767:KSL851767 LCE851767:LCH851767 LMA851767:LMD851767 LVW851767:LVZ851767 MFS851767:MFV851767 MPO851767:MPR851767 MZK851767:MZN851767 NJG851767:NJJ851767 NTC851767:NTF851767 OCY851767:ODB851767 OMU851767:OMX851767 OWQ851767:OWT851767 PGM851767:PGP851767 PQI851767:PQL851767 QAE851767:QAH851767 QKA851767:QKD851767 QTW851767:QTZ851767 RDS851767:RDV851767 RNO851767:RNR851767 RXK851767:RXN851767 SHG851767:SHJ851767 SRC851767:SRF851767 TAY851767:TBB851767 TKU851767:TKX851767 TUQ851767:TUT851767 UEM851767:UEP851767 UOI851767:UOL851767 UYE851767:UYH851767 VIA851767:VID851767 VRW851767:VRZ851767 WBS851767:WBV851767 WLO851767:WLR851767 WVK851767:WVN851767 C917303:F917303 IY917303:JB917303 SU917303:SX917303 ACQ917303:ACT917303 AMM917303:AMP917303 AWI917303:AWL917303 BGE917303:BGH917303 BQA917303:BQD917303 BZW917303:BZZ917303 CJS917303:CJV917303 CTO917303:CTR917303 DDK917303:DDN917303 DNG917303:DNJ917303 DXC917303:DXF917303 EGY917303:EHB917303 EQU917303:EQX917303 FAQ917303:FAT917303 FKM917303:FKP917303 FUI917303:FUL917303 GEE917303:GEH917303 GOA917303:GOD917303 GXW917303:GXZ917303 HHS917303:HHV917303 HRO917303:HRR917303 IBK917303:IBN917303 ILG917303:ILJ917303 IVC917303:IVF917303 JEY917303:JFB917303 JOU917303:JOX917303 JYQ917303:JYT917303 KIM917303:KIP917303 KSI917303:KSL917303 LCE917303:LCH917303 LMA917303:LMD917303 LVW917303:LVZ917303 MFS917303:MFV917303 MPO917303:MPR917303 MZK917303:MZN917303 NJG917303:NJJ917303 NTC917303:NTF917303 OCY917303:ODB917303 OMU917303:OMX917303 OWQ917303:OWT917303 PGM917303:PGP917303 PQI917303:PQL917303 QAE917303:QAH917303 QKA917303:QKD917303 QTW917303:QTZ917303 RDS917303:RDV917303 RNO917303:RNR917303 RXK917303:RXN917303 SHG917303:SHJ917303 SRC917303:SRF917303 TAY917303:TBB917303 TKU917303:TKX917303 TUQ917303:TUT917303 UEM917303:UEP917303 UOI917303:UOL917303 UYE917303:UYH917303 VIA917303:VID917303 VRW917303:VRZ917303 WBS917303:WBV917303 WLO917303:WLR917303 WVK917303:WVN917303 C982839:F982839 IY982839:JB982839 SU982839:SX982839 ACQ982839:ACT982839 AMM982839:AMP982839 AWI982839:AWL982839 BGE982839:BGH982839 BQA982839:BQD982839 BZW982839:BZZ982839 CJS982839:CJV982839 CTO982839:CTR982839 DDK982839:DDN982839 DNG982839:DNJ982839 DXC982839:DXF982839 EGY982839:EHB982839 EQU982839:EQX982839 FAQ982839:FAT982839 FKM982839:FKP982839 FUI982839:FUL982839 GEE982839:GEH982839 GOA982839:GOD982839 GXW982839:GXZ982839 HHS982839:HHV982839 HRO982839:HRR982839 IBK982839:IBN982839 ILG982839:ILJ982839 IVC982839:IVF982839 JEY982839:JFB982839 JOU982839:JOX982839 JYQ982839:JYT982839 KIM982839:KIP982839 KSI982839:KSL982839 LCE982839:LCH982839 LMA982839:LMD982839 LVW982839:LVZ982839 MFS982839:MFV982839 MPO982839:MPR982839 MZK982839:MZN982839 NJG982839:NJJ982839 NTC982839:NTF982839 OCY982839:ODB982839 OMU982839:OMX982839 OWQ982839:OWT982839 PGM982839:PGP982839 PQI982839:PQL982839 QAE982839:QAH982839 QKA982839:QKD982839 QTW982839:QTZ982839 RDS982839:RDV982839 RNO982839:RNR982839 RXK982839:RXN982839 SHG982839:SHJ982839 SRC982839:SRF982839 TAY982839:TBB982839 TKU982839:TKX982839 TUQ982839:TUT982839 UEM982839:UEP982839 UOI982839:UOL982839 UYE982839:UYH982839 VIA982839:VID982839 VRW982839:VRZ982839 WBS982839:WBV982839 WLO982839:WLR982839 WVK982839:WVN982839 Q65344 JM65344 TI65344 ADE65344 ANA65344 AWW65344 BGS65344 BQO65344 CAK65344 CKG65344 CUC65344 DDY65344 DNU65344 DXQ65344 EHM65344 ERI65344 FBE65344 FLA65344 FUW65344 GES65344 GOO65344 GYK65344 HIG65344 HSC65344 IBY65344 ILU65344 IVQ65344 JFM65344 JPI65344 JZE65344 KJA65344 KSW65344 LCS65344 LMO65344 LWK65344 MGG65344 MQC65344 MZY65344 NJU65344 NTQ65344 ODM65344 ONI65344 OXE65344 PHA65344 PQW65344 QAS65344 QKO65344 QUK65344 REG65344 ROC65344 RXY65344 SHU65344 SRQ65344 TBM65344 TLI65344 TVE65344 UFA65344 UOW65344 UYS65344 VIO65344 VSK65344 WCG65344 WMC65344 WVY65344 Q130880 JM130880 TI130880 ADE130880 ANA130880 AWW130880 BGS130880 BQO130880 CAK130880 CKG130880 CUC130880 DDY130880 DNU130880 DXQ130880 EHM130880 ERI130880 FBE130880 FLA130880 FUW130880 GES130880 GOO130880 GYK130880 HIG130880 HSC130880 IBY130880 ILU130880 IVQ130880 JFM130880 JPI130880 JZE130880 KJA130880 KSW130880 LCS130880 LMO130880 LWK130880 MGG130880 MQC130880 MZY130880 NJU130880 NTQ130880 ODM130880 ONI130880 OXE130880 PHA130880 PQW130880 QAS130880 QKO130880 QUK130880 REG130880 ROC130880 RXY130880 SHU130880 SRQ130880 TBM130880 TLI130880 TVE130880 UFA130880 UOW130880 UYS130880 VIO130880 VSK130880 WCG130880 WMC130880 WVY130880 Q196416 JM196416 TI196416 ADE196416 ANA196416 AWW196416 BGS196416 BQO196416 CAK196416 CKG196416 CUC196416 DDY196416 DNU196416 DXQ196416 EHM196416 ERI196416 FBE196416 FLA196416 FUW196416 GES196416 GOO196416 GYK196416 HIG196416 HSC196416 IBY196416 ILU196416 IVQ196416 JFM196416 JPI196416 JZE196416 KJA196416 KSW196416 LCS196416 LMO196416 LWK196416 MGG196416 MQC196416 MZY196416 NJU196416 NTQ196416 ODM196416 ONI196416 OXE196416 PHA196416 PQW196416 QAS196416 QKO196416 QUK196416 REG196416 ROC196416 RXY196416 SHU196416 SRQ196416 TBM196416 TLI196416 TVE196416 UFA196416 UOW196416 UYS196416 VIO196416 VSK196416 WCG196416 WMC196416 WVY196416 Q261952 JM261952 TI261952 ADE261952 ANA261952 AWW261952 BGS261952 BQO261952 CAK261952 CKG261952 CUC261952 DDY261952 DNU261952 DXQ261952 EHM261952 ERI261952 FBE261952 FLA261952 FUW261952 GES261952 GOO261952 GYK261952 HIG261952 HSC261952 IBY261952 ILU261952 IVQ261952 JFM261952 JPI261952 JZE261952 KJA261952 KSW261952 LCS261952 LMO261952 LWK261952 MGG261952 MQC261952 MZY261952 NJU261952 NTQ261952 ODM261952 ONI261952 OXE261952 PHA261952 PQW261952 QAS261952 QKO261952 QUK261952 REG261952 ROC261952 RXY261952 SHU261952 SRQ261952 TBM261952 TLI261952 TVE261952 UFA261952 UOW261952 UYS261952 VIO261952 VSK261952 WCG261952 WMC261952 WVY261952 Q327488 JM327488 TI327488 ADE327488 ANA327488 AWW327488 BGS327488 BQO327488 CAK327488 CKG327488 CUC327488 DDY327488 DNU327488 DXQ327488 EHM327488 ERI327488 FBE327488 FLA327488 FUW327488 GES327488 GOO327488 GYK327488 HIG327488 HSC327488 IBY327488 ILU327488 IVQ327488 JFM327488 JPI327488 JZE327488 KJA327488 KSW327488 LCS327488 LMO327488 LWK327488 MGG327488 MQC327488 MZY327488 NJU327488 NTQ327488 ODM327488 ONI327488 OXE327488 PHA327488 PQW327488 QAS327488 QKO327488 QUK327488 REG327488 ROC327488 RXY327488 SHU327488 SRQ327488 TBM327488 TLI327488 TVE327488 UFA327488 UOW327488 UYS327488 VIO327488 VSK327488 WCG327488 WMC327488 WVY327488 Q393024 JM393024 TI393024 ADE393024 ANA393024 AWW393024 BGS393024 BQO393024 CAK393024 CKG393024 CUC393024 DDY393024 DNU393024 DXQ393024 EHM393024 ERI393024 FBE393024 FLA393024 FUW393024 GES393024 GOO393024 GYK393024 HIG393024 HSC393024 IBY393024 ILU393024 IVQ393024 JFM393024 JPI393024 JZE393024 KJA393024 KSW393024 LCS393024 LMO393024 LWK393024 MGG393024 MQC393024 MZY393024 NJU393024 NTQ393024 ODM393024 ONI393024 OXE393024 PHA393024 PQW393024 QAS393024 QKO393024 QUK393024 REG393024 ROC393024 RXY393024 SHU393024 SRQ393024 TBM393024 TLI393024 TVE393024 UFA393024 UOW393024 UYS393024 VIO393024 VSK393024 WCG393024 WMC393024 WVY393024 Q458560 JM458560 TI458560 ADE458560 ANA458560 AWW458560 BGS458560 BQO458560 CAK458560 CKG458560 CUC458560 DDY458560 DNU458560 DXQ458560 EHM458560 ERI458560 FBE458560 FLA458560 FUW458560 GES458560 GOO458560 GYK458560 HIG458560 HSC458560 IBY458560 ILU458560 IVQ458560 JFM458560 JPI458560 JZE458560 KJA458560 KSW458560 LCS458560 LMO458560 LWK458560 MGG458560 MQC458560 MZY458560 NJU458560 NTQ458560 ODM458560 ONI458560 OXE458560 PHA458560 PQW458560 QAS458560 QKO458560 QUK458560 REG458560 ROC458560 RXY458560 SHU458560 SRQ458560 TBM458560 TLI458560 TVE458560 UFA458560 UOW458560 UYS458560 VIO458560 VSK458560 WCG458560 WMC458560 WVY458560 Q524096 JM524096 TI524096 ADE524096 ANA524096 AWW524096 BGS524096 BQO524096 CAK524096 CKG524096 CUC524096 DDY524096 DNU524096 DXQ524096 EHM524096 ERI524096 FBE524096 FLA524096 FUW524096 GES524096 GOO524096 GYK524096 HIG524096 HSC524096 IBY524096 ILU524096 IVQ524096 JFM524096 JPI524096 JZE524096 KJA524096 KSW524096 LCS524096 LMO524096 LWK524096 MGG524096 MQC524096 MZY524096 NJU524096 NTQ524096 ODM524096 ONI524096 OXE524096 PHA524096 PQW524096 QAS524096 QKO524096 QUK524096 REG524096 ROC524096 RXY524096 SHU524096 SRQ524096 TBM524096 TLI524096 TVE524096 UFA524096 UOW524096 UYS524096 VIO524096 VSK524096 WCG524096 WMC524096 WVY524096 Q589632 JM589632 TI589632 ADE589632 ANA589632 AWW589632 BGS589632 BQO589632 CAK589632 CKG589632 CUC589632 DDY589632 DNU589632 DXQ589632 EHM589632 ERI589632 FBE589632 FLA589632 FUW589632 GES589632 GOO589632 GYK589632 HIG589632 HSC589632 IBY589632 ILU589632 IVQ589632 JFM589632 JPI589632 JZE589632 KJA589632 KSW589632 LCS589632 LMO589632 LWK589632 MGG589632 MQC589632 MZY589632 NJU589632 NTQ589632 ODM589632 ONI589632 OXE589632 PHA589632 PQW589632 QAS589632 QKO589632 QUK589632 REG589632 ROC589632 RXY589632 SHU589632 SRQ589632 TBM589632 TLI589632 TVE589632 UFA589632 UOW589632 UYS589632 VIO589632 VSK589632 WCG589632 WMC589632 WVY589632 Q655168 JM655168 TI655168 ADE655168 ANA655168 AWW655168 BGS655168 BQO655168 CAK655168 CKG655168 CUC655168 DDY655168 DNU655168 DXQ655168 EHM655168 ERI655168 FBE655168 FLA655168 FUW655168 GES655168 GOO655168 GYK655168 HIG655168 HSC655168 IBY655168 ILU655168 IVQ655168 JFM655168 JPI655168 JZE655168 KJA655168 KSW655168 LCS655168 LMO655168 LWK655168 MGG655168 MQC655168 MZY655168 NJU655168 NTQ655168 ODM655168 ONI655168 OXE655168 PHA655168 PQW655168 QAS655168 QKO655168 QUK655168 REG655168 ROC655168 RXY655168 SHU655168 SRQ655168 TBM655168 TLI655168 TVE655168 UFA655168 UOW655168 UYS655168 VIO655168 VSK655168 WCG655168 WMC655168 WVY655168 Q720704 JM720704 TI720704 ADE720704 ANA720704 AWW720704 BGS720704 BQO720704 CAK720704 CKG720704 CUC720704 DDY720704 DNU720704 DXQ720704 EHM720704 ERI720704 FBE720704 FLA720704 FUW720704 GES720704 GOO720704 GYK720704 HIG720704 HSC720704 IBY720704 ILU720704 IVQ720704 JFM720704 JPI720704 JZE720704 KJA720704 KSW720704 LCS720704 LMO720704 LWK720704 MGG720704 MQC720704 MZY720704 NJU720704 NTQ720704 ODM720704 ONI720704 OXE720704 PHA720704 PQW720704 QAS720704 QKO720704 QUK720704 REG720704 ROC720704 RXY720704 SHU720704 SRQ720704 TBM720704 TLI720704 TVE720704 UFA720704 UOW720704 UYS720704 VIO720704 VSK720704 WCG720704 WMC720704 WVY720704 Q786240 JM786240 TI786240 ADE786240 ANA786240 AWW786240 BGS786240 BQO786240 CAK786240 CKG786240 CUC786240 DDY786240 DNU786240 DXQ786240 EHM786240 ERI786240 FBE786240 FLA786240 FUW786240 GES786240 GOO786240 GYK786240 HIG786240 HSC786240 IBY786240 ILU786240 IVQ786240 JFM786240 JPI786240 JZE786240 KJA786240 KSW786240 LCS786240 LMO786240 LWK786240 MGG786240 MQC786240 MZY786240 NJU786240 NTQ786240 ODM786240 ONI786240 OXE786240 PHA786240 PQW786240 QAS786240 QKO786240 QUK786240 REG786240 ROC786240 RXY786240 SHU786240 SRQ786240 TBM786240 TLI786240 TVE786240 UFA786240 UOW786240 UYS786240 VIO786240 VSK786240 WCG786240 WMC786240 WVY786240 Q851776 JM851776 TI851776 ADE851776 ANA851776 AWW851776 BGS851776 BQO851776 CAK851776 CKG851776 CUC851776 DDY851776 DNU851776 DXQ851776 EHM851776 ERI851776 FBE851776 FLA851776 FUW851776 GES851776 GOO851776 GYK851776 HIG851776 HSC851776 IBY851776 ILU851776 IVQ851776 JFM851776 JPI851776 JZE851776 KJA851776 KSW851776 LCS851776 LMO851776 LWK851776 MGG851776 MQC851776 MZY851776 NJU851776 NTQ851776 ODM851776 ONI851776 OXE851776 PHA851776 PQW851776 QAS851776 QKO851776 QUK851776 REG851776 ROC851776 RXY851776 SHU851776 SRQ851776 TBM851776 TLI851776 TVE851776 UFA851776 UOW851776 UYS851776 VIO851776 VSK851776 WCG851776 WMC851776 WVY851776 Q917312 JM917312 TI917312 ADE917312 ANA917312 AWW917312 BGS917312 BQO917312 CAK917312 CKG917312 CUC917312 DDY917312 DNU917312 DXQ917312 EHM917312 ERI917312 FBE917312 FLA917312 FUW917312 GES917312 GOO917312 GYK917312 HIG917312 HSC917312 IBY917312 ILU917312 IVQ917312 JFM917312 JPI917312 JZE917312 KJA917312 KSW917312 LCS917312 LMO917312 LWK917312 MGG917312 MQC917312 MZY917312 NJU917312 NTQ917312 ODM917312 ONI917312 OXE917312 PHA917312 PQW917312 QAS917312 QKO917312 QUK917312 REG917312 ROC917312 RXY917312 SHU917312 SRQ917312 TBM917312 TLI917312 TVE917312 UFA917312 UOW917312 UYS917312 VIO917312 VSK917312 WCG917312 WMC917312 WVY917312 Q982848 JM982848 TI982848 ADE982848 ANA982848 AWW982848 BGS982848 BQO982848 CAK982848 CKG982848 CUC982848 DDY982848 DNU982848 DXQ982848 EHM982848 ERI982848 FBE982848 FLA982848 FUW982848 GES982848 GOO982848 GYK982848 HIG982848 HSC982848 IBY982848 ILU982848 IVQ982848 JFM982848 JPI982848 JZE982848 KJA982848 KSW982848 LCS982848 LMO982848 LWK982848 MGG982848 MQC982848 MZY982848 NJU982848 NTQ982848 ODM982848 ONI982848 OXE982848 PHA982848 PQW982848 QAS982848 QKO982848 QUK982848 REG982848 ROC982848 RXY982848 SHU982848 SRQ982848 TBM982848 TLI982848 TVE982848 UFA982848 UOW982848 UYS982848 VIO982848 VSK982848 WCG982848 WMC982848 WVY982848 C65382:F65382 IY65382:JB65382 SU65382:SX65382 ACQ65382:ACT65382 AMM65382:AMP65382 AWI65382:AWL65382 BGE65382:BGH65382 BQA65382:BQD65382 BZW65382:BZZ65382 CJS65382:CJV65382 CTO65382:CTR65382 DDK65382:DDN65382 DNG65382:DNJ65382 DXC65382:DXF65382 EGY65382:EHB65382 EQU65382:EQX65382 FAQ65382:FAT65382 FKM65382:FKP65382 FUI65382:FUL65382 GEE65382:GEH65382 GOA65382:GOD65382 GXW65382:GXZ65382 HHS65382:HHV65382 HRO65382:HRR65382 IBK65382:IBN65382 ILG65382:ILJ65382 IVC65382:IVF65382 JEY65382:JFB65382 JOU65382:JOX65382 JYQ65382:JYT65382 KIM65382:KIP65382 KSI65382:KSL65382 LCE65382:LCH65382 LMA65382:LMD65382 LVW65382:LVZ65382 MFS65382:MFV65382 MPO65382:MPR65382 MZK65382:MZN65382 NJG65382:NJJ65382 NTC65382:NTF65382 OCY65382:ODB65382 OMU65382:OMX65382 OWQ65382:OWT65382 PGM65382:PGP65382 PQI65382:PQL65382 QAE65382:QAH65382 QKA65382:QKD65382 QTW65382:QTZ65382 RDS65382:RDV65382 RNO65382:RNR65382 RXK65382:RXN65382 SHG65382:SHJ65382 SRC65382:SRF65382 TAY65382:TBB65382 TKU65382:TKX65382 TUQ65382:TUT65382 UEM65382:UEP65382 UOI65382:UOL65382 UYE65382:UYH65382 VIA65382:VID65382 VRW65382:VRZ65382 WBS65382:WBV65382 WLO65382:WLR65382 WVK65382:WVN65382 C130918:F130918 IY130918:JB130918 SU130918:SX130918 ACQ130918:ACT130918 AMM130918:AMP130918 AWI130918:AWL130918 BGE130918:BGH130918 BQA130918:BQD130918 BZW130918:BZZ130918 CJS130918:CJV130918 CTO130918:CTR130918 DDK130918:DDN130918 DNG130918:DNJ130918 DXC130918:DXF130918 EGY130918:EHB130918 EQU130918:EQX130918 FAQ130918:FAT130918 FKM130918:FKP130918 FUI130918:FUL130918 GEE130918:GEH130918 GOA130918:GOD130918 GXW130918:GXZ130918 HHS130918:HHV130918 HRO130918:HRR130918 IBK130918:IBN130918 ILG130918:ILJ130918 IVC130918:IVF130918 JEY130918:JFB130918 JOU130918:JOX130918 JYQ130918:JYT130918 KIM130918:KIP130918 KSI130918:KSL130918 LCE130918:LCH130918 LMA130918:LMD130918 LVW130918:LVZ130918 MFS130918:MFV130918 MPO130918:MPR130918 MZK130918:MZN130918 NJG130918:NJJ130918 NTC130918:NTF130918 OCY130918:ODB130918 OMU130918:OMX130918 OWQ130918:OWT130918 PGM130918:PGP130918 PQI130918:PQL130918 QAE130918:QAH130918 QKA130918:QKD130918 QTW130918:QTZ130918 RDS130918:RDV130918 RNO130918:RNR130918 RXK130918:RXN130918 SHG130918:SHJ130918 SRC130918:SRF130918 TAY130918:TBB130918 TKU130918:TKX130918 TUQ130918:TUT130918 UEM130918:UEP130918 UOI130918:UOL130918 UYE130918:UYH130918 VIA130918:VID130918 VRW130918:VRZ130918 WBS130918:WBV130918 WLO130918:WLR130918 WVK130918:WVN130918 C196454:F196454 IY196454:JB196454 SU196454:SX196454 ACQ196454:ACT196454 AMM196454:AMP196454 AWI196454:AWL196454 BGE196454:BGH196454 BQA196454:BQD196454 BZW196454:BZZ196454 CJS196454:CJV196454 CTO196454:CTR196454 DDK196454:DDN196454 DNG196454:DNJ196454 DXC196454:DXF196454 EGY196454:EHB196454 EQU196454:EQX196454 FAQ196454:FAT196454 FKM196454:FKP196454 FUI196454:FUL196454 GEE196454:GEH196454 GOA196454:GOD196454 GXW196454:GXZ196454 HHS196454:HHV196454 HRO196454:HRR196454 IBK196454:IBN196454 ILG196454:ILJ196454 IVC196454:IVF196454 JEY196454:JFB196454 JOU196454:JOX196454 JYQ196454:JYT196454 KIM196454:KIP196454 KSI196454:KSL196454 LCE196454:LCH196454 LMA196454:LMD196454 LVW196454:LVZ196454 MFS196454:MFV196454 MPO196454:MPR196454 MZK196454:MZN196454 NJG196454:NJJ196454 NTC196454:NTF196454 OCY196454:ODB196454 OMU196454:OMX196454 OWQ196454:OWT196454 PGM196454:PGP196454 PQI196454:PQL196454 QAE196454:QAH196454 QKA196454:QKD196454 QTW196454:QTZ196454 RDS196454:RDV196454 RNO196454:RNR196454 RXK196454:RXN196454 SHG196454:SHJ196454 SRC196454:SRF196454 TAY196454:TBB196454 TKU196454:TKX196454 TUQ196454:TUT196454 UEM196454:UEP196454 UOI196454:UOL196454 UYE196454:UYH196454 VIA196454:VID196454 VRW196454:VRZ196454 WBS196454:WBV196454 WLO196454:WLR196454 WVK196454:WVN196454 C261990:F261990 IY261990:JB261990 SU261990:SX261990 ACQ261990:ACT261990 AMM261990:AMP261990 AWI261990:AWL261990 BGE261990:BGH261990 BQA261990:BQD261990 BZW261990:BZZ261990 CJS261990:CJV261990 CTO261990:CTR261990 DDK261990:DDN261990 DNG261990:DNJ261990 DXC261990:DXF261990 EGY261990:EHB261990 EQU261990:EQX261990 FAQ261990:FAT261990 FKM261990:FKP261990 FUI261990:FUL261990 GEE261990:GEH261990 GOA261990:GOD261990 GXW261990:GXZ261990 HHS261990:HHV261990 HRO261990:HRR261990 IBK261990:IBN261990 ILG261990:ILJ261990 IVC261990:IVF261990 JEY261990:JFB261990 JOU261990:JOX261990 JYQ261990:JYT261990 KIM261990:KIP261990 KSI261990:KSL261990 LCE261990:LCH261990 LMA261990:LMD261990 LVW261990:LVZ261990 MFS261990:MFV261990 MPO261990:MPR261990 MZK261990:MZN261990 NJG261990:NJJ261990 NTC261990:NTF261990 OCY261990:ODB261990 OMU261990:OMX261990 OWQ261990:OWT261990 PGM261990:PGP261990 PQI261990:PQL261990 QAE261990:QAH261990 QKA261990:QKD261990 QTW261990:QTZ261990 RDS261990:RDV261990 RNO261990:RNR261990 RXK261990:RXN261990 SHG261990:SHJ261990 SRC261990:SRF261990 TAY261990:TBB261990 TKU261990:TKX261990 TUQ261990:TUT261990 UEM261990:UEP261990 UOI261990:UOL261990 UYE261990:UYH261990 VIA261990:VID261990 VRW261990:VRZ261990 WBS261990:WBV261990 WLO261990:WLR261990 WVK261990:WVN261990 C327526:F327526 IY327526:JB327526 SU327526:SX327526 ACQ327526:ACT327526 AMM327526:AMP327526 AWI327526:AWL327526 BGE327526:BGH327526 BQA327526:BQD327526 BZW327526:BZZ327526 CJS327526:CJV327526 CTO327526:CTR327526 DDK327526:DDN327526 DNG327526:DNJ327526 DXC327526:DXF327526 EGY327526:EHB327526 EQU327526:EQX327526 FAQ327526:FAT327526 FKM327526:FKP327526 FUI327526:FUL327526 GEE327526:GEH327526 GOA327526:GOD327526 GXW327526:GXZ327526 HHS327526:HHV327526 HRO327526:HRR327526 IBK327526:IBN327526 ILG327526:ILJ327526 IVC327526:IVF327526 JEY327526:JFB327526 JOU327526:JOX327526 JYQ327526:JYT327526 KIM327526:KIP327526 KSI327526:KSL327526 LCE327526:LCH327526 LMA327526:LMD327526 LVW327526:LVZ327526 MFS327526:MFV327526 MPO327526:MPR327526 MZK327526:MZN327526 NJG327526:NJJ327526 NTC327526:NTF327526 OCY327526:ODB327526 OMU327526:OMX327526 OWQ327526:OWT327526 PGM327526:PGP327526 PQI327526:PQL327526 QAE327526:QAH327526 QKA327526:QKD327526 QTW327526:QTZ327526 RDS327526:RDV327526 RNO327526:RNR327526 RXK327526:RXN327526 SHG327526:SHJ327526 SRC327526:SRF327526 TAY327526:TBB327526 TKU327526:TKX327526 TUQ327526:TUT327526 UEM327526:UEP327526 UOI327526:UOL327526 UYE327526:UYH327526 VIA327526:VID327526 VRW327526:VRZ327526 WBS327526:WBV327526 WLO327526:WLR327526 WVK327526:WVN327526 C393062:F393062 IY393062:JB393062 SU393062:SX393062 ACQ393062:ACT393062 AMM393062:AMP393062 AWI393062:AWL393062 BGE393062:BGH393062 BQA393062:BQD393062 BZW393062:BZZ393062 CJS393062:CJV393062 CTO393062:CTR393062 DDK393062:DDN393062 DNG393062:DNJ393062 DXC393062:DXF393062 EGY393062:EHB393062 EQU393062:EQX393062 FAQ393062:FAT393062 FKM393062:FKP393062 FUI393062:FUL393062 GEE393062:GEH393062 GOA393062:GOD393062 GXW393062:GXZ393062 HHS393062:HHV393062 HRO393062:HRR393062 IBK393062:IBN393062 ILG393062:ILJ393062 IVC393062:IVF393062 JEY393062:JFB393062 JOU393062:JOX393062 JYQ393062:JYT393062 KIM393062:KIP393062 KSI393062:KSL393062 LCE393062:LCH393062 LMA393062:LMD393062 LVW393062:LVZ393062 MFS393062:MFV393062 MPO393062:MPR393062 MZK393062:MZN393062 NJG393062:NJJ393062 NTC393062:NTF393062 OCY393062:ODB393062 OMU393062:OMX393062 OWQ393062:OWT393062 PGM393062:PGP393062 PQI393062:PQL393062 QAE393062:QAH393062 QKA393062:QKD393062 QTW393062:QTZ393062 RDS393062:RDV393062 RNO393062:RNR393062 RXK393062:RXN393062 SHG393062:SHJ393062 SRC393062:SRF393062 TAY393062:TBB393062 TKU393062:TKX393062 TUQ393062:TUT393062 UEM393062:UEP393062 UOI393062:UOL393062 UYE393062:UYH393062 VIA393062:VID393062 VRW393062:VRZ393062 WBS393062:WBV393062 WLO393062:WLR393062 WVK393062:WVN393062 C458598:F458598 IY458598:JB458598 SU458598:SX458598 ACQ458598:ACT458598 AMM458598:AMP458598 AWI458598:AWL458598 BGE458598:BGH458598 BQA458598:BQD458598 BZW458598:BZZ458598 CJS458598:CJV458598 CTO458598:CTR458598 DDK458598:DDN458598 DNG458598:DNJ458598 DXC458598:DXF458598 EGY458598:EHB458598 EQU458598:EQX458598 FAQ458598:FAT458598 FKM458598:FKP458598 FUI458598:FUL458598 GEE458598:GEH458598 GOA458598:GOD458598 GXW458598:GXZ458598 HHS458598:HHV458598 HRO458598:HRR458598 IBK458598:IBN458598 ILG458598:ILJ458598 IVC458598:IVF458598 JEY458598:JFB458598 JOU458598:JOX458598 JYQ458598:JYT458598 KIM458598:KIP458598 KSI458598:KSL458598 LCE458598:LCH458598 LMA458598:LMD458598 LVW458598:LVZ458598 MFS458598:MFV458598 MPO458598:MPR458598 MZK458598:MZN458598 NJG458598:NJJ458598 NTC458598:NTF458598 OCY458598:ODB458598 OMU458598:OMX458598 OWQ458598:OWT458598 PGM458598:PGP458598 PQI458598:PQL458598 QAE458598:QAH458598 QKA458598:QKD458598 QTW458598:QTZ458598 RDS458598:RDV458598 RNO458598:RNR458598 RXK458598:RXN458598 SHG458598:SHJ458598 SRC458598:SRF458598 TAY458598:TBB458598 TKU458598:TKX458598 TUQ458598:TUT458598 UEM458598:UEP458598 UOI458598:UOL458598 UYE458598:UYH458598 VIA458598:VID458598 VRW458598:VRZ458598 WBS458598:WBV458598 WLO458598:WLR458598 WVK458598:WVN458598 C524134:F524134 IY524134:JB524134 SU524134:SX524134 ACQ524134:ACT524134 AMM524134:AMP524134 AWI524134:AWL524134 BGE524134:BGH524134 BQA524134:BQD524134 BZW524134:BZZ524134 CJS524134:CJV524134 CTO524134:CTR524134 DDK524134:DDN524134 DNG524134:DNJ524134 DXC524134:DXF524134 EGY524134:EHB524134 EQU524134:EQX524134 FAQ524134:FAT524134 FKM524134:FKP524134 FUI524134:FUL524134 GEE524134:GEH524134 GOA524134:GOD524134 GXW524134:GXZ524134 HHS524134:HHV524134 HRO524134:HRR524134 IBK524134:IBN524134 ILG524134:ILJ524134 IVC524134:IVF524134 JEY524134:JFB524134 JOU524134:JOX524134 JYQ524134:JYT524134 KIM524134:KIP524134 KSI524134:KSL524134 LCE524134:LCH524134 LMA524134:LMD524134 LVW524134:LVZ524134 MFS524134:MFV524134 MPO524134:MPR524134 MZK524134:MZN524134 NJG524134:NJJ524134 NTC524134:NTF524134 OCY524134:ODB524134 OMU524134:OMX524134 OWQ524134:OWT524134 PGM524134:PGP524134 PQI524134:PQL524134 QAE524134:QAH524134 QKA524134:QKD524134 QTW524134:QTZ524134 RDS524134:RDV524134 RNO524134:RNR524134 RXK524134:RXN524134 SHG524134:SHJ524134 SRC524134:SRF524134 TAY524134:TBB524134 TKU524134:TKX524134 TUQ524134:TUT524134 UEM524134:UEP524134 UOI524134:UOL524134 UYE524134:UYH524134 VIA524134:VID524134 VRW524134:VRZ524134 WBS524134:WBV524134 WLO524134:WLR524134 WVK524134:WVN524134 C589670:F589670 IY589670:JB589670 SU589670:SX589670 ACQ589670:ACT589670 AMM589670:AMP589670 AWI589670:AWL589670 BGE589670:BGH589670 BQA589670:BQD589670 BZW589670:BZZ589670 CJS589670:CJV589670 CTO589670:CTR589670 DDK589670:DDN589670 DNG589670:DNJ589670 DXC589670:DXF589670 EGY589670:EHB589670 EQU589670:EQX589670 FAQ589670:FAT589670 FKM589670:FKP589670 FUI589670:FUL589670 GEE589670:GEH589670 GOA589670:GOD589670 GXW589670:GXZ589670 HHS589670:HHV589670 HRO589670:HRR589670 IBK589670:IBN589670 ILG589670:ILJ589670 IVC589670:IVF589670 JEY589670:JFB589670 JOU589670:JOX589670 JYQ589670:JYT589670 KIM589670:KIP589670 KSI589670:KSL589670 LCE589670:LCH589670 LMA589670:LMD589670 LVW589670:LVZ589670 MFS589670:MFV589670 MPO589670:MPR589670 MZK589670:MZN589670 NJG589670:NJJ589670 NTC589670:NTF589670 OCY589670:ODB589670 OMU589670:OMX589670 OWQ589670:OWT589670 PGM589670:PGP589670 PQI589670:PQL589670 QAE589670:QAH589670 QKA589670:QKD589670 QTW589670:QTZ589670 RDS589670:RDV589670 RNO589670:RNR589670 RXK589670:RXN589670 SHG589670:SHJ589670 SRC589670:SRF589670 TAY589670:TBB589670 TKU589670:TKX589670 TUQ589670:TUT589670 UEM589670:UEP589670 UOI589670:UOL589670 UYE589670:UYH589670 VIA589670:VID589670 VRW589670:VRZ589670 WBS589670:WBV589670 WLO589670:WLR589670 WVK589670:WVN589670 C655206:F655206 IY655206:JB655206 SU655206:SX655206 ACQ655206:ACT655206 AMM655206:AMP655206 AWI655206:AWL655206 BGE655206:BGH655206 BQA655206:BQD655206 BZW655206:BZZ655206 CJS655206:CJV655206 CTO655206:CTR655206 DDK655206:DDN655206 DNG655206:DNJ655206 DXC655206:DXF655206 EGY655206:EHB655206 EQU655206:EQX655206 FAQ655206:FAT655206 FKM655206:FKP655206 FUI655206:FUL655206 GEE655206:GEH655206 GOA655206:GOD655206 GXW655206:GXZ655206 HHS655206:HHV655206 HRO655206:HRR655206 IBK655206:IBN655206 ILG655206:ILJ655206 IVC655206:IVF655206 JEY655206:JFB655206 JOU655206:JOX655206 JYQ655206:JYT655206 KIM655206:KIP655206 KSI655206:KSL655206 LCE655206:LCH655206 LMA655206:LMD655206 LVW655206:LVZ655206 MFS655206:MFV655206 MPO655206:MPR655206 MZK655206:MZN655206 NJG655206:NJJ655206 NTC655206:NTF655206 OCY655206:ODB655206 OMU655206:OMX655206 OWQ655206:OWT655206 PGM655206:PGP655206 PQI655206:PQL655206 QAE655206:QAH655206 QKA655206:QKD655206 QTW655206:QTZ655206 RDS655206:RDV655206 RNO655206:RNR655206 RXK655206:RXN655206 SHG655206:SHJ655206 SRC655206:SRF655206 TAY655206:TBB655206 TKU655206:TKX655206 TUQ655206:TUT655206 UEM655206:UEP655206 UOI655206:UOL655206 UYE655206:UYH655206 VIA655206:VID655206 VRW655206:VRZ655206 WBS655206:WBV655206 WLO655206:WLR655206 WVK655206:WVN655206 C720742:F720742 IY720742:JB720742 SU720742:SX720742 ACQ720742:ACT720742 AMM720742:AMP720742 AWI720742:AWL720742 BGE720742:BGH720742 BQA720742:BQD720742 BZW720742:BZZ720742 CJS720742:CJV720742 CTO720742:CTR720742 DDK720742:DDN720742 DNG720742:DNJ720742 DXC720742:DXF720742 EGY720742:EHB720742 EQU720742:EQX720742 FAQ720742:FAT720742 FKM720742:FKP720742 FUI720742:FUL720742 GEE720742:GEH720742 GOA720742:GOD720742 GXW720742:GXZ720742 HHS720742:HHV720742 HRO720742:HRR720742 IBK720742:IBN720742 ILG720742:ILJ720742 IVC720742:IVF720742 JEY720742:JFB720742 JOU720742:JOX720742 JYQ720742:JYT720742 KIM720742:KIP720742 KSI720742:KSL720742 LCE720742:LCH720742 LMA720742:LMD720742 LVW720742:LVZ720742 MFS720742:MFV720742 MPO720742:MPR720742 MZK720742:MZN720742 NJG720742:NJJ720742 NTC720742:NTF720742 OCY720742:ODB720742 OMU720742:OMX720742 OWQ720742:OWT720742 PGM720742:PGP720742 PQI720742:PQL720742 QAE720742:QAH720742 QKA720742:QKD720742 QTW720742:QTZ720742 RDS720742:RDV720742 RNO720742:RNR720742 RXK720742:RXN720742 SHG720742:SHJ720742 SRC720742:SRF720742 TAY720742:TBB720742 TKU720742:TKX720742 TUQ720742:TUT720742 UEM720742:UEP720742 UOI720742:UOL720742 UYE720742:UYH720742 VIA720742:VID720742 VRW720742:VRZ720742 WBS720742:WBV720742 WLO720742:WLR720742 WVK720742:WVN720742 C786278:F786278 IY786278:JB786278 SU786278:SX786278 ACQ786278:ACT786278 AMM786278:AMP786278 AWI786278:AWL786278 BGE786278:BGH786278 BQA786278:BQD786278 BZW786278:BZZ786278 CJS786278:CJV786278 CTO786278:CTR786278 DDK786278:DDN786278 DNG786278:DNJ786278 DXC786278:DXF786278 EGY786278:EHB786278 EQU786278:EQX786278 FAQ786278:FAT786278 FKM786278:FKP786278 FUI786278:FUL786278 GEE786278:GEH786278 GOA786278:GOD786278 GXW786278:GXZ786278 HHS786278:HHV786278 HRO786278:HRR786278 IBK786278:IBN786278 ILG786278:ILJ786278 IVC786278:IVF786278 JEY786278:JFB786278 JOU786278:JOX786278 JYQ786278:JYT786278 KIM786278:KIP786278 KSI786278:KSL786278 LCE786278:LCH786278 LMA786278:LMD786278 LVW786278:LVZ786278 MFS786278:MFV786278 MPO786278:MPR786278 MZK786278:MZN786278 NJG786278:NJJ786278 NTC786278:NTF786278 OCY786278:ODB786278 OMU786278:OMX786278 OWQ786278:OWT786278 PGM786278:PGP786278 PQI786278:PQL786278 QAE786278:QAH786278 QKA786278:QKD786278 QTW786278:QTZ786278 RDS786278:RDV786278 RNO786278:RNR786278 RXK786278:RXN786278 SHG786278:SHJ786278 SRC786278:SRF786278 TAY786278:TBB786278 TKU786278:TKX786278 TUQ786278:TUT786278 UEM786278:UEP786278 UOI786278:UOL786278 UYE786278:UYH786278 VIA786278:VID786278 VRW786278:VRZ786278 WBS786278:WBV786278 WLO786278:WLR786278 WVK786278:WVN786278 C851814:F851814 IY851814:JB851814 SU851814:SX851814 ACQ851814:ACT851814 AMM851814:AMP851814 AWI851814:AWL851814 BGE851814:BGH851814 BQA851814:BQD851814 BZW851814:BZZ851814 CJS851814:CJV851814 CTO851814:CTR851814 DDK851814:DDN851814 DNG851814:DNJ851814 DXC851814:DXF851814 EGY851814:EHB851814 EQU851814:EQX851814 FAQ851814:FAT851814 FKM851814:FKP851814 FUI851814:FUL851814 GEE851814:GEH851814 GOA851814:GOD851814 GXW851814:GXZ851814 HHS851814:HHV851814 HRO851814:HRR851814 IBK851814:IBN851814 ILG851814:ILJ851814 IVC851814:IVF851814 JEY851814:JFB851814 JOU851814:JOX851814 JYQ851814:JYT851814 KIM851814:KIP851814 KSI851814:KSL851814 LCE851814:LCH851814 LMA851814:LMD851814 LVW851814:LVZ851814 MFS851814:MFV851814 MPO851814:MPR851814 MZK851814:MZN851814 NJG851814:NJJ851814 NTC851814:NTF851814 OCY851814:ODB851814 OMU851814:OMX851814 OWQ851814:OWT851814 PGM851814:PGP851814 PQI851814:PQL851814 QAE851814:QAH851814 QKA851814:QKD851814 QTW851814:QTZ851814 RDS851814:RDV851814 RNO851814:RNR851814 RXK851814:RXN851814 SHG851814:SHJ851814 SRC851814:SRF851814 TAY851814:TBB851814 TKU851814:TKX851814 TUQ851814:TUT851814 UEM851814:UEP851814 UOI851814:UOL851814 UYE851814:UYH851814 VIA851814:VID851814 VRW851814:VRZ851814 WBS851814:WBV851814 WLO851814:WLR851814 WVK851814:WVN851814 C917350:F917350 IY917350:JB917350 SU917350:SX917350 ACQ917350:ACT917350 AMM917350:AMP917350 AWI917350:AWL917350 BGE917350:BGH917350 BQA917350:BQD917350 BZW917350:BZZ917350 CJS917350:CJV917350 CTO917350:CTR917350 DDK917350:DDN917350 DNG917350:DNJ917350 DXC917350:DXF917350 EGY917350:EHB917350 EQU917350:EQX917350 FAQ917350:FAT917350 FKM917350:FKP917350 FUI917350:FUL917350 GEE917350:GEH917350 GOA917350:GOD917350 GXW917350:GXZ917350 HHS917350:HHV917350 HRO917350:HRR917350 IBK917350:IBN917350 ILG917350:ILJ917350 IVC917350:IVF917350 JEY917350:JFB917350 JOU917350:JOX917350 JYQ917350:JYT917350 KIM917350:KIP917350 KSI917350:KSL917350 LCE917350:LCH917350 LMA917350:LMD917350 LVW917350:LVZ917350 MFS917350:MFV917350 MPO917350:MPR917350 MZK917350:MZN917350 NJG917350:NJJ917350 NTC917350:NTF917350 OCY917350:ODB917350 OMU917350:OMX917350 OWQ917350:OWT917350 PGM917350:PGP917350 PQI917350:PQL917350 QAE917350:QAH917350 QKA917350:QKD917350 QTW917350:QTZ917350 RDS917350:RDV917350 RNO917350:RNR917350 RXK917350:RXN917350 SHG917350:SHJ917350 SRC917350:SRF917350 TAY917350:TBB917350 TKU917350:TKX917350 TUQ917350:TUT917350 UEM917350:UEP917350 UOI917350:UOL917350 UYE917350:UYH917350 VIA917350:VID917350 VRW917350:VRZ917350 WBS917350:WBV917350 WLO917350:WLR917350 WVK917350:WVN917350 C982886:F982886 IY982886:JB982886 SU982886:SX982886 ACQ982886:ACT982886 AMM982886:AMP982886 AWI982886:AWL982886 BGE982886:BGH982886 BQA982886:BQD982886 BZW982886:BZZ982886 CJS982886:CJV982886 CTO982886:CTR982886 DDK982886:DDN982886 DNG982886:DNJ982886 DXC982886:DXF982886 EGY982886:EHB982886 EQU982886:EQX982886 FAQ982886:FAT982886 FKM982886:FKP982886 FUI982886:FUL982886 GEE982886:GEH982886 GOA982886:GOD982886 GXW982886:GXZ982886 HHS982886:HHV982886 HRO982886:HRR982886 IBK982886:IBN982886 ILG982886:ILJ982886 IVC982886:IVF982886 JEY982886:JFB982886 JOU982886:JOX982886 JYQ982886:JYT982886 KIM982886:KIP982886 KSI982886:KSL982886 LCE982886:LCH982886 LMA982886:LMD982886 LVW982886:LVZ982886 MFS982886:MFV982886 MPO982886:MPR982886 MZK982886:MZN982886 NJG982886:NJJ982886 NTC982886:NTF982886 OCY982886:ODB982886 OMU982886:OMX982886 OWQ982886:OWT982886 PGM982886:PGP982886 PQI982886:PQL982886 QAE982886:QAH982886 QKA982886:QKD982886 QTW982886:QTZ982886 RDS982886:RDV982886 RNO982886:RNR982886 RXK982886:RXN982886 SHG982886:SHJ982886 SRC982886:SRF982886 TAY982886:TBB982886 TKU982886:TKX982886 TUQ982886:TUT982886 UEM982886:UEP982886 UOI982886:UOL982886 UYE982886:UYH982886 VIA982886:VID982886 VRW982886:VRZ982886 WBS982886:WBV982886 WLO982886:WLR982886 WVK982886:WVN982886 C65384:F65384 IY65384:JB65384 SU65384:SX65384 ACQ65384:ACT65384 AMM65384:AMP65384 AWI65384:AWL65384 BGE65384:BGH65384 BQA65384:BQD65384 BZW65384:BZZ65384 CJS65384:CJV65384 CTO65384:CTR65384 DDK65384:DDN65384 DNG65384:DNJ65384 DXC65384:DXF65384 EGY65384:EHB65384 EQU65384:EQX65384 FAQ65384:FAT65384 FKM65384:FKP65384 FUI65384:FUL65384 GEE65384:GEH65384 GOA65384:GOD65384 GXW65384:GXZ65384 HHS65384:HHV65384 HRO65384:HRR65384 IBK65384:IBN65384 ILG65384:ILJ65384 IVC65384:IVF65384 JEY65384:JFB65384 JOU65384:JOX65384 JYQ65384:JYT65384 KIM65384:KIP65384 KSI65384:KSL65384 LCE65384:LCH65384 LMA65384:LMD65384 LVW65384:LVZ65384 MFS65384:MFV65384 MPO65384:MPR65384 MZK65384:MZN65384 NJG65384:NJJ65384 NTC65384:NTF65384 OCY65384:ODB65384 OMU65384:OMX65384 OWQ65384:OWT65384 PGM65384:PGP65384 PQI65384:PQL65384 QAE65384:QAH65384 QKA65384:QKD65384 QTW65384:QTZ65384 RDS65384:RDV65384 RNO65384:RNR65384 RXK65384:RXN65384 SHG65384:SHJ65384 SRC65384:SRF65384 TAY65384:TBB65384 TKU65384:TKX65384 TUQ65384:TUT65384 UEM65384:UEP65384 UOI65384:UOL65384 UYE65384:UYH65384 VIA65384:VID65384 VRW65384:VRZ65384 WBS65384:WBV65384 WLO65384:WLR65384 WVK65384:WVN65384 C130920:F130920 IY130920:JB130920 SU130920:SX130920 ACQ130920:ACT130920 AMM130920:AMP130920 AWI130920:AWL130920 BGE130920:BGH130920 BQA130920:BQD130920 BZW130920:BZZ130920 CJS130920:CJV130920 CTO130920:CTR130920 DDK130920:DDN130920 DNG130920:DNJ130920 DXC130920:DXF130920 EGY130920:EHB130920 EQU130920:EQX130920 FAQ130920:FAT130920 FKM130920:FKP130920 FUI130920:FUL130920 GEE130920:GEH130920 GOA130920:GOD130920 GXW130920:GXZ130920 HHS130920:HHV130920 HRO130920:HRR130920 IBK130920:IBN130920 ILG130920:ILJ130920 IVC130920:IVF130920 JEY130920:JFB130920 JOU130920:JOX130920 JYQ130920:JYT130920 KIM130920:KIP130920 KSI130920:KSL130920 LCE130920:LCH130920 LMA130920:LMD130920 LVW130920:LVZ130920 MFS130920:MFV130920 MPO130920:MPR130920 MZK130920:MZN130920 NJG130920:NJJ130920 NTC130920:NTF130920 OCY130920:ODB130920 OMU130920:OMX130920 OWQ130920:OWT130920 PGM130920:PGP130920 PQI130920:PQL130920 QAE130920:QAH130920 QKA130920:QKD130920 QTW130920:QTZ130920 RDS130920:RDV130920 RNO130920:RNR130920 RXK130920:RXN130920 SHG130920:SHJ130920 SRC130920:SRF130920 TAY130920:TBB130920 TKU130920:TKX130920 TUQ130920:TUT130920 UEM130920:UEP130920 UOI130920:UOL130920 UYE130920:UYH130920 VIA130920:VID130920 VRW130920:VRZ130920 WBS130920:WBV130920 WLO130920:WLR130920 WVK130920:WVN130920 C196456:F196456 IY196456:JB196456 SU196456:SX196456 ACQ196456:ACT196456 AMM196456:AMP196456 AWI196456:AWL196456 BGE196456:BGH196456 BQA196456:BQD196456 BZW196456:BZZ196456 CJS196456:CJV196456 CTO196456:CTR196456 DDK196456:DDN196456 DNG196456:DNJ196456 DXC196456:DXF196456 EGY196456:EHB196456 EQU196456:EQX196456 FAQ196456:FAT196456 FKM196456:FKP196456 FUI196456:FUL196456 GEE196456:GEH196456 GOA196456:GOD196456 GXW196456:GXZ196456 HHS196456:HHV196456 HRO196456:HRR196456 IBK196456:IBN196456 ILG196456:ILJ196456 IVC196456:IVF196456 JEY196456:JFB196456 JOU196456:JOX196456 JYQ196456:JYT196456 KIM196456:KIP196456 KSI196456:KSL196456 LCE196456:LCH196456 LMA196456:LMD196456 LVW196456:LVZ196456 MFS196456:MFV196456 MPO196456:MPR196456 MZK196456:MZN196456 NJG196456:NJJ196456 NTC196456:NTF196456 OCY196456:ODB196456 OMU196456:OMX196456 OWQ196456:OWT196456 PGM196456:PGP196456 PQI196456:PQL196456 QAE196456:QAH196456 QKA196456:QKD196456 QTW196456:QTZ196456 RDS196456:RDV196456 RNO196456:RNR196456 RXK196456:RXN196456 SHG196456:SHJ196456 SRC196456:SRF196456 TAY196456:TBB196456 TKU196456:TKX196456 TUQ196456:TUT196456 UEM196456:UEP196456 UOI196456:UOL196456 UYE196456:UYH196456 VIA196456:VID196456 VRW196456:VRZ196456 WBS196456:WBV196456 WLO196456:WLR196456 WVK196456:WVN196456 C261992:F261992 IY261992:JB261992 SU261992:SX261992 ACQ261992:ACT261992 AMM261992:AMP261992 AWI261992:AWL261992 BGE261992:BGH261992 BQA261992:BQD261992 BZW261992:BZZ261992 CJS261992:CJV261992 CTO261992:CTR261992 DDK261992:DDN261992 DNG261992:DNJ261992 DXC261992:DXF261992 EGY261992:EHB261992 EQU261992:EQX261992 FAQ261992:FAT261992 FKM261992:FKP261992 FUI261992:FUL261992 GEE261992:GEH261992 GOA261992:GOD261992 GXW261992:GXZ261992 HHS261992:HHV261992 HRO261992:HRR261992 IBK261992:IBN261992 ILG261992:ILJ261992 IVC261992:IVF261992 JEY261992:JFB261992 JOU261992:JOX261992 JYQ261992:JYT261992 KIM261992:KIP261992 KSI261992:KSL261992 LCE261992:LCH261992 LMA261992:LMD261992 LVW261992:LVZ261992 MFS261992:MFV261992 MPO261992:MPR261992 MZK261992:MZN261992 NJG261992:NJJ261992 NTC261992:NTF261992 OCY261992:ODB261992 OMU261992:OMX261992 OWQ261992:OWT261992 PGM261992:PGP261992 PQI261992:PQL261992 QAE261992:QAH261992 QKA261992:QKD261992 QTW261992:QTZ261992 RDS261992:RDV261992 RNO261992:RNR261992 RXK261992:RXN261992 SHG261992:SHJ261992 SRC261992:SRF261992 TAY261992:TBB261992 TKU261992:TKX261992 TUQ261992:TUT261992 UEM261992:UEP261992 UOI261992:UOL261992 UYE261992:UYH261992 VIA261992:VID261992 VRW261992:VRZ261992 WBS261992:WBV261992 WLO261992:WLR261992 WVK261992:WVN261992 C327528:F327528 IY327528:JB327528 SU327528:SX327528 ACQ327528:ACT327528 AMM327528:AMP327528 AWI327528:AWL327528 BGE327528:BGH327528 BQA327528:BQD327528 BZW327528:BZZ327528 CJS327528:CJV327528 CTO327528:CTR327528 DDK327528:DDN327528 DNG327528:DNJ327528 DXC327528:DXF327528 EGY327528:EHB327528 EQU327528:EQX327528 FAQ327528:FAT327528 FKM327528:FKP327528 FUI327528:FUL327528 GEE327528:GEH327528 GOA327528:GOD327528 GXW327528:GXZ327528 HHS327528:HHV327528 HRO327528:HRR327528 IBK327528:IBN327528 ILG327528:ILJ327528 IVC327528:IVF327528 JEY327528:JFB327528 JOU327528:JOX327528 JYQ327528:JYT327528 KIM327528:KIP327528 KSI327528:KSL327528 LCE327528:LCH327528 LMA327528:LMD327528 LVW327528:LVZ327528 MFS327528:MFV327528 MPO327528:MPR327528 MZK327528:MZN327528 NJG327528:NJJ327528 NTC327528:NTF327528 OCY327528:ODB327528 OMU327528:OMX327528 OWQ327528:OWT327528 PGM327528:PGP327528 PQI327528:PQL327528 QAE327528:QAH327528 QKA327528:QKD327528 QTW327528:QTZ327528 RDS327528:RDV327528 RNO327528:RNR327528 RXK327528:RXN327528 SHG327528:SHJ327528 SRC327528:SRF327528 TAY327528:TBB327528 TKU327528:TKX327528 TUQ327528:TUT327528 UEM327528:UEP327528 UOI327528:UOL327528 UYE327528:UYH327528 VIA327528:VID327528 VRW327528:VRZ327528 WBS327528:WBV327528 WLO327528:WLR327528 WVK327528:WVN327528 C393064:F393064 IY393064:JB393064 SU393064:SX393064 ACQ393064:ACT393064 AMM393064:AMP393064 AWI393064:AWL393064 BGE393064:BGH393064 BQA393064:BQD393064 BZW393064:BZZ393064 CJS393064:CJV393064 CTO393064:CTR393064 DDK393064:DDN393064 DNG393064:DNJ393064 DXC393064:DXF393064 EGY393064:EHB393064 EQU393064:EQX393064 FAQ393064:FAT393064 FKM393064:FKP393064 FUI393064:FUL393064 GEE393064:GEH393064 GOA393064:GOD393064 GXW393064:GXZ393064 HHS393064:HHV393064 HRO393064:HRR393064 IBK393064:IBN393064 ILG393064:ILJ393064 IVC393064:IVF393064 JEY393064:JFB393064 JOU393064:JOX393064 JYQ393064:JYT393064 KIM393064:KIP393064 KSI393064:KSL393064 LCE393064:LCH393064 LMA393064:LMD393064 LVW393064:LVZ393064 MFS393064:MFV393064 MPO393064:MPR393064 MZK393064:MZN393064 NJG393064:NJJ393064 NTC393064:NTF393064 OCY393064:ODB393064 OMU393064:OMX393064 OWQ393064:OWT393064 PGM393064:PGP393064 PQI393064:PQL393064 QAE393064:QAH393064 QKA393064:QKD393064 QTW393064:QTZ393064 RDS393064:RDV393064 RNO393064:RNR393064 RXK393064:RXN393064 SHG393064:SHJ393064 SRC393064:SRF393064 TAY393064:TBB393064 TKU393064:TKX393064 TUQ393064:TUT393064 UEM393064:UEP393064 UOI393064:UOL393064 UYE393064:UYH393064 VIA393064:VID393064 VRW393064:VRZ393064 WBS393064:WBV393064 WLO393064:WLR393064 WVK393064:WVN393064 C458600:F458600 IY458600:JB458600 SU458600:SX458600 ACQ458600:ACT458600 AMM458600:AMP458600 AWI458600:AWL458600 BGE458600:BGH458600 BQA458600:BQD458600 BZW458600:BZZ458600 CJS458600:CJV458600 CTO458600:CTR458600 DDK458600:DDN458600 DNG458600:DNJ458600 DXC458600:DXF458600 EGY458600:EHB458600 EQU458600:EQX458600 FAQ458600:FAT458600 FKM458600:FKP458600 FUI458600:FUL458600 GEE458600:GEH458600 GOA458600:GOD458600 GXW458600:GXZ458600 HHS458600:HHV458600 HRO458600:HRR458600 IBK458600:IBN458600 ILG458600:ILJ458600 IVC458600:IVF458600 JEY458600:JFB458600 JOU458600:JOX458600 JYQ458600:JYT458600 KIM458600:KIP458600 KSI458600:KSL458600 LCE458600:LCH458600 LMA458600:LMD458600 LVW458600:LVZ458600 MFS458600:MFV458600 MPO458600:MPR458600 MZK458600:MZN458600 NJG458600:NJJ458600 NTC458600:NTF458600 OCY458600:ODB458600 OMU458600:OMX458600 OWQ458600:OWT458600 PGM458600:PGP458600 PQI458600:PQL458600 QAE458600:QAH458600 QKA458600:QKD458600 QTW458600:QTZ458600 RDS458600:RDV458600 RNO458600:RNR458600 RXK458600:RXN458600 SHG458600:SHJ458600 SRC458600:SRF458600 TAY458600:TBB458600 TKU458600:TKX458600 TUQ458600:TUT458600 UEM458600:UEP458600 UOI458600:UOL458600 UYE458600:UYH458600 VIA458600:VID458600 VRW458600:VRZ458600 WBS458600:WBV458600 WLO458600:WLR458600 WVK458600:WVN458600 C524136:F524136 IY524136:JB524136 SU524136:SX524136 ACQ524136:ACT524136 AMM524136:AMP524136 AWI524136:AWL524136 BGE524136:BGH524136 BQA524136:BQD524136 BZW524136:BZZ524136 CJS524136:CJV524136 CTO524136:CTR524136 DDK524136:DDN524136 DNG524136:DNJ524136 DXC524136:DXF524136 EGY524136:EHB524136 EQU524136:EQX524136 FAQ524136:FAT524136 FKM524136:FKP524136 FUI524136:FUL524136 GEE524136:GEH524136 GOA524136:GOD524136 GXW524136:GXZ524136 HHS524136:HHV524136 HRO524136:HRR524136 IBK524136:IBN524136 ILG524136:ILJ524136 IVC524136:IVF524136 JEY524136:JFB524136 JOU524136:JOX524136 JYQ524136:JYT524136 KIM524136:KIP524136 KSI524136:KSL524136 LCE524136:LCH524136 LMA524136:LMD524136 LVW524136:LVZ524136 MFS524136:MFV524136 MPO524136:MPR524136 MZK524136:MZN524136 NJG524136:NJJ524136 NTC524136:NTF524136 OCY524136:ODB524136 OMU524136:OMX524136 OWQ524136:OWT524136 PGM524136:PGP524136 PQI524136:PQL524136 QAE524136:QAH524136 QKA524136:QKD524136 QTW524136:QTZ524136 RDS524136:RDV524136 RNO524136:RNR524136 RXK524136:RXN524136 SHG524136:SHJ524136 SRC524136:SRF524136 TAY524136:TBB524136 TKU524136:TKX524136 TUQ524136:TUT524136 UEM524136:UEP524136 UOI524136:UOL524136 UYE524136:UYH524136 VIA524136:VID524136 VRW524136:VRZ524136 WBS524136:WBV524136 WLO524136:WLR524136 WVK524136:WVN524136 C589672:F589672 IY589672:JB589672 SU589672:SX589672 ACQ589672:ACT589672 AMM589672:AMP589672 AWI589672:AWL589672 BGE589672:BGH589672 BQA589672:BQD589672 BZW589672:BZZ589672 CJS589672:CJV589672 CTO589672:CTR589672 DDK589672:DDN589672 DNG589672:DNJ589672 DXC589672:DXF589672 EGY589672:EHB589672 EQU589672:EQX589672 FAQ589672:FAT589672 FKM589672:FKP589672 FUI589672:FUL589672 GEE589672:GEH589672 GOA589672:GOD589672 GXW589672:GXZ589672 HHS589672:HHV589672 HRO589672:HRR589672 IBK589672:IBN589672 ILG589672:ILJ589672 IVC589672:IVF589672 JEY589672:JFB589672 JOU589672:JOX589672 JYQ589672:JYT589672 KIM589672:KIP589672 KSI589672:KSL589672 LCE589672:LCH589672 LMA589672:LMD589672 LVW589672:LVZ589672 MFS589672:MFV589672 MPO589672:MPR589672 MZK589672:MZN589672 NJG589672:NJJ589672 NTC589672:NTF589672 OCY589672:ODB589672 OMU589672:OMX589672 OWQ589672:OWT589672 PGM589672:PGP589672 PQI589672:PQL589672 QAE589672:QAH589672 QKA589672:QKD589672 QTW589672:QTZ589672 RDS589672:RDV589672 RNO589672:RNR589672 RXK589672:RXN589672 SHG589672:SHJ589672 SRC589672:SRF589672 TAY589672:TBB589672 TKU589672:TKX589672 TUQ589672:TUT589672 UEM589672:UEP589672 UOI589672:UOL589672 UYE589672:UYH589672 VIA589672:VID589672 VRW589672:VRZ589672 WBS589672:WBV589672 WLO589672:WLR589672 WVK589672:WVN589672 C655208:F655208 IY655208:JB655208 SU655208:SX655208 ACQ655208:ACT655208 AMM655208:AMP655208 AWI655208:AWL655208 BGE655208:BGH655208 BQA655208:BQD655208 BZW655208:BZZ655208 CJS655208:CJV655208 CTO655208:CTR655208 DDK655208:DDN655208 DNG655208:DNJ655208 DXC655208:DXF655208 EGY655208:EHB655208 EQU655208:EQX655208 FAQ655208:FAT655208 FKM655208:FKP655208 FUI655208:FUL655208 GEE655208:GEH655208 GOA655208:GOD655208 GXW655208:GXZ655208 HHS655208:HHV655208 HRO655208:HRR655208 IBK655208:IBN655208 ILG655208:ILJ655208 IVC655208:IVF655208 JEY655208:JFB655208 JOU655208:JOX655208 JYQ655208:JYT655208 KIM655208:KIP655208 KSI655208:KSL655208 LCE655208:LCH655208 LMA655208:LMD655208 LVW655208:LVZ655208 MFS655208:MFV655208 MPO655208:MPR655208 MZK655208:MZN655208 NJG655208:NJJ655208 NTC655208:NTF655208 OCY655208:ODB655208 OMU655208:OMX655208 OWQ655208:OWT655208 PGM655208:PGP655208 PQI655208:PQL655208 QAE655208:QAH655208 QKA655208:QKD655208 QTW655208:QTZ655208 RDS655208:RDV655208 RNO655208:RNR655208 RXK655208:RXN655208 SHG655208:SHJ655208 SRC655208:SRF655208 TAY655208:TBB655208 TKU655208:TKX655208 TUQ655208:TUT655208 UEM655208:UEP655208 UOI655208:UOL655208 UYE655208:UYH655208 VIA655208:VID655208 VRW655208:VRZ655208 WBS655208:WBV655208 WLO655208:WLR655208 WVK655208:WVN655208 C720744:F720744 IY720744:JB720744 SU720744:SX720744 ACQ720744:ACT720744 AMM720744:AMP720744 AWI720744:AWL720744 BGE720744:BGH720744 BQA720744:BQD720744 BZW720744:BZZ720744 CJS720744:CJV720744 CTO720744:CTR720744 DDK720744:DDN720744 DNG720744:DNJ720744 DXC720744:DXF720744 EGY720744:EHB720744 EQU720744:EQX720744 FAQ720744:FAT720744 FKM720744:FKP720744 FUI720744:FUL720744 GEE720744:GEH720744 GOA720744:GOD720744 GXW720744:GXZ720744 HHS720744:HHV720744 HRO720744:HRR720744 IBK720744:IBN720744 ILG720744:ILJ720744 IVC720744:IVF720744 JEY720744:JFB720744 JOU720744:JOX720744 JYQ720744:JYT720744 KIM720744:KIP720744 KSI720744:KSL720744 LCE720744:LCH720744 LMA720744:LMD720744 LVW720744:LVZ720744 MFS720744:MFV720744 MPO720744:MPR720744 MZK720744:MZN720744 NJG720744:NJJ720744 NTC720744:NTF720744 OCY720744:ODB720744 OMU720744:OMX720744 OWQ720744:OWT720744 PGM720744:PGP720744 PQI720744:PQL720744 QAE720744:QAH720744 QKA720744:QKD720744 QTW720744:QTZ720744 RDS720744:RDV720744 RNO720744:RNR720744 RXK720744:RXN720744 SHG720744:SHJ720744 SRC720744:SRF720744 TAY720744:TBB720744 TKU720744:TKX720744 TUQ720744:TUT720744 UEM720744:UEP720744 UOI720744:UOL720744 UYE720744:UYH720744 VIA720744:VID720744 VRW720744:VRZ720744 WBS720744:WBV720744 WLO720744:WLR720744 WVK720744:WVN720744 C786280:F786280 IY786280:JB786280 SU786280:SX786280 ACQ786280:ACT786280 AMM786280:AMP786280 AWI786280:AWL786280 BGE786280:BGH786280 BQA786280:BQD786280 BZW786280:BZZ786280 CJS786280:CJV786280 CTO786280:CTR786280 DDK786280:DDN786280 DNG786280:DNJ786280 DXC786280:DXF786280 EGY786280:EHB786280 EQU786280:EQX786280 FAQ786280:FAT786280 FKM786280:FKP786280 FUI786280:FUL786280 GEE786280:GEH786280 GOA786280:GOD786280 GXW786280:GXZ786280 HHS786280:HHV786280 HRO786280:HRR786280 IBK786280:IBN786280 ILG786280:ILJ786280 IVC786280:IVF786280 JEY786280:JFB786280 JOU786280:JOX786280 JYQ786280:JYT786280 KIM786280:KIP786280 KSI786280:KSL786280 LCE786280:LCH786280 LMA786280:LMD786280 LVW786280:LVZ786280 MFS786280:MFV786280 MPO786280:MPR786280 MZK786280:MZN786280 NJG786280:NJJ786280 NTC786280:NTF786280 OCY786280:ODB786280 OMU786280:OMX786280 OWQ786280:OWT786280 PGM786280:PGP786280 PQI786280:PQL786280 QAE786280:QAH786280 QKA786280:QKD786280 QTW786280:QTZ786280 RDS786280:RDV786280 RNO786280:RNR786280 RXK786280:RXN786280 SHG786280:SHJ786280 SRC786280:SRF786280 TAY786280:TBB786280 TKU786280:TKX786280 TUQ786280:TUT786280 UEM786280:UEP786280 UOI786280:UOL786280 UYE786280:UYH786280 VIA786280:VID786280 VRW786280:VRZ786280 WBS786280:WBV786280 WLO786280:WLR786280 WVK786280:WVN786280 C851816:F851816 IY851816:JB851816 SU851816:SX851816 ACQ851816:ACT851816 AMM851816:AMP851816 AWI851816:AWL851816 BGE851816:BGH851816 BQA851816:BQD851816 BZW851816:BZZ851816 CJS851816:CJV851816 CTO851816:CTR851816 DDK851816:DDN851816 DNG851816:DNJ851816 DXC851816:DXF851816 EGY851816:EHB851816 EQU851816:EQX851816 FAQ851816:FAT851816 FKM851816:FKP851816 FUI851816:FUL851816 GEE851816:GEH851816 GOA851816:GOD851816 GXW851816:GXZ851816 HHS851816:HHV851816 HRO851816:HRR851816 IBK851816:IBN851816 ILG851816:ILJ851816 IVC851816:IVF851816 JEY851816:JFB851816 JOU851816:JOX851816 JYQ851816:JYT851816 KIM851816:KIP851816 KSI851816:KSL851816 LCE851816:LCH851816 LMA851816:LMD851816 LVW851816:LVZ851816 MFS851816:MFV851816 MPO851816:MPR851816 MZK851816:MZN851816 NJG851816:NJJ851816 NTC851816:NTF851816 OCY851816:ODB851816 OMU851816:OMX851816 OWQ851816:OWT851816 PGM851816:PGP851816 PQI851816:PQL851816 QAE851816:QAH851816 QKA851816:QKD851816 QTW851816:QTZ851816 RDS851816:RDV851816 RNO851816:RNR851816 RXK851816:RXN851816 SHG851816:SHJ851816 SRC851816:SRF851816 TAY851816:TBB851816 TKU851816:TKX851816 TUQ851816:TUT851816 UEM851816:UEP851816 UOI851816:UOL851816 UYE851816:UYH851816 VIA851816:VID851816 VRW851816:VRZ851816 WBS851816:WBV851816 WLO851816:WLR851816 WVK851816:WVN851816 C917352:F917352 IY917352:JB917352 SU917352:SX917352 ACQ917352:ACT917352 AMM917352:AMP917352 AWI917352:AWL917352 BGE917352:BGH917352 BQA917352:BQD917352 BZW917352:BZZ917352 CJS917352:CJV917352 CTO917352:CTR917352 DDK917352:DDN917352 DNG917352:DNJ917352 DXC917352:DXF917352 EGY917352:EHB917352 EQU917352:EQX917352 FAQ917352:FAT917352 FKM917352:FKP917352 FUI917352:FUL917352 GEE917352:GEH917352 GOA917352:GOD917352 GXW917352:GXZ917352 HHS917352:HHV917352 HRO917352:HRR917352 IBK917352:IBN917352 ILG917352:ILJ917352 IVC917352:IVF917352 JEY917352:JFB917352 JOU917352:JOX917352 JYQ917352:JYT917352 KIM917352:KIP917352 KSI917352:KSL917352 LCE917352:LCH917352 LMA917352:LMD917352 LVW917352:LVZ917352 MFS917352:MFV917352 MPO917352:MPR917352 MZK917352:MZN917352 NJG917352:NJJ917352 NTC917352:NTF917352 OCY917352:ODB917352 OMU917352:OMX917352 OWQ917352:OWT917352 PGM917352:PGP917352 PQI917352:PQL917352 QAE917352:QAH917352 QKA917352:QKD917352 QTW917352:QTZ917352 RDS917352:RDV917352 RNO917352:RNR917352 RXK917352:RXN917352 SHG917352:SHJ917352 SRC917352:SRF917352 TAY917352:TBB917352 TKU917352:TKX917352 TUQ917352:TUT917352 UEM917352:UEP917352 UOI917352:UOL917352 UYE917352:UYH917352 VIA917352:VID917352 VRW917352:VRZ917352 WBS917352:WBV917352 WLO917352:WLR917352 WVK917352:WVN917352 C982888:F982888 IY982888:JB982888 SU982888:SX982888 ACQ982888:ACT982888 AMM982888:AMP982888 AWI982888:AWL982888 BGE982888:BGH982888 BQA982888:BQD982888 BZW982888:BZZ982888 CJS982888:CJV982888 CTO982888:CTR982888 DDK982888:DDN982888 DNG982888:DNJ982888 DXC982888:DXF982888 EGY982888:EHB982888 EQU982888:EQX982888 FAQ982888:FAT982888 FKM982888:FKP982888 FUI982888:FUL982888 GEE982888:GEH982888 GOA982888:GOD982888 GXW982888:GXZ982888 HHS982888:HHV982888 HRO982888:HRR982888 IBK982888:IBN982888 ILG982888:ILJ982888 IVC982888:IVF982888 JEY982888:JFB982888 JOU982888:JOX982888 JYQ982888:JYT982888 KIM982888:KIP982888 KSI982888:KSL982888 LCE982888:LCH982888 LMA982888:LMD982888 LVW982888:LVZ982888 MFS982888:MFV982888 MPO982888:MPR982888 MZK982888:MZN982888 NJG982888:NJJ982888 NTC982888:NTF982888 OCY982888:ODB982888 OMU982888:OMX982888 OWQ982888:OWT982888 PGM982888:PGP982888 PQI982888:PQL982888 QAE982888:QAH982888 QKA982888:QKD982888 QTW982888:QTZ982888 RDS982888:RDV982888 RNO982888:RNR982888 RXK982888:RXN982888 SHG982888:SHJ982888 SRC982888:SRF982888 TAY982888:TBB982888 TKU982888:TKX982888 TUQ982888:TUT982888 UEM982888:UEP982888 UOI982888:UOL982888 UYE982888:UYH982888 VIA982888:VID982888 VRW982888:VRZ982888 WBS982888:WBV982888 WLO982888:WLR982888 WVK982888:WVN982888 Q65394 JM65394 TI65394 ADE65394 ANA65394 AWW65394 BGS65394 BQO65394 CAK65394 CKG65394 CUC65394 DDY65394 DNU65394 DXQ65394 EHM65394 ERI65394 FBE65394 FLA65394 FUW65394 GES65394 GOO65394 GYK65394 HIG65394 HSC65394 IBY65394 ILU65394 IVQ65394 JFM65394 JPI65394 JZE65394 KJA65394 KSW65394 LCS65394 LMO65394 LWK65394 MGG65394 MQC65394 MZY65394 NJU65394 NTQ65394 ODM65394 ONI65394 OXE65394 PHA65394 PQW65394 QAS65394 QKO65394 QUK65394 REG65394 ROC65394 RXY65394 SHU65394 SRQ65394 TBM65394 TLI65394 TVE65394 UFA65394 UOW65394 UYS65394 VIO65394 VSK65394 WCG65394 WMC65394 WVY65394 Q130930 JM130930 TI130930 ADE130930 ANA130930 AWW130930 BGS130930 BQO130930 CAK130930 CKG130930 CUC130930 DDY130930 DNU130930 DXQ130930 EHM130930 ERI130930 FBE130930 FLA130930 FUW130930 GES130930 GOO130930 GYK130930 HIG130930 HSC130930 IBY130930 ILU130930 IVQ130930 JFM130930 JPI130930 JZE130930 KJA130930 KSW130930 LCS130930 LMO130930 LWK130930 MGG130930 MQC130930 MZY130930 NJU130930 NTQ130930 ODM130930 ONI130930 OXE130930 PHA130930 PQW130930 QAS130930 QKO130930 QUK130930 REG130930 ROC130930 RXY130930 SHU130930 SRQ130930 TBM130930 TLI130930 TVE130930 UFA130930 UOW130930 UYS130930 VIO130930 VSK130930 WCG130930 WMC130930 WVY130930 Q196466 JM196466 TI196466 ADE196466 ANA196466 AWW196466 BGS196466 BQO196466 CAK196466 CKG196466 CUC196466 DDY196466 DNU196466 DXQ196466 EHM196466 ERI196466 FBE196466 FLA196466 FUW196466 GES196466 GOO196466 GYK196466 HIG196466 HSC196466 IBY196466 ILU196466 IVQ196466 JFM196466 JPI196466 JZE196466 KJA196466 KSW196466 LCS196466 LMO196466 LWK196466 MGG196466 MQC196466 MZY196466 NJU196466 NTQ196466 ODM196466 ONI196466 OXE196466 PHA196466 PQW196466 QAS196466 QKO196466 QUK196466 REG196466 ROC196466 RXY196466 SHU196466 SRQ196466 TBM196466 TLI196466 TVE196466 UFA196466 UOW196466 UYS196466 VIO196466 VSK196466 WCG196466 WMC196466 WVY196466 Q262002 JM262002 TI262002 ADE262002 ANA262002 AWW262002 BGS262002 BQO262002 CAK262002 CKG262002 CUC262002 DDY262002 DNU262002 DXQ262002 EHM262002 ERI262002 FBE262002 FLA262002 FUW262002 GES262002 GOO262002 GYK262002 HIG262002 HSC262002 IBY262002 ILU262002 IVQ262002 JFM262002 JPI262002 JZE262002 KJA262002 KSW262002 LCS262002 LMO262002 LWK262002 MGG262002 MQC262002 MZY262002 NJU262002 NTQ262002 ODM262002 ONI262002 OXE262002 PHA262002 PQW262002 QAS262002 QKO262002 QUK262002 REG262002 ROC262002 RXY262002 SHU262002 SRQ262002 TBM262002 TLI262002 TVE262002 UFA262002 UOW262002 UYS262002 VIO262002 VSK262002 WCG262002 WMC262002 WVY262002 Q327538 JM327538 TI327538 ADE327538 ANA327538 AWW327538 BGS327538 BQO327538 CAK327538 CKG327538 CUC327538 DDY327538 DNU327538 DXQ327538 EHM327538 ERI327538 FBE327538 FLA327538 FUW327538 GES327538 GOO327538 GYK327538 HIG327538 HSC327538 IBY327538 ILU327538 IVQ327538 JFM327538 JPI327538 JZE327538 KJA327538 KSW327538 LCS327538 LMO327538 LWK327538 MGG327538 MQC327538 MZY327538 NJU327538 NTQ327538 ODM327538 ONI327538 OXE327538 PHA327538 PQW327538 QAS327538 QKO327538 QUK327538 REG327538 ROC327538 RXY327538 SHU327538 SRQ327538 TBM327538 TLI327538 TVE327538 UFA327538 UOW327538 UYS327538 VIO327538 VSK327538 WCG327538 WMC327538 WVY327538 Q393074 JM393074 TI393074 ADE393074 ANA393074 AWW393074 BGS393074 BQO393074 CAK393074 CKG393074 CUC393074 DDY393074 DNU393074 DXQ393074 EHM393074 ERI393074 FBE393074 FLA393074 FUW393074 GES393074 GOO393074 GYK393074 HIG393074 HSC393074 IBY393074 ILU393074 IVQ393074 JFM393074 JPI393074 JZE393074 KJA393074 KSW393074 LCS393074 LMO393074 LWK393074 MGG393074 MQC393074 MZY393074 NJU393074 NTQ393074 ODM393074 ONI393074 OXE393074 PHA393074 PQW393074 QAS393074 QKO393074 QUK393074 REG393074 ROC393074 RXY393074 SHU393074 SRQ393074 TBM393074 TLI393074 TVE393074 UFA393074 UOW393074 UYS393074 VIO393074 VSK393074 WCG393074 WMC393074 WVY393074 Q458610 JM458610 TI458610 ADE458610 ANA458610 AWW458610 BGS458610 BQO458610 CAK458610 CKG458610 CUC458610 DDY458610 DNU458610 DXQ458610 EHM458610 ERI458610 FBE458610 FLA458610 FUW458610 GES458610 GOO458610 GYK458610 HIG458610 HSC458610 IBY458610 ILU458610 IVQ458610 JFM458610 JPI458610 JZE458610 KJA458610 KSW458610 LCS458610 LMO458610 LWK458610 MGG458610 MQC458610 MZY458610 NJU458610 NTQ458610 ODM458610 ONI458610 OXE458610 PHA458610 PQW458610 QAS458610 QKO458610 QUK458610 REG458610 ROC458610 RXY458610 SHU458610 SRQ458610 TBM458610 TLI458610 TVE458610 UFA458610 UOW458610 UYS458610 VIO458610 VSK458610 WCG458610 WMC458610 WVY458610 Q524146 JM524146 TI524146 ADE524146 ANA524146 AWW524146 BGS524146 BQO524146 CAK524146 CKG524146 CUC524146 DDY524146 DNU524146 DXQ524146 EHM524146 ERI524146 FBE524146 FLA524146 FUW524146 GES524146 GOO524146 GYK524146 HIG524146 HSC524146 IBY524146 ILU524146 IVQ524146 JFM524146 JPI524146 JZE524146 KJA524146 KSW524146 LCS524146 LMO524146 LWK524146 MGG524146 MQC524146 MZY524146 NJU524146 NTQ524146 ODM524146 ONI524146 OXE524146 PHA524146 PQW524146 QAS524146 QKO524146 QUK524146 REG524146 ROC524146 RXY524146 SHU524146 SRQ524146 TBM524146 TLI524146 TVE524146 UFA524146 UOW524146 UYS524146 VIO524146 VSK524146 WCG524146 WMC524146 WVY524146 Q589682 JM589682 TI589682 ADE589682 ANA589682 AWW589682 BGS589682 BQO589682 CAK589682 CKG589682 CUC589682 DDY589682 DNU589682 DXQ589682 EHM589682 ERI589682 FBE589682 FLA589682 FUW589682 GES589682 GOO589682 GYK589682 HIG589682 HSC589682 IBY589682 ILU589682 IVQ589682 JFM589682 JPI589682 JZE589682 KJA589682 KSW589682 LCS589682 LMO589682 LWK589682 MGG589682 MQC589682 MZY589682 NJU589682 NTQ589682 ODM589682 ONI589682 OXE589682 PHA589682 PQW589682 QAS589682 QKO589682 QUK589682 REG589682 ROC589682 RXY589682 SHU589682 SRQ589682 TBM589682 TLI589682 TVE589682 UFA589682 UOW589682 UYS589682 VIO589682 VSK589682 WCG589682 WMC589682 WVY589682 Q655218 JM655218 TI655218 ADE655218 ANA655218 AWW655218 BGS655218 BQO655218 CAK655218 CKG655218 CUC655218 DDY655218 DNU655218 DXQ655218 EHM655218 ERI655218 FBE655218 FLA655218 FUW655218 GES655218 GOO655218 GYK655218 HIG655218 HSC655218 IBY655218 ILU655218 IVQ655218 JFM655218 JPI655218 JZE655218 KJA655218 KSW655218 LCS655218 LMO655218 LWK655218 MGG655218 MQC655218 MZY655218 NJU655218 NTQ655218 ODM655218 ONI655218 OXE655218 PHA655218 PQW655218 QAS655218 QKO655218 QUK655218 REG655218 ROC655218 RXY655218 SHU655218 SRQ655218 TBM655218 TLI655218 TVE655218 UFA655218 UOW655218 UYS655218 VIO655218 VSK655218 WCG655218 WMC655218 WVY655218 Q720754 JM720754 TI720754 ADE720754 ANA720754 AWW720754 BGS720754 BQO720754 CAK720754 CKG720754 CUC720754 DDY720754 DNU720754 DXQ720754 EHM720754 ERI720754 FBE720754 FLA720754 FUW720754 GES720754 GOO720754 GYK720754 HIG720754 HSC720754 IBY720754 ILU720754 IVQ720754 JFM720754 JPI720754 JZE720754 KJA720754 KSW720754 LCS720754 LMO720754 LWK720754 MGG720754 MQC720754 MZY720754 NJU720754 NTQ720754 ODM720754 ONI720754 OXE720754 PHA720754 PQW720754 QAS720754 QKO720754 QUK720754 REG720754 ROC720754 RXY720754 SHU720754 SRQ720754 TBM720754 TLI720754 TVE720754 UFA720754 UOW720754 UYS720754 VIO720754 VSK720754 WCG720754 WMC720754 WVY720754 Q786290 JM786290 TI786290 ADE786290 ANA786290 AWW786290 BGS786290 BQO786290 CAK786290 CKG786290 CUC786290 DDY786290 DNU786290 DXQ786290 EHM786290 ERI786290 FBE786290 FLA786290 FUW786290 GES786290 GOO786290 GYK786290 HIG786290 HSC786290 IBY786290 ILU786290 IVQ786290 JFM786290 JPI786290 JZE786290 KJA786290 KSW786290 LCS786290 LMO786290 LWK786290 MGG786290 MQC786290 MZY786290 NJU786290 NTQ786290 ODM786290 ONI786290 OXE786290 PHA786290 PQW786290 QAS786290 QKO786290 QUK786290 REG786290 ROC786290 RXY786290 SHU786290 SRQ786290 TBM786290 TLI786290 TVE786290 UFA786290 UOW786290 UYS786290 VIO786290 VSK786290 WCG786290 WMC786290 WVY786290 Q851826 JM851826 TI851826 ADE851826 ANA851826 AWW851826 BGS851826 BQO851826 CAK851826 CKG851826 CUC851826 DDY851826 DNU851826 DXQ851826 EHM851826 ERI851826 FBE851826 FLA851826 FUW851826 GES851826 GOO851826 GYK851826 HIG851826 HSC851826 IBY851826 ILU851826 IVQ851826 JFM851826 JPI851826 JZE851826 KJA851826 KSW851826 LCS851826 LMO851826 LWK851826 MGG851826 MQC851826 MZY851826 NJU851826 NTQ851826 ODM851826 ONI851826 OXE851826 PHA851826 PQW851826 QAS851826 QKO851826 QUK851826 REG851826 ROC851826 RXY851826 SHU851826 SRQ851826 TBM851826 TLI851826 TVE851826 UFA851826 UOW851826 UYS851826 VIO851826 VSK851826 WCG851826 WMC851826 WVY851826 Q917362 JM917362 TI917362 ADE917362 ANA917362 AWW917362 BGS917362 BQO917362 CAK917362 CKG917362 CUC917362 DDY917362 DNU917362 DXQ917362 EHM917362 ERI917362 FBE917362 FLA917362 FUW917362 GES917362 GOO917362 GYK917362 HIG917362 HSC917362 IBY917362 ILU917362 IVQ917362 JFM917362 JPI917362 JZE917362 KJA917362 KSW917362 LCS917362 LMO917362 LWK917362 MGG917362 MQC917362 MZY917362 NJU917362 NTQ917362 ODM917362 ONI917362 OXE917362 PHA917362 PQW917362 QAS917362 QKO917362 QUK917362 REG917362 ROC917362 RXY917362 SHU917362 SRQ917362 TBM917362 TLI917362 TVE917362 UFA917362 UOW917362 UYS917362 VIO917362 VSK917362 WCG917362 WMC917362 WVY917362 Q982898 JM982898 TI982898 ADE982898 ANA982898 AWW982898 BGS982898 BQO982898 CAK982898 CKG982898 CUC982898 DDY982898 DNU982898 DXQ982898 EHM982898 ERI982898 FBE982898 FLA982898 FUW982898 GES982898 GOO982898 GYK982898 HIG982898 HSC982898 IBY982898 ILU982898 IVQ982898 JFM982898 JPI982898 JZE982898 KJA982898 KSW982898 LCS982898 LMO982898 LWK982898 MGG982898 MQC982898 MZY982898 NJU982898 NTQ982898 ODM982898 ONI982898 OXE982898 PHA982898 PQW982898 QAS982898 QKO982898 QUK982898 REG982898 ROC982898 RXY982898 SHU982898 SRQ982898 TBM982898 TLI982898 TVE982898 UFA982898 UOW982898 UYS982898 VIO982898 VSK982898 WCG982898 WMC982898 WVY982898 C65432:F65432 IY65432:JB65432 SU65432:SX65432 ACQ65432:ACT65432 AMM65432:AMP65432 AWI65432:AWL65432 BGE65432:BGH65432 BQA65432:BQD65432 BZW65432:BZZ65432 CJS65432:CJV65432 CTO65432:CTR65432 DDK65432:DDN65432 DNG65432:DNJ65432 DXC65432:DXF65432 EGY65432:EHB65432 EQU65432:EQX65432 FAQ65432:FAT65432 FKM65432:FKP65432 FUI65432:FUL65432 GEE65432:GEH65432 GOA65432:GOD65432 GXW65432:GXZ65432 HHS65432:HHV65432 HRO65432:HRR65432 IBK65432:IBN65432 ILG65432:ILJ65432 IVC65432:IVF65432 JEY65432:JFB65432 JOU65432:JOX65432 JYQ65432:JYT65432 KIM65432:KIP65432 KSI65432:KSL65432 LCE65432:LCH65432 LMA65432:LMD65432 LVW65432:LVZ65432 MFS65432:MFV65432 MPO65432:MPR65432 MZK65432:MZN65432 NJG65432:NJJ65432 NTC65432:NTF65432 OCY65432:ODB65432 OMU65432:OMX65432 OWQ65432:OWT65432 PGM65432:PGP65432 PQI65432:PQL65432 QAE65432:QAH65432 QKA65432:QKD65432 QTW65432:QTZ65432 RDS65432:RDV65432 RNO65432:RNR65432 RXK65432:RXN65432 SHG65432:SHJ65432 SRC65432:SRF65432 TAY65432:TBB65432 TKU65432:TKX65432 TUQ65432:TUT65432 UEM65432:UEP65432 UOI65432:UOL65432 UYE65432:UYH65432 VIA65432:VID65432 VRW65432:VRZ65432 WBS65432:WBV65432 WLO65432:WLR65432 WVK65432:WVN65432 C130968:F130968 IY130968:JB130968 SU130968:SX130968 ACQ130968:ACT130968 AMM130968:AMP130968 AWI130968:AWL130968 BGE130968:BGH130968 BQA130968:BQD130968 BZW130968:BZZ130968 CJS130968:CJV130968 CTO130968:CTR130968 DDK130968:DDN130968 DNG130968:DNJ130968 DXC130968:DXF130968 EGY130968:EHB130968 EQU130968:EQX130968 FAQ130968:FAT130968 FKM130968:FKP130968 FUI130968:FUL130968 GEE130968:GEH130968 GOA130968:GOD130968 GXW130968:GXZ130968 HHS130968:HHV130968 HRO130968:HRR130968 IBK130968:IBN130968 ILG130968:ILJ130968 IVC130968:IVF130968 JEY130968:JFB130968 JOU130968:JOX130968 JYQ130968:JYT130968 KIM130968:KIP130968 KSI130968:KSL130968 LCE130968:LCH130968 LMA130968:LMD130968 LVW130968:LVZ130968 MFS130968:MFV130968 MPO130968:MPR130968 MZK130968:MZN130968 NJG130968:NJJ130968 NTC130968:NTF130968 OCY130968:ODB130968 OMU130968:OMX130968 OWQ130968:OWT130968 PGM130968:PGP130968 PQI130968:PQL130968 QAE130968:QAH130968 QKA130968:QKD130968 QTW130968:QTZ130968 RDS130968:RDV130968 RNO130968:RNR130968 RXK130968:RXN130968 SHG130968:SHJ130968 SRC130968:SRF130968 TAY130968:TBB130968 TKU130968:TKX130968 TUQ130968:TUT130968 UEM130968:UEP130968 UOI130968:UOL130968 UYE130968:UYH130968 VIA130968:VID130968 VRW130968:VRZ130968 WBS130968:WBV130968 WLO130968:WLR130968 WVK130968:WVN130968 C196504:F196504 IY196504:JB196504 SU196504:SX196504 ACQ196504:ACT196504 AMM196504:AMP196504 AWI196504:AWL196504 BGE196504:BGH196504 BQA196504:BQD196504 BZW196504:BZZ196504 CJS196504:CJV196504 CTO196504:CTR196504 DDK196504:DDN196504 DNG196504:DNJ196504 DXC196504:DXF196504 EGY196504:EHB196504 EQU196504:EQX196504 FAQ196504:FAT196504 FKM196504:FKP196504 FUI196504:FUL196504 GEE196504:GEH196504 GOA196504:GOD196504 GXW196504:GXZ196504 HHS196504:HHV196504 HRO196504:HRR196504 IBK196504:IBN196504 ILG196504:ILJ196504 IVC196504:IVF196504 JEY196504:JFB196504 JOU196504:JOX196504 JYQ196504:JYT196504 KIM196504:KIP196504 KSI196504:KSL196504 LCE196504:LCH196504 LMA196504:LMD196504 LVW196504:LVZ196504 MFS196504:MFV196504 MPO196504:MPR196504 MZK196504:MZN196504 NJG196504:NJJ196504 NTC196504:NTF196504 OCY196504:ODB196504 OMU196504:OMX196504 OWQ196504:OWT196504 PGM196504:PGP196504 PQI196504:PQL196504 QAE196504:QAH196504 QKA196504:QKD196504 QTW196504:QTZ196504 RDS196504:RDV196504 RNO196504:RNR196504 RXK196504:RXN196504 SHG196504:SHJ196504 SRC196504:SRF196504 TAY196504:TBB196504 TKU196504:TKX196504 TUQ196504:TUT196504 UEM196504:UEP196504 UOI196504:UOL196504 UYE196504:UYH196504 VIA196504:VID196504 VRW196504:VRZ196504 WBS196504:WBV196504 WLO196504:WLR196504 WVK196504:WVN196504 C262040:F262040 IY262040:JB262040 SU262040:SX262040 ACQ262040:ACT262040 AMM262040:AMP262040 AWI262040:AWL262040 BGE262040:BGH262040 BQA262040:BQD262040 BZW262040:BZZ262040 CJS262040:CJV262040 CTO262040:CTR262040 DDK262040:DDN262040 DNG262040:DNJ262040 DXC262040:DXF262040 EGY262040:EHB262040 EQU262040:EQX262040 FAQ262040:FAT262040 FKM262040:FKP262040 FUI262040:FUL262040 GEE262040:GEH262040 GOA262040:GOD262040 GXW262040:GXZ262040 HHS262040:HHV262040 HRO262040:HRR262040 IBK262040:IBN262040 ILG262040:ILJ262040 IVC262040:IVF262040 JEY262040:JFB262040 JOU262040:JOX262040 JYQ262040:JYT262040 KIM262040:KIP262040 KSI262040:KSL262040 LCE262040:LCH262040 LMA262040:LMD262040 LVW262040:LVZ262040 MFS262040:MFV262040 MPO262040:MPR262040 MZK262040:MZN262040 NJG262040:NJJ262040 NTC262040:NTF262040 OCY262040:ODB262040 OMU262040:OMX262040 OWQ262040:OWT262040 PGM262040:PGP262040 PQI262040:PQL262040 QAE262040:QAH262040 QKA262040:QKD262040 QTW262040:QTZ262040 RDS262040:RDV262040 RNO262040:RNR262040 RXK262040:RXN262040 SHG262040:SHJ262040 SRC262040:SRF262040 TAY262040:TBB262040 TKU262040:TKX262040 TUQ262040:TUT262040 UEM262040:UEP262040 UOI262040:UOL262040 UYE262040:UYH262040 VIA262040:VID262040 VRW262040:VRZ262040 WBS262040:WBV262040 WLO262040:WLR262040 WVK262040:WVN262040 C327576:F327576 IY327576:JB327576 SU327576:SX327576 ACQ327576:ACT327576 AMM327576:AMP327576 AWI327576:AWL327576 BGE327576:BGH327576 BQA327576:BQD327576 BZW327576:BZZ327576 CJS327576:CJV327576 CTO327576:CTR327576 DDK327576:DDN327576 DNG327576:DNJ327576 DXC327576:DXF327576 EGY327576:EHB327576 EQU327576:EQX327576 FAQ327576:FAT327576 FKM327576:FKP327576 FUI327576:FUL327576 GEE327576:GEH327576 GOA327576:GOD327576 GXW327576:GXZ327576 HHS327576:HHV327576 HRO327576:HRR327576 IBK327576:IBN327576 ILG327576:ILJ327576 IVC327576:IVF327576 JEY327576:JFB327576 JOU327576:JOX327576 JYQ327576:JYT327576 KIM327576:KIP327576 KSI327576:KSL327576 LCE327576:LCH327576 LMA327576:LMD327576 LVW327576:LVZ327576 MFS327576:MFV327576 MPO327576:MPR327576 MZK327576:MZN327576 NJG327576:NJJ327576 NTC327576:NTF327576 OCY327576:ODB327576 OMU327576:OMX327576 OWQ327576:OWT327576 PGM327576:PGP327576 PQI327576:PQL327576 QAE327576:QAH327576 QKA327576:QKD327576 QTW327576:QTZ327576 RDS327576:RDV327576 RNO327576:RNR327576 RXK327576:RXN327576 SHG327576:SHJ327576 SRC327576:SRF327576 TAY327576:TBB327576 TKU327576:TKX327576 TUQ327576:TUT327576 UEM327576:UEP327576 UOI327576:UOL327576 UYE327576:UYH327576 VIA327576:VID327576 VRW327576:VRZ327576 WBS327576:WBV327576 WLO327576:WLR327576 WVK327576:WVN327576 C393112:F393112 IY393112:JB393112 SU393112:SX393112 ACQ393112:ACT393112 AMM393112:AMP393112 AWI393112:AWL393112 BGE393112:BGH393112 BQA393112:BQD393112 BZW393112:BZZ393112 CJS393112:CJV393112 CTO393112:CTR393112 DDK393112:DDN393112 DNG393112:DNJ393112 DXC393112:DXF393112 EGY393112:EHB393112 EQU393112:EQX393112 FAQ393112:FAT393112 FKM393112:FKP393112 FUI393112:FUL393112 GEE393112:GEH393112 GOA393112:GOD393112 GXW393112:GXZ393112 HHS393112:HHV393112 HRO393112:HRR393112 IBK393112:IBN393112 ILG393112:ILJ393112 IVC393112:IVF393112 JEY393112:JFB393112 JOU393112:JOX393112 JYQ393112:JYT393112 KIM393112:KIP393112 KSI393112:KSL393112 LCE393112:LCH393112 LMA393112:LMD393112 LVW393112:LVZ393112 MFS393112:MFV393112 MPO393112:MPR393112 MZK393112:MZN393112 NJG393112:NJJ393112 NTC393112:NTF393112 OCY393112:ODB393112 OMU393112:OMX393112 OWQ393112:OWT393112 PGM393112:PGP393112 PQI393112:PQL393112 QAE393112:QAH393112 QKA393112:QKD393112 QTW393112:QTZ393112 RDS393112:RDV393112 RNO393112:RNR393112 RXK393112:RXN393112 SHG393112:SHJ393112 SRC393112:SRF393112 TAY393112:TBB393112 TKU393112:TKX393112 TUQ393112:TUT393112 UEM393112:UEP393112 UOI393112:UOL393112 UYE393112:UYH393112 VIA393112:VID393112 VRW393112:VRZ393112 WBS393112:WBV393112 WLO393112:WLR393112 WVK393112:WVN393112 C458648:F458648 IY458648:JB458648 SU458648:SX458648 ACQ458648:ACT458648 AMM458648:AMP458648 AWI458648:AWL458648 BGE458648:BGH458648 BQA458648:BQD458648 BZW458648:BZZ458648 CJS458648:CJV458648 CTO458648:CTR458648 DDK458648:DDN458648 DNG458648:DNJ458648 DXC458648:DXF458648 EGY458648:EHB458648 EQU458648:EQX458648 FAQ458648:FAT458648 FKM458648:FKP458648 FUI458648:FUL458648 GEE458648:GEH458648 GOA458648:GOD458648 GXW458648:GXZ458648 HHS458648:HHV458648 HRO458648:HRR458648 IBK458648:IBN458648 ILG458648:ILJ458648 IVC458648:IVF458648 JEY458648:JFB458648 JOU458648:JOX458648 JYQ458648:JYT458648 KIM458648:KIP458648 KSI458648:KSL458648 LCE458648:LCH458648 LMA458648:LMD458648 LVW458648:LVZ458648 MFS458648:MFV458648 MPO458648:MPR458648 MZK458648:MZN458648 NJG458648:NJJ458648 NTC458648:NTF458648 OCY458648:ODB458648 OMU458648:OMX458648 OWQ458648:OWT458648 PGM458648:PGP458648 PQI458648:PQL458648 QAE458648:QAH458648 QKA458648:QKD458648 QTW458648:QTZ458648 RDS458648:RDV458648 RNO458648:RNR458648 RXK458648:RXN458648 SHG458648:SHJ458648 SRC458648:SRF458648 TAY458648:TBB458648 TKU458648:TKX458648 TUQ458648:TUT458648 UEM458648:UEP458648 UOI458648:UOL458648 UYE458648:UYH458648 VIA458648:VID458648 VRW458648:VRZ458648 WBS458648:WBV458648 WLO458648:WLR458648 WVK458648:WVN458648 C524184:F524184 IY524184:JB524184 SU524184:SX524184 ACQ524184:ACT524184 AMM524184:AMP524184 AWI524184:AWL524184 BGE524184:BGH524184 BQA524184:BQD524184 BZW524184:BZZ524184 CJS524184:CJV524184 CTO524184:CTR524184 DDK524184:DDN524184 DNG524184:DNJ524184 DXC524184:DXF524184 EGY524184:EHB524184 EQU524184:EQX524184 FAQ524184:FAT524184 FKM524184:FKP524184 FUI524184:FUL524184 GEE524184:GEH524184 GOA524184:GOD524184 GXW524184:GXZ524184 HHS524184:HHV524184 HRO524184:HRR524184 IBK524184:IBN524184 ILG524184:ILJ524184 IVC524184:IVF524184 JEY524184:JFB524184 JOU524184:JOX524184 JYQ524184:JYT524184 KIM524184:KIP524184 KSI524184:KSL524184 LCE524184:LCH524184 LMA524184:LMD524184 LVW524184:LVZ524184 MFS524184:MFV524184 MPO524184:MPR524184 MZK524184:MZN524184 NJG524184:NJJ524184 NTC524184:NTF524184 OCY524184:ODB524184 OMU524184:OMX524184 OWQ524184:OWT524184 PGM524184:PGP524184 PQI524184:PQL524184 QAE524184:QAH524184 QKA524184:QKD524184 QTW524184:QTZ524184 RDS524184:RDV524184 RNO524184:RNR524184 RXK524184:RXN524184 SHG524184:SHJ524184 SRC524184:SRF524184 TAY524184:TBB524184 TKU524184:TKX524184 TUQ524184:TUT524184 UEM524184:UEP524184 UOI524184:UOL524184 UYE524184:UYH524184 VIA524184:VID524184 VRW524184:VRZ524184 WBS524184:WBV524184 WLO524184:WLR524184 WVK524184:WVN524184 C589720:F589720 IY589720:JB589720 SU589720:SX589720 ACQ589720:ACT589720 AMM589720:AMP589720 AWI589720:AWL589720 BGE589720:BGH589720 BQA589720:BQD589720 BZW589720:BZZ589720 CJS589720:CJV589720 CTO589720:CTR589720 DDK589720:DDN589720 DNG589720:DNJ589720 DXC589720:DXF589720 EGY589720:EHB589720 EQU589720:EQX589720 FAQ589720:FAT589720 FKM589720:FKP589720 FUI589720:FUL589720 GEE589720:GEH589720 GOA589720:GOD589720 GXW589720:GXZ589720 HHS589720:HHV589720 HRO589720:HRR589720 IBK589720:IBN589720 ILG589720:ILJ589720 IVC589720:IVF589720 JEY589720:JFB589720 JOU589720:JOX589720 JYQ589720:JYT589720 KIM589720:KIP589720 KSI589720:KSL589720 LCE589720:LCH589720 LMA589720:LMD589720 LVW589720:LVZ589720 MFS589720:MFV589720 MPO589720:MPR589720 MZK589720:MZN589720 NJG589720:NJJ589720 NTC589720:NTF589720 OCY589720:ODB589720 OMU589720:OMX589720 OWQ589720:OWT589720 PGM589720:PGP589720 PQI589720:PQL589720 QAE589720:QAH589720 QKA589720:QKD589720 QTW589720:QTZ589720 RDS589720:RDV589720 RNO589720:RNR589720 RXK589720:RXN589720 SHG589720:SHJ589720 SRC589720:SRF589720 TAY589720:TBB589720 TKU589720:TKX589720 TUQ589720:TUT589720 UEM589720:UEP589720 UOI589720:UOL589720 UYE589720:UYH589720 VIA589720:VID589720 VRW589720:VRZ589720 WBS589720:WBV589720 WLO589720:WLR589720 WVK589720:WVN589720 C655256:F655256 IY655256:JB655256 SU655256:SX655256 ACQ655256:ACT655256 AMM655256:AMP655256 AWI655256:AWL655256 BGE655256:BGH655256 BQA655256:BQD655256 BZW655256:BZZ655256 CJS655256:CJV655256 CTO655256:CTR655256 DDK655256:DDN655256 DNG655256:DNJ655256 DXC655256:DXF655256 EGY655256:EHB655256 EQU655256:EQX655256 FAQ655256:FAT655256 FKM655256:FKP655256 FUI655256:FUL655256 GEE655256:GEH655256 GOA655256:GOD655256 GXW655256:GXZ655256 HHS655256:HHV655256 HRO655256:HRR655256 IBK655256:IBN655256 ILG655256:ILJ655256 IVC655256:IVF655256 JEY655256:JFB655256 JOU655256:JOX655256 JYQ655256:JYT655256 KIM655256:KIP655256 KSI655256:KSL655256 LCE655256:LCH655256 LMA655256:LMD655256 LVW655256:LVZ655256 MFS655256:MFV655256 MPO655256:MPR655256 MZK655256:MZN655256 NJG655256:NJJ655256 NTC655256:NTF655256 OCY655256:ODB655256 OMU655256:OMX655256 OWQ655256:OWT655256 PGM655256:PGP655256 PQI655256:PQL655256 QAE655256:QAH655256 QKA655256:QKD655256 QTW655256:QTZ655256 RDS655256:RDV655256 RNO655256:RNR655256 RXK655256:RXN655256 SHG655256:SHJ655256 SRC655256:SRF655256 TAY655256:TBB655256 TKU655256:TKX655256 TUQ655256:TUT655256 UEM655256:UEP655256 UOI655256:UOL655256 UYE655256:UYH655256 VIA655256:VID655256 VRW655256:VRZ655256 WBS655256:WBV655256 WLO655256:WLR655256 WVK655256:WVN655256 C720792:F720792 IY720792:JB720792 SU720792:SX720792 ACQ720792:ACT720792 AMM720792:AMP720792 AWI720792:AWL720792 BGE720792:BGH720792 BQA720792:BQD720792 BZW720792:BZZ720792 CJS720792:CJV720792 CTO720792:CTR720792 DDK720792:DDN720792 DNG720792:DNJ720792 DXC720792:DXF720792 EGY720792:EHB720792 EQU720792:EQX720792 FAQ720792:FAT720792 FKM720792:FKP720792 FUI720792:FUL720792 GEE720792:GEH720792 GOA720792:GOD720792 GXW720792:GXZ720792 HHS720792:HHV720792 HRO720792:HRR720792 IBK720792:IBN720792 ILG720792:ILJ720792 IVC720792:IVF720792 JEY720792:JFB720792 JOU720792:JOX720792 JYQ720792:JYT720792 KIM720792:KIP720792 KSI720792:KSL720792 LCE720792:LCH720792 LMA720792:LMD720792 LVW720792:LVZ720792 MFS720792:MFV720792 MPO720792:MPR720792 MZK720792:MZN720792 NJG720792:NJJ720792 NTC720792:NTF720792 OCY720792:ODB720792 OMU720792:OMX720792 OWQ720792:OWT720792 PGM720792:PGP720792 PQI720792:PQL720792 QAE720792:QAH720792 QKA720792:QKD720792 QTW720792:QTZ720792 RDS720792:RDV720792 RNO720792:RNR720792 RXK720792:RXN720792 SHG720792:SHJ720792 SRC720792:SRF720792 TAY720792:TBB720792 TKU720792:TKX720792 TUQ720792:TUT720792 UEM720792:UEP720792 UOI720792:UOL720792 UYE720792:UYH720792 VIA720792:VID720792 VRW720792:VRZ720792 WBS720792:WBV720792 WLO720792:WLR720792 WVK720792:WVN720792 C786328:F786328 IY786328:JB786328 SU786328:SX786328 ACQ786328:ACT786328 AMM786328:AMP786328 AWI786328:AWL786328 BGE786328:BGH786328 BQA786328:BQD786328 BZW786328:BZZ786328 CJS786328:CJV786328 CTO786328:CTR786328 DDK786328:DDN786328 DNG786328:DNJ786328 DXC786328:DXF786328 EGY786328:EHB786328 EQU786328:EQX786328 FAQ786328:FAT786328 FKM786328:FKP786328 FUI786328:FUL786328 GEE786328:GEH786328 GOA786328:GOD786328 GXW786328:GXZ786328 HHS786328:HHV786328 HRO786328:HRR786328 IBK786328:IBN786328 ILG786328:ILJ786328 IVC786328:IVF786328 JEY786328:JFB786328 JOU786328:JOX786328 JYQ786328:JYT786328 KIM786328:KIP786328 KSI786328:KSL786328 LCE786328:LCH786328 LMA786328:LMD786328 LVW786328:LVZ786328 MFS786328:MFV786328 MPO786328:MPR786328 MZK786328:MZN786328 NJG786328:NJJ786328 NTC786328:NTF786328 OCY786328:ODB786328 OMU786328:OMX786328 OWQ786328:OWT786328 PGM786328:PGP786328 PQI786328:PQL786328 QAE786328:QAH786328 QKA786328:QKD786328 QTW786328:QTZ786328 RDS786328:RDV786328 RNO786328:RNR786328 RXK786328:RXN786328 SHG786328:SHJ786328 SRC786328:SRF786328 TAY786328:TBB786328 TKU786328:TKX786328 TUQ786328:TUT786328 UEM786328:UEP786328 UOI786328:UOL786328 UYE786328:UYH786328 VIA786328:VID786328 VRW786328:VRZ786328 WBS786328:WBV786328 WLO786328:WLR786328 WVK786328:WVN786328 C851864:F851864 IY851864:JB851864 SU851864:SX851864 ACQ851864:ACT851864 AMM851864:AMP851864 AWI851864:AWL851864 BGE851864:BGH851864 BQA851864:BQD851864 BZW851864:BZZ851864 CJS851864:CJV851864 CTO851864:CTR851864 DDK851864:DDN851864 DNG851864:DNJ851864 DXC851864:DXF851864 EGY851864:EHB851864 EQU851864:EQX851864 FAQ851864:FAT851864 FKM851864:FKP851864 FUI851864:FUL851864 GEE851864:GEH851864 GOA851864:GOD851864 GXW851864:GXZ851864 HHS851864:HHV851864 HRO851864:HRR851864 IBK851864:IBN851864 ILG851864:ILJ851864 IVC851864:IVF851864 JEY851864:JFB851864 JOU851864:JOX851864 JYQ851864:JYT851864 KIM851864:KIP851864 KSI851864:KSL851864 LCE851864:LCH851864 LMA851864:LMD851864 LVW851864:LVZ851864 MFS851864:MFV851864 MPO851864:MPR851864 MZK851864:MZN851864 NJG851864:NJJ851864 NTC851864:NTF851864 OCY851864:ODB851864 OMU851864:OMX851864 OWQ851864:OWT851864 PGM851864:PGP851864 PQI851864:PQL851864 QAE851864:QAH851864 QKA851864:QKD851864 QTW851864:QTZ851864 RDS851864:RDV851864 RNO851864:RNR851864 RXK851864:RXN851864 SHG851864:SHJ851864 SRC851864:SRF851864 TAY851864:TBB851864 TKU851864:TKX851864 TUQ851864:TUT851864 UEM851864:UEP851864 UOI851864:UOL851864 UYE851864:UYH851864 VIA851864:VID851864 VRW851864:VRZ851864 WBS851864:WBV851864 WLO851864:WLR851864 WVK851864:WVN851864 C917400:F917400 IY917400:JB917400 SU917400:SX917400 ACQ917400:ACT917400 AMM917400:AMP917400 AWI917400:AWL917400 BGE917400:BGH917400 BQA917400:BQD917400 BZW917400:BZZ917400 CJS917400:CJV917400 CTO917400:CTR917400 DDK917400:DDN917400 DNG917400:DNJ917400 DXC917400:DXF917400 EGY917400:EHB917400 EQU917400:EQX917400 FAQ917400:FAT917400 FKM917400:FKP917400 FUI917400:FUL917400 GEE917400:GEH917400 GOA917400:GOD917400 GXW917400:GXZ917400 HHS917400:HHV917400 HRO917400:HRR917400 IBK917400:IBN917400 ILG917400:ILJ917400 IVC917400:IVF917400 JEY917400:JFB917400 JOU917400:JOX917400 JYQ917400:JYT917400 KIM917400:KIP917400 KSI917400:KSL917400 LCE917400:LCH917400 LMA917400:LMD917400 LVW917400:LVZ917400 MFS917400:MFV917400 MPO917400:MPR917400 MZK917400:MZN917400 NJG917400:NJJ917400 NTC917400:NTF917400 OCY917400:ODB917400 OMU917400:OMX917400 OWQ917400:OWT917400 PGM917400:PGP917400 PQI917400:PQL917400 QAE917400:QAH917400 QKA917400:QKD917400 QTW917400:QTZ917400 RDS917400:RDV917400 RNO917400:RNR917400 RXK917400:RXN917400 SHG917400:SHJ917400 SRC917400:SRF917400 TAY917400:TBB917400 TKU917400:TKX917400 TUQ917400:TUT917400 UEM917400:UEP917400 UOI917400:UOL917400 UYE917400:UYH917400 VIA917400:VID917400 VRW917400:VRZ917400 WBS917400:WBV917400 WLO917400:WLR917400 WVK917400:WVN917400 C982936:F982936 IY982936:JB982936 SU982936:SX982936 ACQ982936:ACT982936 AMM982936:AMP982936 AWI982936:AWL982936 BGE982936:BGH982936 BQA982936:BQD982936 BZW982936:BZZ982936 CJS982936:CJV982936 CTO982936:CTR982936 DDK982936:DDN982936 DNG982936:DNJ982936 DXC982936:DXF982936 EGY982936:EHB982936 EQU982936:EQX982936 FAQ982936:FAT982936 FKM982936:FKP982936 FUI982936:FUL982936 GEE982936:GEH982936 GOA982936:GOD982936 GXW982936:GXZ982936 HHS982936:HHV982936 HRO982936:HRR982936 IBK982936:IBN982936 ILG982936:ILJ982936 IVC982936:IVF982936 JEY982936:JFB982936 JOU982936:JOX982936 JYQ982936:JYT982936 KIM982936:KIP982936 KSI982936:KSL982936 LCE982936:LCH982936 LMA982936:LMD982936 LVW982936:LVZ982936 MFS982936:MFV982936 MPO982936:MPR982936 MZK982936:MZN982936 NJG982936:NJJ982936 NTC982936:NTF982936 OCY982936:ODB982936 OMU982936:OMX982936 OWQ982936:OWT982936 PGM982936:PGP982936 PQI982936:PQL982936 QAE982936:QAH982936 QKA982936:QKD982936 QTW982936:QTZ982936 RDS982936:RDV982936 RNO982936:RNR982936 RXK982936:RXN982936 SHG982936:SHJ982936 SRC982936:SRF982936 TAY982936:TBB982936 TKU982936:TKX982936 TUQ982936:TUT982936 UEM982936:UEP982936 UOI982936:UOL982936 UYE982936:UYH982936 VIA982936:VID982936 VRW982936:VRZ982936 WBS982936:WBV982936 WLO982936:WLR982936 WVK982936:WVN982936 C65434:F65434 IY65434:JB65434 SU65434:SX65434 ACQ65434:ACT65434 AMM65434:AMP65434 AWI65434:AWL65434 BGE65434:BGH65434 BQA65434:BQD65434 BZW65434:BZZ65434 CJS65434:CJV65434 CTO65434:CTR65434 DDK65434:DDN65434 DNG65434:DNJ65434 DXC65434:DXF65434 EGY65434:EHB65434 EQU65434:EQX65434 FAQ65434:FAT65434 FKM65434:FKP65434 FUI65434:FUL65434 GEE65434:GEH65434 GOA65434:GOD65434 GXW65434:GXZ65434 HHS65434:HHV65434 HRO65434:HRR65434 IBK65434:IBN65434 ILG65434:ILJ65434 IVC65434:IVF65434 JEY65434:JFB65434 JOU65434:JOX65434 JYQ65434:JYT65434 KIM65434:KIP65434 KSI65434:KSL65434 LCE65434:LCH65434 LMA65434:LMD65434 LVW65434:LVZ65434 MFS65434:MFV65434 MPO65434:MPR65434 MZK65434:MZN65434 NJG65434:NJJ65434 NTC65434:NTF65434 OCY65434:ODB65434 OMU65434:OMX65434 OWQ65434:OWT65434 PGM65434:PGP65434 PQI65434:PQL65434 QAE65434:QAH65434 QKA65434:QKD65434 QTW65434:QTZ65434 RDS65434:RDV65434 RNO65434:RNR65434 RXK65434:RXN65434 SHG65434:SHJ65434 SRC65434:SRF65434 TAY65434:TBB65434 TKU65434:TKX65434 TUQ65434:TUT65434 UEM65434:UEP65434 UOI65434:UOL65434 UYE65434:UYH65434 VIA65434:VID65434 VRW65434:VRZ65434 WBS65434:WBV65434 WLO65434:WLR65434 WVK65434:WVN65434 C130970:F130970 IY130970:JB130970 SU130970:SX130970 ACQ130970:ACT130970 AMM130970:AMP130970 AWI130970:AWL130970 BGE130970:BGH130970 BQA130970:BQD130970 BZW130970:BZZ130970 CJS130970:CJV130970 CTO130970:CTR130970 DDK130970:DDN130970 DNG130970:DNJ130970 DXC130970:DXF130970 EGY130970:EHB130970 EQU130970:EQX130970 FAQ130970:FAT130970 FKM130970:FKP130970 FUI130970:FUL130970 GEE130970:GEH130970 GOA130970:GOD130970 GXW130970:GXZ130970 HHS130970:HHV130970 HRO130970:HRR130970 IBK130970:IBN130970 ILG130970:ILJ130970 IVC130970:IVF130970 JEY130970:JFB130970 JOU130970:JOX130970 JYQ130970:JYT130970 KIM130970:KIP130970 KSI130970:KSL130970 LCE130970:LCH130970 LMA130970:LMD130970 LVW130970:LVZ130970 MFS130970:MFV130970 MPO130970:MPR130970 MZK130970:MZN130970 NJG130970:NJJ130970 NTC130970:NTF130970 OCY130970:ODB130970 OMU130970:OMX130970 OWQ130970:OWT130970 PGM130970:PGP130970 PQI130970:PQL130970 QAE130970:QAH130970 QKA130970:QKD130970 QTW130970:QTZ130970 RDS130970:RDV130970 RNO130970:RNR130970 RXK130970:RXN130970 SHG130970:SHJ130970 SRC130970:SRF130970 TAY130970:TBB130970 TKU130970:TKX130970 TUQ130970:TUT130970 UEM130970:UEP130970 UOI130970:UOL130970 UYE130970:UYH130970 VIA130970:VID130970 VRW130970:VRZ130970 WBS130970:WBV130970 WLO130970:WLR130970 WVK130970:WVN130970 C196506:F196506 IY196506:JB196506 SU196506:SX196506 ACQ196506:ACT196506 AMM196506:AMP196506 AWI196506:AWL196506 BGE196506:BGH196506 BQA196506:BQD196506 BZW196506:BZZ196506 CJS196506:CJV196506 CTO196506:CTR196506 DDK196506:DDN196506 DNG196506:DNJ196506 DXC196506:DXF196506 EGY196506:EHB196506 EQU196506:EQX196506 FAQ196506:FAT196506 FKM196506:FKP196506 FUI196506:FUL196506 GEE196506:GEH196506 GOA196506:GOD196506 GXW196506:GXZ196506 HHS196506:HHV196506 HRO196506:HRR196506 IBK196506:IBN196506 ILG196506:ILJ196506 IVC196506:IVF196506 JEY196506:JFB196506 JOU196506:JOX196506 JYQ196506:JYT196506 KIM196506:KIP196506 KSI196506:KSL196506 LCE196506:LCH196506 LMA196506:LMD196506 LVW196506:LVZ196506 MFS196506:MFV196506 MPO196506:MPR196506 MZK196506:MZN196506 NJG196506:NJJ196506 NTC196506:NTF196506 OCY196506:ODB196506 OMU196506:OMX196506 OWQ196506:OWT196506 PGM196506:PGP196506 PQI196506:PQL196506 QAE196506:QAH196506 QKA196506:QKD196506 QTW196506:QTZ196506 RDS196506:RDV196506 RNO196506:RNR196506 RXK196506:RXN196506 SHG196506:SHJ196506 SRC196506:SRF196506 TAY196506:TBB196506 TKU196506:TKX196506 TUQ196506:TUT196506 UEM196506:UEP196506 UOI196506:UOL196506 UYE196506:UYH196506 VIA196506:VID196506 VRW196506:VRZ196506 WBS196506:WBV196506 WLO196506:WLR196506 WVK196506:WVN196506 C262042:F262042 IY262042:JB262042 SU262042:SX262042 ACQ262042:ACT262042 AMM262042:AMP262042 AWI262042:AWL262042 BGE262042:BGH262042 BQA262042:BQD262042 BZW262042:BZZ262042 CJS262042:CJV262042 CTO262042:CTR262042 DDK262042:DDN262042 DNG262042:DNJ262042 DXC262042:DXF262042 EGY262042:EHB262042 EQU262042:EQX262042 FAQ262042:FAT262042 FKM262042:FKP262042 FUI262042:FUL262042 GEE262042:GEH262042 GOA262042:GOD262042 GXW262042:GXZ262042 HHS262042:HHV262042 HRO262042:HRR262042 IBK262042:IBN262042 ILG262042:ILJ262042 IVC262042:IVF262042 JEY262042:JFB262042 JOU262042:JOX262042 JYQ262042:JYT262042 KIM262042:KIP262042 KSI262042:KSL262042 LCE262042:LCH262042 LMA262042:LMD262042 LVW262042:LVZ262042 MFS262042:MFV262042 MPO262042:MPR262042 MZK262042:MZN262042 NJG262042:NJJ262042 NTC262042:NTF262042 OCY262042:ODB262042 OMU262042:OMX262042 OWQ262042:OWT262042 PGM262042:PGP262042 PQI262042:PQL262042 QAE262042:QAH262042 QKA262042:QKD262042 QTW262042:QTZ262042 RDS262042:RDV262042 RNO262042:RNR262042 RXK262042:RXN262042 SHG262042:SHJ262042 SRC262042:SRF262042 TAY262042:TBB262042 TKU262042:TKX262042 TUQ262042:TUT262042 UEM262042:UEP262042 UOI262042:UOL262042 UYE262042:UYH262042 VIA262042:VID262042 VRW262042:VRZ262042 WBS262042:WBV262042 WLO262042:WLR262042 WVK262042:WVN262042 C327578:F327578 IY327578:JB327578 SU327578:SX327578 ACQ327578:ACT327578 AMM327578:AMP327578 AWI327578:AWL327578 BGE327578:BGH327578 BQA327578:BQD327578 BZW327578:BZZ327578 CJS327578:CJV327578 CTO327578:CTR327578 DDK327578:DDN327578 DNG327578:DNJ327578 DXC327578:DXF327578 EGY327578:EHB327578 EQU327578:EQX327578 FAQ327578:FAT327578 FKM327578:FKP327578 FUI327578:FUL327578 GEE327578:GEH327578 GOA327578:GOD327578 GXW327578:GXZ327578 HHS327578:HHV327578 HRO327578:HRR327578 IBK327578:IBN327578 ILG327578:ILJ327578 IVC327578:IVF327578 JEY327578:JFB327578 JOU327578:JOX327578 JYQ327578:JYT327578 KIM327578:KIP327578 KSI327578:KSL327578 LCE327578:LCH327578 LMA327578:LMD327578 LVW327578:LVZ327578 MFS327578:MFV327578 MPO327578:MPR327578 MZK327578:MZN327578 NJG327578:NJJ327578 NTC327578:NTF327578 OCY327578:ODB327578 OMU327578:OMX327578 OWQ327578:OWT327578 PGM327578:PGP327578 PQI327578:PQL327578 QAE327578:QAH327578 QKA327578:QKD327578 QTW327578:QTZ327578 RDS327578:RDV327578 RNO327578:RNR327578 RXK327578:RXN327578 SHG327578:SHJ327578 SRC327578:SRF327578 TAY327578:TBB327578 TKU327578:TKX327578 TUQ327578:TUT327578 UEM327578:UEP327578 UOI327578:UOL327578 UYE327578:UYH327578 VIA327578:VID327578 VRW327578:VRZ327578 WBS327578:WBV327578 WLO327578:WLR327578 WVK327578:WVN327578 C393114:F393114 IY393114:JB393114 SU393114:SX393114 ACQ393114:ACT393114 AMM393114:AMP393114 AWI393114:AWL393114 BGE393114:BGH393114 BQA393114:BQD393114 BZW393114:BZZ393114 CJS393114:CJV393114 CTO393114:CTR393114 DDK393114:DDN393114 DNG393114:DNJ393114 DXC393114:DXF393114 EGY393114:EHB393114 EQU393114:EQX393114 FAQ393114:FAT393114 FKM393114:FKP393114 FUI393114:FUL393114 GEE393114:GEH393114 GOA393114:GOD393114 GXW393114:GXZ393114 HHS393114:HHV393114 HRO393114:HRR393114 IBK393114:IBN393114 ILG393114:ILJ393114 IVC393114:IVF393114 JEY393114:JFB393114 JOU393114:JOX393114 JYQ393114:JYT393114 KIM393114:KIP393114 KSI393114:KSL393114 LCE393114:LCH393114 LMA393114:LMD393114 LVW393114:LVZ393114 MFS393114:MFV393114 MPO393114:MPR393114 MZK393114:MZN393114 NJG393114:NJJ393114 NTC393114:NTF393114 OCY393114:ODB393114 OMU393114:OMX393114 OWQ393114:OWT393114 PGM393114:PGP393114 PQI393114:PQL393114 QAE393114:QAH393114 QKA393114:QKD393114 QTW393114:QTZ393114 RDS393114:RDV393114 RNO393114:RNR393114 RXK393114:RXN393114 SHG393114:SHJ393114 SRC393114:SRF393114 TAY393114:TBB393114 TKU393114:TKX393114 TUQ393114:TUT393114 UEM393114:UEP393114 UOI393114:UOL393114 UYE393114:UYH393114 VIA393114:VID393114 VRW393114:VRZ393114 WBS393114:WBV393114 WLO393114:WLR393114 WVK393114:WVN393114 C458650:F458650 IY458650:JB458650 SU458650:SX458650 ACQ458650:ACT458650 AMM458650:AMP458650 AWI458650:AWL458650 BGE458650:BGH458650 BQA458650:BQD458650 BZW458650:BZZ458650 CJS458650:CJV458650 CTO458650:CTR458650 DDK458650:DDN458650 DNG458650:DNJ458650 DXC458650:DXF458650 EGY458650:EHB458650 EQU458650:EQX458650 FAQ458650:FAT458650 FKM458650:FKP458650 FUI458650:FUL458650 GEE458650:GEH458650 GOA458650:GOD458650 GXW458650:GXZ458650 HHS458650:HHV458650 HRO458650:HRR458650 IBK458650:IBN458650 ILG458650:ILJ458650 IVC458650:IVF458650 JEY458650:JFB458650 JOU458650:JOX458650 JYQ458650:JYT458650 KIM458650:KIP458650 KSI458650:KSL458650 LCE458650:LCH458650 LMA458650:LMD458650 LVW458650:LVZ458650 MFS458650:MFV458650 MPO458650:MPR458650 MZK458650:MZN458650 NJG458650:NJJ458650 NTC458650:NTF458650 OCY458650:ODB458650 OMU458650:OMX458650 OWQ458650:OWT458650 PGM458650:PGP458650 PQI458650:PQL458650 QAE458650:QAH458650 QKA458650:QKD458650 QTW458650:QTZ458650 RDS458650:RDV458650 RNO458650:RNR458650 RXK458650:RXN458650 SHG458650:SHJ458650 SRC458650:SRF458650 TAY458650:TBB458650 TKU458650:TKX458650 TUQ458650:TUT458650 UEM458650:UEP458650 UOI458650:UOL458650 UYE458650:UYH458650 VIA458650:VID458650 VRW458650:VRZ458650 WBS458650:WBV458650 WLO458650:WLR458650 WVK458650:WVN458650 C524186:F524186 IY524186:JB524186 SU524186:SX524186 ACQ524186:ACT524186 AMM524186:AMP524186 AWI524186:AWL524186 BGE524186:BGH524186 BQA524186:BQD524186 BZW524186:BZZ524186 CJS524186:CJV524186 CTO524186:CTR524186 DDK524186:DDN524186 DNG524186:DNJ524186 DXC524186:DXF524186 EGY524186:EHB524186 EQU524186:EQX524186 FAQ524186:FAT524186 FKM524186:FKP524186 FUI524186:FUL524186 GEE524186:GEH524186 GOA524186:GOD524186 GXW524186:GXZ524186 HHS524186:HHV524186 HRO524186:HRR524186 IBK524186:IBN524186 ILG524186:ILJ524186 IVC524186:IVF524186 JEY524186:JFB524186 JOU524186:JOX524186 JYQ524186:JYT524186 KIM524186:KIP524186 KSI524186:KSL524186 LCE524186:LCH524186 LMA524186:LMD524186 LVW524186:LVZ524186 MFS524186:MFV524186 MPO524186:MPR524186 MZK524186:MZN524186 NJG524186:NJJ524186 NTC524186:NTF524186 OCY524186:ODB524186 OMU524186:OMX524186 OWQ524186:OWT524186 PGM524186:PGP524186 PQI524186:PQL524186 QAE524186:QAH524186 QKA524186:QKD524186 QTW524186:QTZ524186 RDS524186:RDV524186 RNO524186:RNR524186 RXK524186:RXN524186 SHG524186:SHJ524186 SRC524186:SRF524186 TAY524186:TBB524186 TKU524186:TKX524186 TUQ524186:TUT524186 UEM524186:UEP524186 UOI524186:UOL524186 UYE524186:UYH524186 VIA524186:VID524186 VRW524186:VRZ524186 WBS524186:WBV524186 WLO524186:WLR524186 WVK524186:WVN524186 C589722:F589722 IY589722:JB589722 SU589722:SX589722 ACQ589722:ACT589722 AMM589722:AMP589722 AWI589722:AWL589722 BGE589722:BGH589722 BQA589722:BQD589722 BZW589722:BZZ589722 CJS589722:CJV589722 CTO589722:CTR589722 DDK589722:DDN589722 DNG589722:DNJ589722 DXC589722:DXF589722 EGY589722:EHB589722 EQU589722:EQX589722 FAQ589722:FAT589722 FKM589722:FKP589722 FUI589722:FUL589722 GEE589722:GEH589722 GOA589722:GOD589722 GXW589722:GXZ589722 HHS589722:HHV589722 HRO589722:HRR589722 IBK589722:IBN589722 ILG589722:ILJ589722 IVC589722:IVF589722 JEY589722:JFB589722 JOU589722:JOX589722 JYQ589722:JYT589722 KIM589722:KIP589722 KSI589722:KSL589722 LCE589722:LCH589722 LMA589722:LMD589722 LVW589722:LVZ589722 MFS589722:MFV589722 MPO589722:MPR589722 MZK589722:MZN589722 NJG589722:NJJ589722 NTC589722:NTF589722 OCY589722:ODB589722 OMU589722:OMX589722 OWQ589722:OWT589722 PGM589722:PGP589722 PQI589722:PQL589722 QAE589722:QAH589722 QKA589722:QKD589722 QTW589722:QTZ589722 RDS589722:RDV589722 RNO589722:RNR589722 RXK589722:RXN589722 SHG589722:SHJ589722 SRC589722:SRF589722 TAY589722:TBB589722 TKU589722:TKX589722 TUQ589722:TUT589722 UEM589722:UEP589722 UOI589722:UOL589722 UYE589722:UYH589722 VIA589722:VID589722 VRW589722:VRZ589722 WBS589722:WBV589722 WLO589722:WLR589722 WVK589722:WVN589722 C655258:F655258 IY655258:JB655258 SU655258:SX655258 ACQ655258:ACT655258 AMM655258:AMP655258 AWI655258:AWL655258 BGE655258:BGH655258 BQA655258:BQD655258 BZW655258:BZZ655258 CJS655258:CJV655258 CTO655258:CTR655258 DDK655258:DDN655258 DNG655258:DNJ655258 DXC655258:DXF655258 EGY655258:EHB655258 EQU655258:EQX655258 FAQ655258:FAT655258 FKM655258:FKP655258 FUI655258:FUL655258 GEE655258:GEH655258 GOA655258:GOD655258 GXW655258:GXZ655258 HHS655258:HHV655258 HRO655258:HRR655258 IBK655258:IBN655258 ILG655258:ILJ655258 IVC655258:IVF655258 JEY655258:JFB655258 JOU655258:JOX655258 JYQ655258:JYT655258 KIM655258:KIP655258 KSI655258:KSL655258 LCE655258:LCH655258 LMA655258:LMD655258 LVW655258:LVZ655258 MFS655258:MFV655258 MPO655258:MPR655258 MZK655258:MZN655258 NJG655258:NJJ655258 NTC655258:NTF655258 OCY655258:ODB655258 OMU655258:OMX655258 OWQ655258:OWT655258 PGM655258:PGP655258 PQI655258:PQL655258 QAE655258:QAH655258 QKA655258:QKD655258 QTW655258:QTZ655258 RDS655258:RDV655258 RNO655258:RNR655258 RXK655258:RXN655258 SHG655258:SHJ655258 SRC655258:SRF655258 TAY655258:TBB655258 TKU655258:TKX655258 TUQ655258:TUT655258 UEM655258:UEP655258 UOI655258:UOL655258 UYE655258:UYH655258 VIA655258:VID655258 VRW655258:VRZ655258 WBS655258:WBV655258 WLO655258:WLR655258 WVK655258:WVN655258 C720794:F720794 IY720794:JB720794 SU720794:SX720794 ACQ720794:ACT720794 AMM720794:AMP720794 AWI720794:AWL720794 BGE720794:BGH720794 BQA720794:BQD720794 BZW720794:BZZ720794 CJS720794:CJV720794 CTO720794:CTR720794 DDK720794:DDN720794 DNG720794:DNJ720794 DXC720794:DXF720794 EGY720794:EHB720794 EQU720794:EQX720794 FAQ720794:FAT720794 FKM720794:FKP720794 FUI720794:FUL720794 GEE720794:GEH720794 GOA720794:GOD720794 GXW720794:GXZ720794 HHS720794:HHV720794 HRO720794:HRR720794 IBK720794:IBN720794 ILG720794:ILJ720794 IVC720794:IVF720794 JEY720794:JFB720794 JOU720794:JOX720794 JYQ720794:JYT720794 KIM720794:KIP720794 KSI720794:KSL720794 LCE720794:LCH720794 LMA720794:LMD720794 LVW720794:LVZ720794 MFS720794:MFV720794 MPO720794:MPR720794 MZK720794:MZN720794 NJG720794:NJJ720794 NTC720794:NTF720794 OCY720794:ODB720794 OMU720794:OMX720794 OWQ720794:OWT720794 PGM720794:PGP720794 PQI720794:PQL720794 QAE720794:QAH720794 QKA720794:QKD720794 QTW720794:QTZ720794 RDS720794:RDV720794 RNO720794:RNR720794 RXK720794:RXN720794 SHG720794:SHJ720794 SRC720794:SRF720794 TAY720794:TBB720794 TKU720794:TKX720794 TUQ720794:TUT720794 UEM720794:UEP720794 UOI720794:UOL720794 UYE720794:UYH720794 VIA720794:VID720794 VRW720794:VRZ720794 WBS720794:WBV720794 WLO720794:WLR720794 WVK720794:WVN720794 C786330:F786330 IY786330:JB786330 SU786330:SX786330 ACQ786330:ACT786330 AMM786330:AMP786330 AWI786330:AWL786330 BGE786330:BGH786330 BQA786330:BQD786330 BZW786330:BZZ786330 CJS786330:CJV786330 CTO786330:CTR786330 DDK786330:DDN786330 DNG786330:DNJ786330 DXC786330:DXF786330 EGY786330:EHB786330 EQU786330:EQX786330 FAQ786330:FAT786330 FKM786330:FKP786330 FUI786330:FUL786330 GEE786330:GEH786330 GOA786330:GOD786330 GXW786330:GXZ786330 HHS786330:HHV786330 HRO786330:HRR786330 IBK786330:IBN786330 ILG786330:ILJ786330 IVC786330:IVF786330 JEY786330:JFB786330 JOU786330:JOX786330 JYQ786330:JYT786330 KIM786330:KIP786330 KSI786330:KSL786330 LCE786330:LCH786330 LMA786330:LMD786330 LVW786330:LVZ786330 MFS786330:MFV786330 MPO786330:MPR786330 MZK786330:MZN786330 NJG786330:NJJ786330 NTC786330:NTF786330 OCY786330:ODB786330 OMU786330:OMX786330 OWQ786330:OWT786330 PGM786330:PGP786330 PQI786330:PQL786330 QAE786330:QAH786330 QKA786330:QKD786330 QTW786330:QTZ786330 RDS786330:RDV786330 RNO786330:RNR786330 RXK786330:RXN786330 SHG786330:SHJ786330 SRC786330:SRF786330 TAY786330:TBB786330 TKU786330:TKX786330 TUQ786330:TUT786330 UEM786330:UEP786330 UOI786330:UOL786330 UYE786330:UYH786330 VIA786330:VID786330 VRW786330:VRZ786330 WBS786330:WBV786330 WLO786330:WLR786330 WVK786330:WVN786330 C851866:F851866 IY851866:JB851866 SU851866:SX851866 ACQ851866:ACT851866 AMM851866:AMP851866 AWI851866:AWL851866 BGE851866:BGH851866 BQA851866:BQD851866 BZW851866:BZZ851866 CJS851866:CJV851866 CTO851866:CTR851866 DDK851866:DDN851866 DNG851866:DNJ851866 DXC851866:DXF851866 EGY851866:EHB851866 EQU851866:EQX851866 FAQ851866:FAT851866 FKM851866:FKP851866 FUI851866:FUL851866 GEE851866:GEH851866 GOA851866:GOD851866 GXW851866:GXZ851866 HHS851866:HHV851866 HRO851866:HRR851866 IBK851866:IBN851866 ILG851866:ILJ851866 IVC851866:IVF851866 JEY851866:JFB851866 JOU851866:JOX851866 JYQ851866:JYT851866 KIM851866:KIP851866 KSI851866:KSL851866 LCE851866:LCH851866 LMA851866:LMD851866 LVW851866:LVZ851866 MFS851866:MFV851866 MPO851866:MPR851866 MZK851866:MZN851866 NJG851866:NJJ851866 NTC851866:NTF851866 OCY851866:ODB851866 OMU851866:OMX851866 OWQ851866:OWT851866 PGM851866:PGP851866 PQI851866:PQL851866 QAE851866:QAH851866 QKA851866:QKD851866 QTW851866:QTZ851866 RDS851866:RDV851866 RNO851866:RNR851866 RXK851866:RXN851866 SHG851866:SHJ851866 SRC851866:SRF851866 TAY851866:TBB851866 TKU851866:TKX851866 TUQ851866:TUT851866 UEM851866:UEP851866 UOI851866:UOL851866 UYE851866:UYH851866 VIA851866:VID851866 VRW851866:VRZ851866 WBS851866:WBV851866 WLO851866:WLR851866 WVK851866:WVN851866 C917402:F917402 IY917402:JB917402 SU917402:SX917402 ACQ917402:ACT917402 AMM917402:AMP917402 AWI917402:AWL917402 BGE917402:BGH917402 BQA917402:BQD917402 BZW917402:BZZ917402 CJS917402:CJV917402 CTO917402:CTR917402 DDK917402:DDN917402 DNG917402:DNJ917402 DXC917402:DXF917402 EGY917402:EHB917402 EQU917402:EQX917402 FAQ917402:FAT917402 FKM917402:FKP917402 FUI917402:FUL917402 GEE917402:GEH917402 GOA917402:GOD917402 GXW917402:GXZ917402 HHS917402:HHV917402 HRO917402:HRR917402 IBK917402:IBN917402 ILG917402:ILJ917402 IVC917402:IVF917402 JEY917402:JFB917402 JOU917402:JOX917402 JYQ917402:JYT917402 KIM917402:KIP917402 KSI917402:KSL917402 LCE917402:LCH917402 LMA917402:LMD917402 LVW917402:LVZ917402 MFS917402:MFV917402 MPO917402:MPR917402 MZK917402:MZN917402 NJG917402:NJJ917402 NTC917402:NTF917402 OCY917402:ODB917402 OMU917402:OMX917402 OWQ917402:OWT917402 PGM917402:PGP917402 PQI917402:PQL917402 QAE917402:QAH917402 QKA917402:QKD917402 QTW917402:QTZ917402 RDS917402:RDV917402 RNO917402:RNR917402 RXK917402:RXN917402 SHG917402:SHJ917402 SRC917402:SRF917402 TAY917402:TBB917402 TKU917402:TKX917402 TUQ917402:TUT917402 UEM917402:UEP917402 UOI917402:UOL917402 UYE917402:UYH917402 VIA917402:VID917402 VRW917402:VRZ917402 WBS917402:WBV917402 WLO917402:WLR917402 WVK917402:WVN917402 C982938:F982938 IY982938:JB982938 SU982938:SX982938 ACQ982938:ACT982938 AMM982938:AMP982938 AWI982938:AWL982938 BGE982938:BGH982938 BQA982938:BQD982938 BZW982938:BZZ982938 CJS982938:CJV982938 CTO982938:CTR982938 DDK982938:DDN982938 DNG982938:DNJ982938 DXC982938:DXF982938 EGY982938:EHB982938 EQU982938:EQX982938 FAQ982938:FAT982938 FKM982938:FKP982938 FUI982938:FUL982938 GEE982938:GEH982938 GOA982938:GOD982938 GXW982938:GXZ982938 HHS982938:HHV982938 HRO982938:HRR982938 IBK982938:IBN982938 ILG982938:ILJ982938 IVC982938:IVF982938 JEY982938:JFB982938 JOU982938:JOX982938 JYQ982938:JYT982938 KIM982938:KIP982938 KSI982938:KSL982938 LCE982938:LCH982938 LMA982938:LMD982938 LVW982938:LVZ982938 MFS982938:MFV982938 MPO982938:MPR982938 MZK982938:MZN982938 NJG982938:NJJ982938 NTC982938:NTF982938 OCY982938:ODB982938 OMU982938:OMX982938 OWQ982938:OWT982938 PGM982938:PGP982938 PQI982938:PQL982938 QAE982938:QAH982938 QKA982938:QKD982938 QTW982938:QTZ982938 RDS982938:RDV982938 RNO982938:RNR982938 RXK982938:RXN982938 SHG982938:SHJ982938 SRC982938:SRF982938 TAY982938:TBB982938 TKU982938:TKX982938 TUQ982938:TUT982938 UEM982938:UEP982938 UOI982938:UOL982938 UYE982938:UYH982938 VIA982938:VID982938 VRW982938:VRZ982938 WBS982938:WBV982938 WLO982938:WLR982938 WVK982938:WVN982938 Q65443 JM65443 TI65443 ADE65443 ANA65443 AWW65443 BGS65443 BQO65443 CAK65443 CKG65443 CUC65443 DDY65443 DNU65443 DXQ65443 EHM65443 ERI65443 FBE65443 FLA65443 FUW65443 GES65443 GOO65443 GYK65443 HIG65443 HSC65443 IBY65443 ILU65443 IVQ65443 JFM65443 JPI65443 JZE65443 KJA65443 KSW65443 LCS65443 LMO65443 LWK65443 MGG65443 MQC65443 MZY65443 NJU65443 NTQ65443 ODM65443 ONI65443 OXE65443 PHA65443 PQW65443 QAS65443 QKO65443 QUK65443 REG65443 ROC65443 RXY65443 SHU65443 SRQ65443 TBM65443 TLI65443 TVE65443 UFA65443 UOW65443 UYS65443 VIO65443 VSK65443 WCG65443 WMC65443 WVY65443 Q130979 JM130979 TI130979 ADE130979 ANA130979 AWW130979 BGS130979 BQO130979 CAK130979 CKG130979 CUC130979 DDY130979 DNU130979 DXQ130979 EHM130979 ERI130979 FBE130979 FLA130979 FUW130979 GES130979 GOO130979 GYK130979 HIG130979 HSC130979 IBY130979 ILU130979 IVQ130979 JFM130979 JPI130979 JZE130979 KJA130979 KSW130979 LCS130979 LMO130979 LWK130979 MGG130979 MQC130979 MZY130979 NJU130979 NTQ130979 ODM130979 ONI130979 OXE130979 PHA130979 PQW130979 QAS130979 QKO130979 QUK130979 REG130979 ROC130979 RXY130979 SHU130979 SRQ130979 TBM130979 TLI130979 TVE130979 UFA130979 UOW130979 UYS130979 VIO130979 VSK130979 WCG130979 WMC130979 WVY130979 Q196515 JM196515 TI196515 ADE196515 ANA196515 AWW196515 BGS196515 BQO196515 CAK196515 CKG196515 CUC196515 DDY196515 DNU196515 DXQ196515 EHM196515 ERI196515 FBE196515 FLA196515 FUW196515 GES196515 GOO196515 GYK196515 HIG196515 HSC196515 IBY196515 ILU196515 IVQ196515 JFM196515 JPI196515 JZE196515 KJA196515 KSW196515 LCS196515 LMO196515 LWK196515 MGG196515 MQC196515 MZY196515 NJU196515 NTQ196515 ODM196515 ONI196515 OXE196515 PHA196515 PQW196515 QAS196515 QKO196515 QUK196515 REG196515 ROC196515 RXY196515 SHU196515 SRQ196515 TBM196515 TLI196515 TVE196515 UFA196515 UOW196515 UYS196515 VIO196515 VSK196515 WCG196515 WMC196515 WVY196515 Q262051 JM262051 TI262051 ADE262051 ANA262051 AWW262051 BGS262051 BQO262051 CAK262051 CKG262051 CUC262051 DDY262051 DNU262051 DXQ262051 EHM262051 ERI262051 FBE262051 FLA262051 FUW262051 GES262051 GOO262051 GYK262051 HIG262051 HSC262051 IBY262051 ILU262051 IVQ262051 JFM262051 JPI262051 JZE262051 KJA262051 KSW262051 LCS262051 LMO262051 LWK262051 MGG262051 MQC262051 MZY262051 NJU262051 NTQ262051 ODM262051 ONI262051 OXE262051 PHA262051 PQW262051 QAS262051 QKO262051 QUK262051 REG262051 ROC262051 RXY262051 SHU262051 SRQ262051 TBM262051 TLI262051 TVE262051 UFA262051 UOW262051 UYS262051 VIO262051 VSK262051 WCG262051 WMC262051 WVY262051 Q327587 JM327587 TI327587 ADE327587 ANA327587 AWW327587 BGS327587 BQO327587 CAK327587 CKG327587 CUC327587 DDY327587 DNU327587 DXQ327587 EHM327587 ERI327587 FBE327587 FLA327587 FUW327587 GES327587 GOO327587 GYK327587 HIG327587 HSC327587 IBY327587 ILU327587 IVQ327587 JFM327587 JPI327587 JZE327587 KJA327587 KSW327587 LCS327587 LMO327587 LWK327587 MGG327587 MQC327587 MZY327587 NJU327587 NTQ327587 ODM327587 ONI327587 OXE327587 PHA327587 PQW327587 QAS327587 QKO327587 QUK327587 REG327587 ROC327587 RXY327587 SHU327587 SRQ327587 TBM327587 TLI327587 TVE327587 UFA327587 UOW327587 UYS327587 VIO327587 VSK327587 WCG327587 WMC327587 WVY327587 Q393123 JM393123 TI393123 ADE393123 ANA393123 AWW393123 BGS393123 BQO393123 CAK393123 CKG393123 CUC393123 DDY393123 DNU393123 DXQ393123 EHM393123 ERI393123 FBE393123 FLA393123 FUW393123 GES393123 GOO393123 GYK393123 HIG393123 HSC393123 IBY393123 ILU393123 IVQ393123 JFM393123 JPI393123 JZE393123 KJA393123 KSW393123 LCS393123 LMO393123 LWK393123 MGG393123 MQC393123 MZY393123 NJU393123 NTQ393123 ODM393123 ONI393123 OXE393123 PHA393123 PQW393123 QAS393123 QKO393123 QUK393123 REG393123 ROC393123 RXY393123 SHU393123 SRQ393123 TBM393123 TLI393123 TVE393123 UFA393123 UOW393123 UYS393123 VIO393123 VSK393123 WCG393123 WMC393123 WVY393123 Q458659 JM458659 TI458659 ADE458659 ANA458659 AWW458659 BGS458659 BQO458659 CAK458659 CKG458659 CUC458659 DDY458659 DNU458659 DXQ458659 EHM458659 ERI458659 FBE458659 FLA458659 FUW458659 GES458659 GOO458659 GYK458659 HIG458659 HSC458659 IBY458659 ILU458659 IVQ458659 JFM458659 JPI458659 JZE458659 KJA458659 KSW458659 LCS458659 LMO458659 LWK458659 MGG458659 MQC458659 MZY458659 NJU458659 NTQ458659 ODM458659 ONI458659 OXE458659 PHA458659 PQW458659 QAS458659 QKO458659 QUK458659 REG458659 ROC458659 RXY458659 SHU458659 SRQ458659 TBM458659 TLI458659 TVE458659 UFA458659 UOW458659 UYS458659 VIO458659 VSK458659 WCG458659 WMC458659 WVY458659 Q524195 JM524195 TI524195 ADE524195 ANA524195 AWW524195 BGS524195 BQO524195 CAK524195 CKG524195 CUC524195 DDY524195 DNU524195 DXQ524195 EHM524195 ERI524195 FBE524195 FLA524195 FUW524195 GES524195 GOO524195 GYK524195 HIG524195 HSC524195 IBY524195 ILU524195 IVQ524195 JFM524195 JPI524195 JZE524195 KJA524195 KSW524195 LCS524195 LMO524195 LWK524195 MGG524195 MQC524195 MZY524195 NJU524195 NTQ524195 ODM524195 ONI524195 OXE524195 PHA524195 PQW524195 QAS524195 QKO524195 QUK524195 REG524195 ROC524195 RXY524195 SHU524195 SRQ524195 TBM524195 TLI524195 TVE524195 UFA524195 UOW524195 UYS524195 VIO524195 VSK524195 WCG524195 WMC524195 WVY524195 Q589731 JM589731 TI589731 ADE589731 ANA589731 AWW589731 BGS589731 BQO589731 CAK589731 CKG589731 CUC589731 DDY589731 DNU589731 DXQ589731 EHM589731 ERI589731 FBE589731 FLA589731 FUW589731 GES589731 GOO589731 GYK589731 HIG589731 HSC589731 IBY589731 ILU589731 IVQ589731 JFM589731 JPI589731 JZE589731 KJA589731 KSW589731 LCS589731 LMO589731 LWK589731 MGG589731 MQC589731 MZY589731 NJU589731 NTQ589731 ODM589731 ONI589731 OXE589731 PHA589731 PQW589731 QAS589731 QKO589731 QUK589731 REG589731 ROC589731 RXY589731 SHU589731 SRQ589731 TBM589731 TLI589731 TVE589731 UFA589731 UOW589731 UYS589731 VIO589731 VSK589731 WCG589731 WMC589731 WVY589731 Q655267 JM655267 TI655267 ADE655267 ANA655267 AWW655267 BGS655267 BQO655267 CAK655267 CKG655267 CUC655267 DDY655267 DNU655267 DXQ655267 EHM655267 ERI655267 FBE655267 FLA655267 FUW655267 GES655267 GOO655267 GYK655267 HIG655267 HSC655267 IBY655267 ILU655267 IVQ655267 JFM655267 JPI655267 JZE655267 KJA655267 KSW655267 LCS655267 LMO655267 LWK655267 MGG655267 MQC655267 MZY655267 NJU655267 NTQ655267 ODM655267 ONI655267 OXE655267 PHA655267 PQW655267 QAS655267 QKO655267 QUK655267 REG655267 ROC655267 RXY655267 SHU655267 SRQ655267 TBM655267 TLI655267 TVE655267 UFA655267 UOW655267 UYS655267 VIO655267 VSK655267 WCG655267 WMC655267 WVY655267 Q720803 JM720803 TI720803 ADE720803 ANA720803 AWW720803 BGS720803 BQO720803 CAK720803 CKG720803 CUC720803 DDY720803 DNU720803 DXQ720803 EHM720803 ERI720803 FBE720803 FLA720803 FUW720803 GES720803 GOO720803 GYK720803 HIG720803 HSC720803 IBY720803 ILU720803 IVQ720803 JFM720803 JPI720803 JZE720803 KJA720803 KSW720803 LCS720803 LMO720803 LWK720803 MGG720803 MQC720803 MZY720803 NJU720803 NTQ720803 ODM720803 ONI720803 OXE720803 PHA720803 PQW720803 QAS720803 QKO720803 QUK720803 REG720803 ROC720803 RXY720803 SHU720803 SRQ720803 TBM720803 TLI720803 TVE720803 UFA720803 UOW720803 UYS720803 VIO720803 VSK720803 WCG720803 WMC720803 WVY720803 Q786339 JM786339 TI786339 ADE786339 ANA786339 AWW786339 BGS786339 BQO786339 CAK786339 CKG786339 CUC786339 DDY786339 DNU786339 DXQ786339 EHM786339 ERI786339 FBE786339 FLA786339 FUW786339 GES786339 GOO786339 GYK786339 HIG786339 HSC786339 IBY786339 ILU786339 IVQ786339 JFM786339 JPI786339 JZE786339 KJA786339 KSW786339 LCS786339 LMO786339 LWK786339 MGG786339 MQC786339 MZY786339 NJU786339 NTQ786339 ODM786339 ONI786339 OXE786339 PHA786339 PQW786339 QAS786339 QKO786339 QUK786339 REG786339 ROC786339 RXY786339 SHU786339 SRQ786339 TBM786339 TLI786339 TVE786339 UFA786339 UOW786339 UYS786339 VIO786339 VSK786339 WCG786339 WMC786339 WVY786339 Q851875 JM851875 TI851875 ADE851875 ANA851875 AWW851875 BGS851875 BQO851875 CAK851875 CKG851875 CUC851875 DDY851875 DNU851875 DXQ851875 EHM851875 ERI851875 FBE851875 FLA851875 FUW851875 GES851875 GOO851875 GYK851875 HIG851875 HSC851875 IBY851875 ILU851875 IVQ851875 JFM851875 JPI851875 JZE851875 KJA851875 KSW851875 LCS851875 LMO851875 LWK851875 MGG851875 MQC851875 MZY851875 NJU851875 NTQ851875 ODM851875 ONI851875 OXE851875 PHA851875 PQW851875 QAS851875 QKO851875 QUK851875 REG851875 ROC851875 RXY851875 SHU851875 SRQ851875 TBM851875 TLI851875 TVE851875 UFA851875 UOW851875 UYS851875 VIO851875 VSK851875 WCG851875 WMC851875 WVY851875 Q917411 JM917411 TI917411 ADE917411 ANA917411 AWW917411 BGS917411 BQO917411 CAK917411 CKG917411 CUC917411 DDY917411 DNU917411 DXQ917411 EHM917411 ERI917411 FBE917411 FLA917411 FUW917411 GES917411 GOO917411 GYK917411 HIG917411 HSC917411 IBY917411 ILU917411 IVQ917411 JFM917411 JPI917411 JZE917411 KJA917411 KSW917411 LCS917411 LMO917411 LWK917411 MGG917411 MQC917411 MZY917411 NJU917411 NTQ917411 ODM917411 ONI917411 OXE917411 PHA917411 PQW917411 QAS917411 QKO917411 QUK917411 REG917411 ROC917411 RXY917411 SHU917411 SRQ917411 TBM917411 TLI917411 TVE917411 UFA917411 UOW917411 UYS917411 VIO917411 VSK917411 WCG917411 WMC917411 WVY917411 Q982947 JM982947 TI982947 ADE982947 ANA982947 AWW982947 BGS982947 BQO982947 CAK982947 CKG982947 CUC982947 DDY982947 DNU982947 DXQ982947 EHM982947 ERI982947 FBE982947 FLA982947 FUW982947 GES982947 GOO982947 GYK982947 HIG982947 HSC982947 IBY982947 ILU982947 IVQ982947 JFM982947 JPI982947 JZE982947 KJA982947 KSW982947 LCS982947 LMO982947 LWK982947 MGG982947 MQC982947 MZY982947 NJU982947 NTQ982947 ODM982947 ONI982947 OXE982947 PHA982947 PQW982947 QAS982947 QKO982947 QUK982947 REG982947 ROC982947 RXY982947 SHU982947 SRQ982947 TBM982947 TLI982947 TVE982947 UFA982947 UOW982947 UYS982947 VIO982947 VSK982947 WCG982947 WMC982947 WVY982947 C65481:F65481 IY65481:JB65481 SU65481:SX65481 ACQ65481:ACT65481 AMM65481:AMP65481 AWI65481:AWL65481 BGE65481:BGH65481 BQA65481:BQD65481 BZW65481:BZZ65481 CJS65481:CJV65481 CTO65481:CTR65481 DDK65481:DDN65481 DNG65481:DNJ65481 DXC65481:DXF65481 EGY65481:EHB65481 EQU65481:EQX65481 FAQ65481:FAT65481 FKM65481:FKP65481 FUI65481:FUL65481 GEE65481:GEH65481 GOA65481:GOD65481 GXW65481:GXZ65481 HHS65481:HHV65481 HRO65481:HRR65481 IBK65481:IBN65481 ILG65481:ILJ65481 IVC65481:IVF65481 JEY65481:JFB65481 JOU65481:JOX65481 JYQ65481:JYT65481 KIM65481:KIP65481 KSI65481:KSL65481 LCE65481:LCH65481 LMA65481:LMD65481 LVW65481:LVZ65481 MFS65481:MFV65481 MPO65481:MPR65481 MZK65481:MZN65481 NJG65481:NJJ65481 NTC65481:NTF65481 OCY65481:ODB65481 OMU65481:OMX65481 OWQ65481:OWT65481 PGM65481:PGP65481 PQI65481:PQL65481 QAE65481:QAH65481 QKA65481:QKD65481 QTW65481:QTZ65481 RDS65481:RDV65481 RNO65481:RNR65481 RXK65481:RXN65481 SHG65481:SHJ65481 SRC65481:SRF65481 TAY65481:TBB65481 TKU65481:TKX65481 TUQ65481:TUT65481 UEM65481:UEP65481 UOI65481:UOL65481 UYE65481:UYH65481 VIA65481:VID65481 VRW65481:VRZ65481 WBS65481:WBV65481 WLO65481:WLR65481 WVK65481:WVN65481 C131017:F131017 IY131017:JB131017 SU131017:SX131017 ACQ131017:ACT131017 AMM131017:AMP131017 AWI131017:AWL131017 BGE131017:BGH131017 BQA131017:BQD131017 BZW131017:BZZ131017 CJS131017:CJV131017 CTO131017:CTR131017 DDK131017:DDN131017 DNG131017:DNJ131017 DXC131017:DXF131017 EGY131017:EHB131017 EQU131017:EQX131017 FAQ131017:FAT131017 FKM131017:FKP131017 FUI131017:FUL131017 GEE131017:GEH131017 GOA131017:GOD131017 GXW131017:GXZ131017 HHS131017:HHV131017 HRO131017:HRR131017 IBK131017:IBN131017 ILG131017:ILJ131017 IVC131017:IVF131017 JEY131017:JFB131017 JOU131017:JOX131017 JYQ131017:JYT131017 KIM131017:KIP131017 KSI131017:KSL131017 LCE131017:LCH131017 LMA131017:LMD131017 LVW131017:LVZ131017 MFS131017:MFV131017 MPO131017:MPR131017 MZK131017:MZN131017 NJG131017:NJJ131017 NTC131017:NTF131017 OCY131017:ODB131017 OMU131017:OMX131017 OWQ131017:OWT131017 PGM131017:PGP131017 PQI131017:PQL131017 QAE131017:QAH131017 QKA131017:QKD131017 QTW131017:QTZ131017 RDS131017:RDV131017 RNO131017:RNR131017 RXK131017:RXN131017 SHG131017:SHJ131017 SRC131017:SRF131017 TAY131017:TBB131017 TKU131017:TKX131017 TUQ131017:TUT131017 UEM131017:UEP131017 UOI131017:UOL131017 UYE131017:UYH131017 VIA131017:VID131017 VRW131017:VRZ131017 WBS131017:WBV131017 WLO131017:WLR131017 WVK131017:WVN131017 C196553:F196553 IY196553:JB196553 SU196553:SX196553 ACQ196553:ACT196553 AMM196553:AMP196553 AWI196553:AWL196553 BGE196553:BGH196553 BQA196553:BQD196553 BZW196553:BZZ196553 CJS196553:CJV196553 CTO196553:CTR196553 DDK196553:DDN196553 DNG196553:DNJ196553 DXC196553:DXF196553 EGY196553:EHB196553 EQU196553:EQX196553 FAQ196553:FAT196553 FKM196553:FKP196553 FUI196553:FUL196553 GEE196553:GEH196553 GOA196553:GOD196553 GXW196553:GXZ196553 HHS196553:HHV196553 HRO196553:HRR196553 IBK196553:IBN196553 ILG196553:ILJ196553 IVC196553:IVF196553 JEY196553:JFB196553 JOU196553:JOX196553 JYQ196553:JYT196553 KIM196553:KIP196553 KSI196553:KSL196553 LCE196553:LCH196553 LMA196553:LMD196553 LVW196553:LVZ196553 MFS196553:MFV196553 MPO196553:MPR196553 MZK196553:MZN196553 NJG196553:NJJ196553 NTC196553:NTF196553 OCY196553:ODB196553 OMU196553:OMX196553 OWQ196553:OWT196553 PGM196553:PGP196553 PQI196553:PQL196553 QAE196553:QAH196553 QKA196553:QKD196553 QTW196553:QTZ196553 RDS196553:RDV196553 RNO196553:RNR196553 RXK196553:RXN196553 SHG196553:SHJ196553 SRC196553:SRF196553 TAY196553:TBB196553 TKU196553:TKX196553 TUQ196553:TUT196553 UEM196553:UEP196553 UOI196553:UOL196553 UYE196553:UYH196553 VIA196553:VID196553 VRW196553:VRZ196553 WBS196553:WBV196553 WLO196553:WLR196553 WVK196553:WVN196553 C262089:F262089 IY262089:JB262089 SU262089:SX262089 ACQ262089:ACT262089 AMM262089:AMP262089 AWI262089:AWL262089 BGE262089:BGH262089 BQA262089:BQD262089 BZW262089:BZZ262089 CJS262089:CJV262089 CTO262089:CTR262089 DDK262089:DDN262089 DNG262089:DNJ262089 DXC262089:DXF262089 EGY262089:EHB262089 EQU262089:EQX262089 FAQ262089:FAT262089 FKM262089:FKP262089 FUI262089:FUL262089 GEE262089:GEH262089 GOA262089:GOD262089 GXW262089:GXZ262089 HHS262089:HHV262089 HRO262089:HRR262089 IBK262089:IBN262089 ILG262089:ILJ262089 IVC262089:IVF262089 JEY262089:JFB262089 JOU262089:JOX262089 JYQ262089:JYT262089 KIM262089:KIP262089 KSI262089:KSL262089 LCE262089:LCH262089 LMA262089:LMD262089 LVW262089:LVZ262089 MFS262089:MFV262089 MPO262089:MPR262089 MZK262089:MZN262089 NJG262089:NJJ262089 NTC262089:NTF262089 OCY262089:ODB262089 OMU262089:OMX262089 OWQ262089:OWT262089 PGM262089:PGP262089 PQI262089:PQL262089 QAE262089:QAH262089 QKA262089:QKD262089 QTW262089:QTZ262089 RDS262089:RDV262089 RNO262089:RNR262089 RXK262089:RXN262089 SHG262089:SHJ262089 SRC262089:SRF262089 TAY262089:TBB262089 TKU262089:TKX262089 TUQ262089:TUT262089 UEM262089:UEP262089 UOI262089:UOL262089 UYE262089:UYH262089 VIA262089:VID262089 VRW262089:VRZ262089 WBS262089:WBV262089 WLO262089:WLR262089 WVK262089:WVN262089 C327625:F327625 IY327625:JB327625 SU327625:SX327625 ACQ327625:ACT327625 AMM327625:AMP327625 AWI327625:AWL327625 BGE327625:BGH327625 BQA327625:BQD327625 BZW327625:BZZ327625 CJS327625:CJV327625 CTO327625:CTR327625 DDK327625:DDN327625 DNG327625:DNJ327625 DXC327625:DXF327625 EGY327625:EHB327625 EQU327625:EQX327625 FAQ327625:FAT327625 FKM327625:FKP327625 FUI327625:FUL327625 GEE327625:GEH327625 GOA327625:GOD327625 GXW327625:GXZ327625 HHS327625:HHV327625 HRO327625:HRR327625 IBK327625:IBN327625 ILG327625:ILJ327625 IVC327625:IVF327625 JEY327625:JFB327625 JOU327625:JOX327625 JYQ327625:JYT327625 KIM327625:KIP327625 KSI327625:KSL327625 LCE327625:LCH327625 LMA327625:LMD327625 LVW327625:LVZ327625 MFS327625:MFV327625 MPO327625:MPR327625 MZK327625:MZN327625 NJG327625:NJJ327625 NTC327625:NTF327625 OCY327625:ODB327625 OMU327625:OMX327625 OWQ327625:OWT327625 PGM327625:PGP327625 PQI327625:PQL327625 QAE327625:QAH327625 QKA327625:QKD327625 QTW327625:QTZ327625 RDS327625:RDV327625 RNO327625:RNR327625 RXK327625:RXN327625 SHG327625:SHJ327625 SRC327625:SRF327625 TAY327625:TBB327625 TKU327625:TKX327625 TUQ327625:TUT327625 UEM327625:UEP327625 UOI327625:UOL327625 UYE327625:UYH327625 VIA327625:VID327625 VRW327625:VRZ327625 WBS327625:WBV327625 WLO327625:WLR327625 WVK327625:WVN327625 C393161:F393161 IY393161:JB393161 SU393161:SX393161 ACQ393161:ACT393161 AMM393161:AMP393161 AWI393161:AWL393161 BGE393161:BGH393161 BQA393161:BQD393161 BZW393161:BZZ393161 CJS393161:CJV393161 CTO393161:CTR393161 DDK393161:DDN393161 DNG393161:DNJ393161 DXC393161:DXF393161 EGY393161:EHB393161 EQU393161:EQX393161 FAQ393161:FAT393161 FKM393161:FKP393161 FUI393161:FUL393161 GEE393161:GEH393161 GOA393161:GOD393161 GXW393161:GXZ393161 HHS393161:HHV393161 HRO393161:HRR393161 IBK393161:IBN393161 ILG393161:ILJ393161 IVC393161:IVF393161 JEY393161:JFB393161 JOU393161:JOX393161 JYQ393161:JYT393161 KIM393161:KIP393161 KSI393161:KSL393161 LCE393161:LCH393161 LMA393161:LMD393161 LVW393161:LVZ393161 MFS393161:MFV393161 MPO393161:MPR393161 MZK393161:MZN393161 NJG393161:NJJ393161 NTC393161:NTF393161 OCY393161:ODB393161 OMU393161:OMX393161 OWQ393161:OWT393161 PGM393161:PGP393161 PQI393161:PQL393161 QAE393161:QAH393161 QKA393161:QKD393161 QTW393161:QTZ393161 RDS393161:RDV393161 RNO393161:RNR393161 RXK393161:RXN393161 SHG393161:SHJ393161 SRC393161:SRF393161 TAY393161:TBB393161 TKU393161:TKX393161 TUQ393161:TUT393161 UEM393161:UEP393161 UOI393161:UOL393161 UYE393161:UYH393161 VIA393161:VID393161 VRW393161:VRZ393161 WBS393161:WBV393161 WLO393161:WLR393161 WVK393161:WVN393161 C458697:F458697 IY458697:JB458697 SU458697:SX458697 ACQ458697:ACT458697 AMM458697:AMP458697 AWI458697:AWL458697 BGE458697:BGH458697 BQA458697:BQD458697 BZW458697:BZZ458697 CJS458697:CJV458697 CTO458697:CTR458697 DDK458697:DDN458697 DNG458697:DNJ458697 DXC458697:DXF458697 EGY458697:EHB458697 EQU458697:EQX458697 FAQ458697:FAT458697 FKM458697:FKP458697 FUI458697:FUL458697 GEE458697:GEH458697 GOA458697:GOD458697 GXW458697:GXZ458697 HHS458697:HHV458697 HRO458697:HRR458697 IBK458697:IBN458697 ILG458697:ILJ458697 IVC458697:IVF458697 JEY458697:JFB458697 JOU458697:JOX458697 JYQ458697:JYT458697 KIM458697:KIP458697 KSI458697:KSL458697 LCE458697:LCH458697 LMA458697:LMD458697 LVW458697:LVZ458697 MFS458697:MFV458697 MPO458697:MPR458697 MZK458697:MZN458697 NJG458697:NJJ458697 NTC458697:NTF458697 OCY458697:ODB458697 OMU458697:OMX458697 OWQ458697:OWT458697 PGM458697:PGP458697 PQI458697:PQL458697 QAE458697:QAH458697 QKA458697:QKD458697 QTW458697:QTZ458697 RDS458697:RDV458697 RNO458697:RNR458697 RXK458697:RXN458697 SHG458697:SHJ458697 SRC458697:SRF458697 TAY458697:TBB458697 TKU458697:TKX458697 TUQ458697:TUT458697 UEM458697:UEP458697 UOI458697:UOL458697 UYE458697:UYH458697 VIA458697:VID458697 VRW458697:VRZ458697 WBS458697:WBV458697 WLO458697:WLR458697 WVK458697:WVN458697 C524233:F524233 IY524233:JB524233 SU524233:SX524233 ACQ524233:ACT524233 AMM524233:AMP524233 AWI524233:AWL524233 BGE524233:BGH524233 BQA524233:BQD524233 BZW524233:BZZ524233 CJS524233:CJV524233 CTO524233:CTR524233 DDK524233:DDN524233 DNG524233:DNJ524233 DXC524233:DXF524233 EGY524233:EHB524233 EQU524233:EQX524233 FAQ524233:FAT524233 FKM524233:FKP524233 FUI524233:FUL524233 GEE524233:GEH524233 GOA524233:GOD524233 GXW524233:GXZ524233 HHS524233:HHV524233 HRO524233:HRR524233 IBK524233:IBN524233 ILG524233:ILJ524233 IVC524233:IVF524233 JEY524233:JFB524233 JOU524233:JOX524233 JYQ524233:JYT524233 KIM524233:KIP524233 KSI524233:KSL524233 LCE524233:LCH524233 LMA524233:LMD524233 LVW524233:LVZ524233 MFS524233:MFV524233 MPO524233:MPR524233 MZK524233:MZN524233 NJG524233:NJJ524233 NTC524233:NTF524233 OCY524233:ODB524233 OMU524233:OMX524233 OWQ524233:OWT524233 PGM524233:PGP524233 PQI524233:PQL524233 QAE524233:QAH524233 QKA524233:QKD524233 QTW524233:QTZ524233 RDS524233:RDV524233 RNO524233:RNR524233 RXK524233:RXN524233 SHG524233:SHJ524233 SRC524233:SRF524233 TAY524233:TBB524233 TKU524233:TKX524233 TUQ524233:TUT524233 UEM524233:UEP524233 UOI524233:UOL524233 UYE524233:UYH524233 VIA524233:VID524233 VRW524233:VRZ524233 WBS524233:WBV524233 WLO524233:WLR524233 WVK524233:WVN524233 C589769:F589769 IY589769:JB589769 SU589769:SX589769 ACQ589769:ACT589769 AMM589769:AMP589769 AWI589769:AWL589769 BGE589769:BGH589769 BQA589769:BQD589769 BZW589769:BZZ589769 CJS589769:CJV589769 CTO589769:CTR589769 DDK589769:DDN589769 DNG589769:DNJ589769 DXC589769:DXF589769 EGY589769:EHB589769 EQU589769:EQX589769 FAQ589769:FAT589769 FKM589769:FKP589769 FUI589769:FUL589769 GEE589769:GEH589769 GOA589769:GOD589769 GXW589769:GXZ589769 HHS589769:HHV589769 HRO589769:HRR589769 IBK589769:IBN589769 ILG589769:ILJ589769 IVC589769:IVF589769 JEY589769:JFB589769 JOU589769:JOX589769 JYQ589769:JYT589769 KIM589769:KIP589769 KSI589769:KSL589769 LCE589769:LCH589769 LMA589769:LMD589769 LVW589769:LVZ589769 MFS589769:MFV589769 MPO589769:MPR589769 MZK589769:MZN589769 NJG589769:NJJ589769 NTC589769:NTF589769 OCY589769:ODB589769 OMU589769:OMX589769 OWQ589769:OWT589769 PGM589769:PGP589769 PQI589769:PQL589769 QAE589769:QAH589769 QKA589769:QKD589769 QTW589769:QTZ589769 RDS589769:RDV589769 RNO589769:RNR589769 RXK589769:RXN589769 SHG589769:SHJ589769 SRC589769:SRF589769 TAY589769:TBB589769 TKU589769:TKX589769 TUQ589769:TUT589769 UEM589769:UEP589769 UOI589769:UOL589769 UYE589769:UYH589769 VIA589769:VID589769 VRW589769:VRZ589769 WBS589769:WBV589769 WLO589769:WLR589769 WVK589769:WVN589769 C655305:F655305 IY655305:JB655305 SU655305:SX655305 ACQ655305:ACT655305 AMM655305:AMP655305 AWI655305:AWL655305 BGE655305:BGH655305 BQA655305:BQD655305 BZW655305:BZZ655305 CJS655305:CJV655305 CTO655305:CTR655305 DDK655305:DDN655305 DNG655305:DNJ655305 DXC655305:DXF655305 EGY655305:EHB655305 EQU655305:EQX655305 FAQ655305:FAT655305 FKM655305:FKP655305 FUI655305:FUL655305 GEE655305:GEH655305 GOA655305:GOD655305 GXW655305:GXZ655305 HHS655305:HHV655305 HRO655305:HRR655305 IBK655305:IBN655305 ILG655305:ILJ655305 IVC655305:IVF655305 JEY655305:JFB655305 JOU655305:JOX655305 JYQ655305:JYT655305 KIM655305:KIP655305 KSI655305:KSL655305 LCE655305:LCH655305 LMA655305:LMD655305 LVW655305:LVZ655305 MFS655305:MFV655305 MPO655305:MPR655305 MZK655305:MZN655305 NJG655305:NJJ655305 NTC655305:NTF655305 OCY655305:ODB655305 OMU655305:OMX655305 OWQ655305:OWT655305 PGM655305:PGP655305 PQI655305:PQL655305 QAE655305:QAH655305 QKA655305:QKD655305 QTW655305:QTZ655305 RDS655305:RDV655305 RNO655305:RNR655305 RXK655305:RXN655305 SHG655305:SHJ655305 SRC655305:SRF655305 TAY655305:TBB655305 TKU655305:TKX655305 TUQ655305:TUT655305 UEM655305:UEP655305 UOI655305:UOL655305 UYE655305:UYH655305 VIA655305:VID655305 VRW655305:VRZ655305 WBS655305:WBV655305 WLO655305:WLR655305 WVK655305:WVN655305 C720841:F720841 IY720841:JB720841 SU720841:SX720841 ACQ720841:ACT720841 AMM720841:AMP720841 AWI720841:AWL720841 BGE720841:BGH720841 BQA720841:BQD720841 BZW720841:BZZ720841 CJS720841:CJV720841 CTO720841:CTR720841 DDK720841:DDN720841 DNG720841:DNJ720841 DXC720841:DXF720841 EGY720841:EHB720841 EQU720841:EQX720841 FAQ720841:FAT720841 FKM720841:FKP720841 FUI720841:FUL720841 GEE720841:GEH720841 GOA720841:GOD720841 GXW720841:GXZ720841 HHS720841:HHV720841 HRO720841:HRR720841 IBK720841:IBN720841 ILG720841:ILJ720841 IVC720841:IVF720841 JEY720841:JFB720841 JOU720841:JOX720841 JYQ720841:JYT720841 KIM720841:KIP720841 KSI720841:KSL720841 LCE720841:LCH720841 LMA720841:LMD720841 LVW720841:LVZ720841 MFS720841:MFV720841 MPO720841:MPR720841 MZK720841:MZN720841 NJG720841:NJJ720841 NTC720841:NTF720841 OCY720841:ODB720841 OMU720841:OMX720841 OWQ720841:OWT720841 PGM720841:PGP720841 PQI720841:PQL720841 QAE720841:QAH720841 QKA720841:QKD720841 QTW720841:QTZ720841 RDS720841:RDV720841 RNO720841:RNR720841 RXK720841:RXN720841 SHG720841:SHJ720841 SRC720841:SRF720841 TAY720841:TBB720841 TKU720841:TKX720841 TUQ720841:TUT720841 UEM720841:UEP720841 UOI720841:UOL720841 UYE720841:UYH720841 VIA720841:VID720841 VRW720841:VRZ720841 WBS720841:WBV720841 WLO720841:WLR720841 WVK720841:WVN720841 C786377:F786377 IY786377:JB786377 SU786377:SX786377 ACQ786377:ACT786377 AMM786377:AMP786377 AWI786377:AWL786377 BGE786377:BGH786377 BQA786377:BQD786377 BZW786377:BZZ786377 CJS786377:CJV786377 CTO786377:CTR786377 DDK786377:DDN786377 DNG786377:DNJ786377 DXC786377:DXF786377 EGY786377:EHB786377 EQU786377:EQX786377 FAQ786377:FAT786377 FKM786377:FKP786377 FUI786377:FUL786377 GEE786377:GEH786377 GOA786377:GOD786377 GXW786377:GXZ786377 HHS786377:HHV786377 HRO786377:HRR786377 IBK786377:IBN786377 ILG786377:ILJ786377 IVC786377:IVF786377 JEY786377:JFB786377 JOU786377:JOX786377 JYQ786377:JYT786377 KIM786377:KIP786377 KSI786377:KSL786377 LCE786377:LCH786377 LMA786377:LMD786377 LVW786377:LVZ786377 MFS786377:MFV786377 MPO786377:MPR786377 MZK786377:MZN786377 NJG786377:NJJ786377 NTC786377:NTF786377 OCY786377:ODB786377 OMU786377:OMX786377 OWQ786377:OWT786377 PGM786377:PGP786377 PQI786377:PQL786377 QAE786377:QAH786377 QKA786377:QKD786377 QTW786377:QTZ786377 RDS786377:RDV786377 RNO786377:RNR786377 RXK786377:RXN786377 SHG786377:SHJ786377 SRC786377:SRF786377 TAY786377:TBB786377 TKU786377:TKX786377 TUQ786377:TUT786377 UEM786377:UEP786377 UOI786377:UOL786377 UYE786377:UYH786377 VIA786377:VID786377 VRW786377:VRZ786377 WBS786377:WBV786377 WLO786377:WLR786377 WVK786377:WVN786377 C851913:F851913 IY851913:JB851913 SU851913:SX851913 ACQ851913:ACT851913 AMM851913:AMP851913 AWI851913:AWL851913 BGE851913:BGH851913 BQA851913:BQD851913 BZW851913:BZZ851913 CJS851913:CJV851913 CTO851913:CTR851913 DDK851913:DDN851913 DNG851913:DNJ851913 DXC851913:DXF851913 EGY851913:EHB851913 EQU851913:EQX851913 FAQ851913:FAT851913 FKM851913:FKP851913 FUI851913:FUL851913 GEE851913:GEH851913 GOA851913:GOD851913 GXW851913:GXZ851913 HHS851913:HHV851913 HRO851913:HRR851913 IBK851913:IBN851913 ILG851913:ILJ851913 IVC851913:IVF851913 JEY851913:JFB851913 JOU851913:JOX851913 JYQ851913:JYT851913 KIM851913:KIP851913 KSI851913:KSL851913 LCE851913:LCH851913 LMA851913:LMD851913 LVW851913:LVZ851913 MFS851913:MFV851913 MPO851913:MPR851913 MZK851913:MZN851913 NJG851913:NJJ851913 NTC851913:NTF851913 OCY851913:ODB851913 OMU851913:OMX851913 OWQ851913:OWT851913 PGM851913:PGP851913 PQI851913:PQL851913 QAE851913:QAH851913 QKA851913:QKD851913 QTW851913:QTZ851913 RDS851913:RDV851913 RNO851913:RNR851913 RXK851913:RXN851913 SHG851913:SHJ851913 SRC851913:SRF851913 TAY851913:TBB851913 TKU851913:TKX851913 TUQ851913:TUT851913 UEM851913:UEP851913 UOI851913:UOL851913 UYE851913:UYH851913 VIA851913:VID851913 VRW851913:VRZ851913 WBS851913:WBV851913 WLO851913:WLR851913 WVK851913:WVN851913 C917449:F917449 IY917449:JB917449 SU917449:SX917449 ACQ917449:ACT917449 AMM917449:AMP917449 AWI917449:AWL917449 BGE917449:BGH917449 BQA917449:BQD917449 BZW917449:BZZ917449 CJS917449:CJV917449 CTO917449:CTR917449 DDK917449:DDN917449 DNG917449:DNJ917449 DXC917449:DXF917449 EGY917449:EHB917449 EQU917449:EQX917449 FAQ917449:FAT917449 FKM917449:FKP917449 FUI917449:FUL917449 GEE917449:GEH917449 GOA917449:GOD917449 GXW917449:GXZ917449 HHS917449:HHV917449 HRO917449:HRR917449 IBK917449:IBN917449 ILG917449:ILJ917449 IVC917449:IVF917449 JEY917449:JFB917449 JOU917449:JOX917449 JYQ917449:JYT917449 KIM917449:KIP917449 KSI917449:KSL917449 LCE917449:LCH917449 LMA917449:LMD917449 LVW917449:LVZ917449 MFS917449:MFV917449 MPO917449:MPR917449 MZK917449:MZN917449 NJG917449:NJJ917449 NTC917449:NTF917449 OCY917449:ODB917449 OMU917449:OMX917449 OWQ917449:OWT917449 PGM917449:PGP917449 PQI917449:PQL917449 QAE917449:QAH917449 QKA917449:QKD917449 QTW917449:QTZ917449 RDS917449:RDV917449 RNO917449:RNR917449 RXK917449:RXN917449 SHG917449:SHJ917449 SRC917449:SRF917449 TAY917449:TBB917449 TKU917449:TKX917449 TUQ917449:TUT917449 UEM917449:UEP917449 UOI917449:UOL917449 UYE917449:UYH917449 VIA917449:VID917449 VRW917449:VRZ917449 WBS917449:WBV917449 WLO917449:WLR917449 WVK917449:WVN917449 C982985:F982985 IY982985:JB982985 SU982985:SX982985 ACQ982985:ACT982985 AMM982985:AMP982985 AWI982985:AWL982985 BGE982985:BGH982985 BQA982985:BQD982985 BZW982985:BZZ982985 CJS982985:CJV982985 CTO982985:CTR982985 DDK982985:DDN982985 DNG982985:DNJ982985 DXC982985:DXF982985 EGY982985:EHB982985 EQU982985:EQX982985 FAQ982985:FAT982985 FKM982985:FKP982985 FUI982985:FUL982985 GEE982985:GEH982985 GOA982985:GOD982985 GXW982985:GXZ982985 HHS982985:HHV982985 HRO982985:HRR982985 IBK982985:IBN982985 ILG982985:ILJ982985 IVC982985:IVF982985 JEY982985:JFB982985 JOU982985:JOX982985 JYQ982985:JYT982985 KIM982985:KIP982985 KSI982985:KSL982985 LCE982985:LCH982985 LMA982985:LMD982985 LVW982985:LVZ982985 MFS982985:MFV982985 MPO982985:MPR982985 MZK982985:MZN982985 NJG982985:NJJ982985 NTC982985:NTF982985 OCY982985:ODB982985 OMU982985:OMX982985 OWQ982985:OWT982985 PGM982985:PGP982985 PQI982985:PQL982985 QAE982985:QAH982985 QKA982985:QKD982985 QTW982985:QTZ982985 RDS982985:RDV982985 RNO982985:RNR982985 RXK982985:RXN982985 SHG982985:SHJ982985 SRC982985:SRF982985 TAY982985:TBB982985 TKU982985:TKX982985 TUQ982985:TUT982985 UEM982985:UEP982985 UOI982985:UOL982985 UYE982985:UYH982985 VIA982985:VID982985 VRW982985:VRZ982985 WBS982985:WBV982985 WLO982985:WLR982985 WVK982985:WVN982985 C65483:F65483 IY65483:JB65483 SU65483:SX65483 ACQ65483:ACT65483 AMM65483:AMP65483 AWI65483:AWL65483 BGE65483:BGH65483 BQA65483:BQD65483 BZW65483:BZZ65483 CJS65483:CJV65483 CTO65483:CTR65483 DDK65483:DDN65483 DNG65483:DNJ65483 DXC65483:DXF65483 EGY65483:EHB65483 EQU65483:EQX65483 FAQ65483:FAT65483 FKM65483:FKP65483 FUI65483:FUL65483 GEE65483:GEH65483 GOA65483:GOD65483 GXW65483:GXZ65483 HHS65483:HHV65483 HRO65483:HRR65483 IBK65483:IBN65483 ILG65483:ILJ65483 IVC65483:IVF65483 JEY65483:JFB65483 JOU65483:JOX65483 JYQ65483:JYT65483 KIM65483:KIP65483 KSI65483:KSL65483 LCE65483:LCH65483 LMA65483:LMD65483 LVW65483:LVZ65483 MFS65483:MFV65483 MPO65483:MPR65483 MZK65483:MZN65483 NJG65483:NJJ65483 NTC65483:NTF65483 OCY65483:ODB65483 OMU65483:OMX65483 OWQ65483:OWT65483 PGM65483:PGP65483 PQI65483:PQL65483 QAE65483:QAH65483 QKA65483:QKD65483 QTW65483:QTZ65483 RDS65483:RDV65483 RNO65483:RNR65483 RXK65483:RXN65483 SHG65483:SHJ65483 SRC65483:SRF65483 TAY65483:TBB65483 TKU65483:TKX65483 TUQ65483:TUT65483 UEM65483:UEP65483 UOI65483:UOL65483 UYE65483:UYH65483 VIA65483:VID65483 VRW65483:VRZ65483 WBS65483:WBV65483 WLO65483:WLR65483 WVK65483:WVN65483 C131019:F131019 IY131019:JB131019 SU131019:SX131019 ACQ131019:ACT131019 AMM131019:AMP131019 AWI131019:AWL131019 BGE131019:BGH131019 BQA131019:BQD131019 BZW131019:BZZ131019 CJS131019:CJV131019 CTO131019:CTR131019 DDK131019:DDN131019 DNG131019:DNJ131019 DXC131019:DXF131019 EGY131019:EHB131019 EQU131019:EQX131019 FAQ131019:FAT131019 FKM131019:FKP131019 FUI131019:FUL131019 GEE131019:GEH131019 GOA131019:GOD131019 GXW131019:GXZ131019 HHS131019:HHV131019 HRO131019:HRR131019 IBK131019:IBN131019 ILG131019:ILJ131019 IVC131019:IVF131019 JEY131019:JFB131019 JOU131019:JOX131019 JYQ131019:JYT131019 KIM131019:KIP131019 KSI131019:KSL131019 LCE131019:LCH131019 LMA131019:LMD131019 LVW131019:LVZ131019 MFS131019:MFV131019 MPO131019:MPR131019 MZK131019:MZN131019 NJG131019:NJJ131019 NTC131019:NTF131019 OCY131019:ODB131019 OMU131019:OMX131019 OWQ131019:OWT131019 PGM131019:PGP131019 PQI131019:PQL131019 QAE131019:QAH131019 QKA131019:QKD131019 QTW131019:QTZ131019 RDS131019:RDV131019 RNO131019:RNR131019 RXK131019:RXN131019 SHG131019:SHJ131019 SRC131019:SRF131019 TAY131019:TBB131019 TKU131019:TKX131019 TUQ131019:TUT131019 UEM131019:UEP131019 UOI131019:UOL131019 UYE131019:UYH131019 VIA131019:VID131019 VRW131019:VRZ131019 WBS131019:WBV131019 WLO131019:WLR131019 WVK131019:WVN131019 C196555:F196555 IY196555:JB196555 SU196555:SX196555 ACQ196555:ACT196555 AMM196555:AMP196555 AWI196555:AWL196555 BGE196555:BGH196555 BQA196555:BQD196555 BZW196555:BZZ196555 CJS196555:CJV196555 CTO196555:CTR196555 DDK196555:DDN196555 DNG196555:DNJ196555 DXC196555:DXF196555 EGY196555:EHB196555 EQU196555:EQX196555 FAQ196555:FAT196555 FKM196555:FKP196555 FUI196555:FUL196555 GEE196555:GEH196555 GOA196555:GOD196555 GXW196555:GXZ196555 HHS196555:HHV196555 HRO196555:HRR196555 IBK196555:IBN196555 ILG196555:ILJ196555 IVC196555:IVF196555 JEY196555:JFB196555 JOU196555:JOX196555 JYQ196555:JYT196555 KIM196555:KIP196555 KSI196555:KSL196555 LCE196555:LCH196555 LMA196555:LMD196555 LVW196555:LVZ196555 MFS196555:MFV196555 MPO196555:MPR196555 MZK196555:MZN196555 NJG196555:NJJ196555 NTC196555:NTF196555 OCY196555:ODB196555 OMU196555:OMX196555 OWQ196555:OWT196555 PGM196555:PGP196555 PQI196555:PQL196555 QAE196555:QAH196555 QKA196555:QKD196555 QTW196555:QTZ196555 RDS196555:RDV196555 RNO196555:RNR196555 RXK196555:RXN196555 SHG196555:SHJ196555 SRC196555:SRF196555 TAY196555:TBB196555 TKU196555:TKX196555 TUQ196555:TUT196555 UEM196555:UEP196555 UOI196555:UOL196555 UYE196555:UYH196555 VIA196555:VID196555 VRW196555:VRZ196555 WBS196555:WBV196555 WLO196555:WLR196555 WVK196555:WVN196555 C262091:F262091 IY262091:JB262091 SU262091:SX262091 ACQ262091:ACT262091 AMM262091:AMP262091 AWI262091:AWL262091 BGE262091:BGH262091 BQA262091:BQD262091 BZW262091:BZZ262091 CJS262091:CJV262091 CTO262091:CTR262091 DDK262091:DDN262091 DNG262091:DNJ262091 DXC262091:DXF262091 EGY262091:EHB262091 EQU262091:EQX262091 FAQ262091:FAT262091 FKM262091:FKP262091 FUI262091:FUL262091 GEE262091:GEH262091 GOA262091:GOD262091 GXW262091:GXZ262091 HHS262091:HHV262091 HRO262091:HRR262091 IBK262091:IBN262091 ILG262091:ILJ262091 IVC262091:IVF262091 JEY262091:JFB262091 JOU262091:JOX262091 JYQ262091:JYT262091 KIM262091:KIP262091 KSI262091:KSL262091 LCE262091:LCH262091 LMA262091:LMD262091 LVW262091:LVZ262091 MFS262091:MFV262091 MPO262091:MPR262091 MZK262091:MZN262091 NJG262091:NJJ262091 NTC262091:NTF262091 OCY262091:ODB262091 OMU262091:OMX262091 OWQ262091:OWT262091 PGM262091:PGP262091 PQI262091:PQL262091 QAE262091:QAH262091 QKA262091:QKD262091 QTW262091:QTZ262091 RDS262091:RDV262091 RNO262091:RNR262091 RXK262091:RXN262091 SHG262091:SHJ262091 SRC262091:SRF262091 TAY262091:TBB262091 TKU262091:TKX262091 TUQ262091:TUT262091 UEM262091:UEP262091 UOI262091:UOL262091 UYE262091:UYH262091 VIA262091:VID262091 VRW262091:VRZ262091 WBS262091:WBV262091 WLO262091:WLR262091 WVK262091:WVN262091 C327627:F327627 IY327627:JB327627 SU327627:SX327627 ACQ327627:ACT327627 AMM327627:AMP327627 AWI327627:AWL327627 BGE327627:BGH327627 BQA327627:BQD327627 BZW327627:BZZ327627 CJS327627:CJV327627 CTO327627:CTR327627 DDK327627:DDN327627 DNG327627:DNJ327627 DXC327627:DXF327627 EGY327627:EHB327627 EQU327627:EQX327627 FAQ327627:FAT327627 FKM327627:FKP327627 FUI327627:FUL327627 GEE327627:GEH327627 GOA327627:GOD327627 GXW327627:GXZ327627 HHS327627:HHV327627 HRO327627:HRR327627 IBK327627:IBN327627 ILG327627:ILJ327627 IVC327627:IVF327627 JEY327627:JFB327627 JOU327627:JOX327627 JYQ327627:JYT327627 KIM327627:KIP327627 KSI327627:KSL327627 LCE327627:LCH327627 LMA327627:LMD327627 LVW327627:LVZ327627 MFS327627:MFV327627 MPO327627:MPR327627 MZK327627:MZN327627 NJG327627:NJJ327627 NTC327627:NTF327627 OCY327627:ODB327627 OMU327627:OMX327627 OWQ327627:OWT327627 PGM327627:PGP327627 PQI327627:PQL327627 QAE327627:QAH327627 QKA327627:QKD327627 QTW327627:QTZ327627 RDS327627:RDV327627 RNO327627:RNR327627 RXK327627:RXN327627 SHG327627:SHJ327627 SRC327627:SRF327627 TAY327627:TBB327627 TKU327627:TKX327627 TUQ327627:TUT327627 UEM327627:UEP327627 UOI327627:UOL327627 UYE327627:UYH327627 VIA327627:VID327627 VRW327627:VRZ327627 WBS327627:WBV327627 WLO327627:WLR327627 WVK327627:WVN327627 C393163:F393163 IY393163:JB393163 SU393163:SX393163 ACQ393163:ACT393163 AMM393163:AMP393163 AWI393163:AWL393163 BGE393163:BGH393163 BQA393163:BQD393163 BZW393163:BZZ393163 CJS393163:CJV393163 CTO393163:CTR393163 DDK393163:DDN393163 DNG393163:DNJ393163 DXC393163:DXF393163 EGY393163:EHB393163 EQU393163:EQX393163 FAQ393163:FAT393163 FKM393163:FKP393163 FUI393163:FUL393163 GEE393163:GEH393163 GOA393163:GOD393163 GXW393163:GXZ393163 HHS393163:HHV393163 HRO393163:HRR393163 IBK393163:IBN393163 ILG393163:ILJ393163 IVC393163:IVF393163 JEY393163:JFB393163 JOU393163:JOX393163 JYQ393163:JYT393163 KIM393163:KIP393163 KSI393163:KSL393163 LCE393163:LCH393163 LMA393163:LMD393163 LVW393163:LVZ393163 MFS393163:MFV393163 MPO393163:MPR393163 MZK393163:MZN393163 NJG393163:NJJ393163 NTC393163:NTF393163 OCY393163:ODB393163 OMU393163:OMX393163 OWQ393163:OWT393163 PGM393163:PGP393163 PQI393163:PQL393163 QAE393163:QAH393163 QKA393163:QKD393163 QTW393163:QTZ393163 RDS393163:RDV393163 RNO393163:RNR393163 RXK393163:RXN393163 SHG393163:SHJ393163 SRC393163:SRF393163 TAY393163:TBB393163 TKU393163:TKX393163 TUQ393163:TUT393163 UEM393163:UEP393163 UOI393163:UOL393163 UYE393163:UYH393163 VIA393163:VID393163 VRW393163:VRZ393163 WBS393163:WBV393163 WLO393163:WLR393163 WVK393163:WVN393163 C458699:F458699 IY458699:JB458699 SU458699:SX458699 ACQ458699:ACT458699 AMM458699:AMP458699 AWI458699:AWL458699 BGE458699:BGH458699 BQA458699:BQD458699 BZW458699:BZZ458699 CJS458699:CJV458699 CTO458699:CTR458699 DDK458699:DDN458699 DNG458699:DNJ458699 DXC458699:DXF458699 EGY458699:EHB458699 EQU458699:EQX458699 FAQ458699:FAT458699 FKM458699:FKP458699 FUI458699:FUL458699 GEE458699:GEH458699 GOA458699:GOD458699 GXW458699:GXZ458699 HHS458699:HHV458699 HRO458699:HRR458699 IBK458699:IBN458699 ILG458699:ILJ458699 IVC458699:IVF458699 JEY458699:JFB458699 JOU458699:JOX458699 JYQ458699:JYT458699 KIM458699:KIP458699 KSI458699:KSL458699 LCE458699:LCH458699 LMA458699:LMD458699 LVW458699:LVZ458699 MFS458699:MFV458699 MPO458699:MPR458699 MZK458699:MZN458699 NJG458699:NJJ458699 NTC458699:NTF458699 OCY458699:ODB458699 OMU458699:OMX458699 OWQ458699:OWT458699 PGM458699:PGP458699 PQI458699:PQL458699 QAE458699:QAH458699 QKA458699:QKD458699 QTW458699:QTZ458699 RDS458699:RDV458699 RNO458699:RNR458699 RXK458699:RXN458699 SHG458699:SHJ458699 SRC458699:SRF458699 TAY458699:TBB458699 TKU458699:TKX458699 TUQ458699:TUT458699 UEM458699:UEP458699 UOI458699:UOL458699 UYE458699:UYH458699 VIA458699:VID458699 VRW458699:VRZ458699 WBS458699:WBV458699 WLO458699:WLR458699 WVK458699:WVN458699 C524235:F524235 IY524235:JB524235 SU524235:SX524235 ACQ524235:ACT524235 AMM524235:AMP524235 AWI524235:AWL524235 BGE524235:BGH524235 BQA524235:BQD524235 BZW524235:BZZ524235 CJS524235:CJV524235 CTO524235:CTR524235 DDK524235:DDN524235 DNG524235:DNJ524235 DXC524235:DXF524235 EGY524235:EHB524235 EQU524235:EQX524235 FAQ524235:FAT524235 FKM524235:FKP524235 FUI524235:FUL524235 GEE524235:GEH524235 GOA524235:GOD524235 GXW524235:GXZ524235 HHS524235:HHV524235 HRO524235:HRR524235 IBK524235:IBN524235 ILG524235:ILJ524235 IVC524235:IVF524235 JEY524235:JFB524235 JOU524235:JOX524235 JYQ524235:JYT524235 KIM524235:KIP524235 KSI524235:KSL524235 LCE524235:LCH524235 LMA524235:LMD524235 LVW524235:LVZ524235 MFS524235:MFV524235 MPO524235:MPR524235 MZK524235:MZN524235 NJG524235:NJJ524235 NTC524235:NTF524235 OCY524235:ODB524235 OMU524235:OMX524235 OWQ524235:OWT524235 PGM524235:PGP524235 PQI524235:PQL524235 QAE524235:QAH524235 QKA524235:QKD524235 QTW524235:QTZ524235 RDS524235:RDV524235 RNO524235:RNR524235 RXK524235:RXN524235 SHG524235:SHJ524235 SRC524235:SRF524235 TAY524235:TBB524235 TKU524235:TKX524235 TUQ524235:TUT524235 UEM524235:UEP524235 UOI524235:UOL524235 UYE524235:UYH524235 VIA524235:VID524235 VRW524235:VRZ524235 WBS524235:WBV524235 WLO524235:WLR524235 WVK524235:WVN524235 C589771:F589771 IY589771:JB589771 SU589771:SX589771 ACQ589771:ACT589771 AMM589771:AMP589771 AWI589771:AWL589771 BGE589771:BGH589771 BQA589771:BQD589771 BZW589771:BZZ589771 CJS589771:CJV589771 CTO589771:CTR589771 DDK589771:DDN589771 DNG589771:DNJ589771 DXC589771:DXF589771 EGY589771:EHB589771 EQU589771:EQX589771 FAQ589771:FAT589771 FKM589771:FKP589771 FUI589771:FUL589771 GEE589771:GEH589771 GOA589771:GOD589771 GXW589771:GXZ589771 HHS589771:HHV589771 HRO589771:HRR589771 IBK589771:IBN589771 ILG589771:ILJ589771 IVC589771:IVF589771 JEY589771:JFB589771 JOU589771:JOX589771 JYQ589771:JYT589771 KIM589771:KIP589771 KSI589771:KSL589771 LCE589771:LCH589771 LMA589771:LMD589771 LVW589771:LVZ589771 MFS589771:MFV589771 MPO589771:MPR589771 MZK589771:MZN589771 NJG589771:NJJ589771 NTC589771:NTF589771 OCY589771:ODB589771 OMU589771:OMX589771 OWQ589771:OWT589771 PGM589771:PGP589771 PQI589771:PQL589771 QAE589771:QAH589771 QKA589771:QKD589771 QTW589771:QTZ589771 RDS589771:RDV589771 RNO589771:RNR589771 RXK589771:RXN589771 SHG589771:SHJ589771 SRC589771:SRF589771 TAY589771:TBB589771 TKU589771:TKX589771 TUQ589771:TUT589771 UEM589771:UEP589771 UOI589771:UOL589771 UYE589771:UYH589771 VIA589771:VID589771 VRW589771:VRZ589771 WBS589771:WBV589771 WLO589771:WLR589771 WVK589771:WVN589771 C655307:F655307 IY655307:JB655307 SU655307:SX655307 ACQ655307:ACT655307 AMM655307:AMP655307 AWI655307:AWL655307 BGE655307:BGH655307 BQA655307:BQD655307 BZW655307:BZZ655307 CJS655307:CJV655307 CTO655307:CTR655307 DDK655307:DDN655307 DNG655307:DNJ655307 DXC655307:DXF655307 EGY655307:EHB655307 EQU655307:EQX655307 FAQ655307:FAT655307 FKM655307:FKP655307 FUI655307:FUL655307 GEE655307:GEH655307 GOA655307:GOD655307 GXW655307:GXZ655307 HHS655307:HHV655307 HRO655307:HRR655307 IBK655307:IBN655307 ILG655307:ILJ655307 IVC655307:IVF655307 JEY655307:JFB655307 JOU655307:JOX655307 JYQ655307:JYT655307 KIM655307:KIP655307 KSI655307:KSL655307 LCE655307:LCH655307 LMA655307:LMD655307 LVW655307:LVZ655307 MFS655307:MFV655307 MPO655307:MPR655307 MZK655307:MZN655307 NJG655307:NJJ655307 NTC655307:NTF655307 OCY655307:ODB655307 OMU655307:OMX655307 OWQ655307:OWT655307 PGM655307:PGP655307 PQI655307:PQL655307 QAE655307:QAH655307 QKA655307:QKD655307 QTW655307:QTZ655307 RDS655307:RDV655307 RNO655307:RNR655307 RXK655307:RXN655307 SHG655307:SHJ655307 SRC655307:SRF655307 TAY655307:TBB655307 TKU655307:TKX655307 TUQ655307:TUT655307 UEM655307:UEP655307 UOI655307:UOL655307 UYE655307:UYH655307 VIA655307:VID655307 VRW655307:VRZ655307 WBS655307:WBV655307 WLO655307:WLR655307 WVK655307:WVN655307 C720843:F720843 IY720843:JB720843 SU720843:SX720843 ACQ720843:ACT720843 AMM720843:AMP720843 AWI720843:AWL720843 BGE720843:BGH720843 BQA720843:BQD720843 BZW720843:BZZ720843 CJS720843:CJV720843 CTO720843:CTR720843 DDK720843:DDN720843 DNG720843:DNJ720843 DXC720843:DXF720843 EGY720843:EHB720843 EQU720843:EQX720843 FAQ720843:FAT720843 FKM720843:FKP720843 FUI720843:FUL720843 GEE720843:GEH720843 GOA720843:GOD720843 GXW720843:GXZ720843 HHS720843:HHV720843 HRO720843:HRR720843 IBK720843:IBN720843 ILG720843:ILJ720843 IVC720843:IVF720843 JEY720843:JFB720843 JOU720843:JOX720843 JYQ720843:JYT720843 KIM720843:KIP720843 KSI720843:KSL720843 LCE720843:LCH720843 LMA720843:LMD720843 LVW720843:LVZ720843 MFS720843:MFV720843 MPO720843:MPR720843 MZK720843:MZN720843 NJG720843:NJJ720843 NTC720843:NTF720843 OCY720843:ODB720843 OMU720843:OMX720843 OWQ720843:OWT720843 PGM720843:PGP720843 PQI720843:PQL720843 QAE720843:QAH720843 QKA720843:QKD720843 QTW720843:QTZ720843 RDS720843:RDV720843 RNO720843:RNR720843 RXK720843:RXN720843 SHG720843:SHJ720843 SRC720843:SRF720843 TAY720843:TBB720843 TKU720843:TKX720843 TUQ720843:TUT720843 UEM720843:UEP720843 UOI720843:UOL720843 UYE720843:UYH720843 VIA720843:VID720843 VRW720843:VRZ720843 WBS720843:WBV720843 WLO720843:WLR720843 WVK720843:WVN720843 C786379:F786379 IY786379:JB786379 SU786379:SX786379 ACQ786379:ACT786379 AMM786379:AMP786379 AWI786379:AWL786379 BGE786379:BGH786379 BQA786379:BQD786379 BZW786379:BZZ786379 CJS786379:CJV786379 CTO786379:CTR786379 DDK786379:DDN786379 DNG786379:DNJ786379 DXC786379:DXF786379 EGY786379:EHB786379 EQU786379:EQX786379 FAQ786379:FAT786379 FKM786379:FKP786379 FUI786379:FUL786379 GEE786379:GEH786379 GOA786379:GOD786379 GXW786379:GXZ786379 HHS786379:HHV786379 HRO786379:HRR786379 IBK786379:IBN786379 ILG786379:ILJ786379 IVC786379:IVF786379 JEY786379:JFB786379 JOU786379:JOX786379 JYQ786379:JYT786379 KIM786379:KIP786379 KSI786379:KSL786379 LCE786379:LCH786379 LMA786379:LMD786379 LVW786379:LVZ786379 MFS786379:MFV786379 MPO786379:MPR786379 MZK786379:MZN786379 NJG786379:NJJ786379 NTC786379:NTF786379 OCY786379:ODB786379 OMU786379:OMX786379 OWQ786379:OWT786379 PGM786379:PGP786379 PQI786379:PQL786379 QAE786379:QAH786379 QKA786379:QKD786379 QTW786379:QTZ786379 RDS786379:RDV786379 RNO786379:RNR786379 RXK786379:RXN786379 SHG786379:SHJ786379 SRC786379:SRF786379 TAY786379:TBB786379 TKU786379:TKX786379 TUQ786379:TUT786379 UEM786379:UEP786379 UOI786379:UOL786379 UYE786379:UYH786379 VIA786379:VID786379 VRW786379:VRZ786379 WBS786379:WBV786379 WLO786379:WLR786379 WVK786379:WVN786379 C851915:F851915 IY851915:JB851915 SU851915:SX851915 ACQ851915:ACT851915 AMM851915:AMP851915 AWI851915:AWL851915 BGE851915:BGH851915 BQA851915:BQD851915 BZW851915:BZZ851915 CJS851915:CJV851915 CTO851915:CTR851915 DDK851915:DDN851915 DNG851915:DNJ851915 DXC851915:DXF851915 EGY851915:EHB851915 EQU851915:EQX851915 FAQ851915:FAT851915 FKM851915:FKP851915 FUI851915:FUL851915 GEE851915:GEH851915 GOA851915:GOD851915 GXW851915:GXZ851915 HHS851915:HHV851915 HRO851915:HRR851915 IBK851915:IBN851915 ILG851915:ILJ851915 IVC851915:IVF851915 JEY851915:JFB851915 JOU851915:JOX851915 JYQ851915:JYT851915 KIM851915:KIP851915 KSI851915:KSL851915 LCE851915:LCH851915 LMA851915:LMD851915 LVW851915:LVZ851915 MFS851915:MFV851915 MPO851915:MPR851915 MZK851915:MZN851915 NJG851915:NJJ851915 NTC851915:NTF851915 OCY851915:ODB851915 OMU851915:OMX851915 OWQ851915:OWT851915 PGM851915:PGP851915 PQI851915:PQL851915 QAE851915:QAH851915 QKA851915:QKD851915 QTW851915:QTZ851915 RDS851915:RDV851915 RNO851915:RNR851915 RXK851915:RXN851915 SHG851915:SHJ851915 SRC851915:SRF851915 TAY851915:TBB851915 TKU851915:TKX851915 TUQ851915:TUT851915 UEM851915:UEP851915 UOI851915:UOL851915 UYE851915:UYH851915 VIA851915:VID851915 VRW851915:VRZ851915 WBS851915:WBV851915 WLO851915:WLR851915 WVK851915:WVN851915 C917451:F917451 IY917451:JB917451 SU917451:SX917451 ACQ917451:ACT917451 AMM917451:AMP917451 AWI917451:AWL917451 BGE917451:BGH917451 BQA917451:BQD917451 BZW917451:BZZ917451 CJS917451:CJV917451 CTO917451:CTR917451 DDK917451:DDN917451 DNG917451:DNJ917451 DXC917451:DXF917451 EGY917451:EHB917451 EQU917451:EQX917451 FAQ917451:FAT917451 FKM917451:FKP917451 FUI917451:FUL917451 GEE917451:GEH917451 GOA917451:GOD917451 GXW917451:GXZ917451 HHS917451:HHV917451 HRO917451:HRR917451 IBK917451:IBN917451 ILG917451:ILJ917451 IVC917451:IVF917451 JEY917451:JFB917451 JOU917451:JOX917451 JYQ917451:JYT917451 KIM917451:KIP917451 KSI917451:KSL917451 LCE917451:LCH917451 LMA917451:LMD917451 LVW917451:LVZ917451 MFS917451:MFV917451 MPO917451:MPR917451 MZK917451:MZN917451 NJG917451:NJJ917451 NTC917451:NTF917451 OCY917451:ODB917451 OMU917451:OMX917451 OWQ917451:OWT917451 PGM917451:PGP917451 PQI917451:PQL917451 QAE917451:QAH917451 QKA917451:QKD917451 QTW917451:QTZ917451 RDS917451:RDV917451 RNO917451:RNR917451 RXK917451:RXN917451 SHG917451:SHJ917451 SRC917451:SRF917451 TAY917451:TBB917451 TKU917451:TKX917451 TUQ917451:TUT917451 UEM917451:UEP917451 UOI917451:UOL917451 UYE917451:UYH917451 VIA917451:VID917451 VRW917451:VRZ917451 WBS917451:WBV917451 WLO917451:WLR917451 WVK917451:WVN917451 C982987:F982987 IY982987:JB982987 SU982987:SX982987 ACQ982987:ACT982987 AMM982987:AMP982987 AWI982987:AWL982987 BGE982987:BGH982987 BQA982987:BQD982987 BZW982987:BZZ982987 CJS982987:CJV982987 CTO982987:CTR982987 DDK982987:DDN982987 DNG982987:DNJ982987 DXC982987:DXF982987 EGY982987:EHB982987 EQU982987:EQX982987 FAQ982987:FAT982987 FKM982987:FKP982987 FUI982987:FUL982987 GEE982987:GEH982987 GOA982987:GOD982987 GXW982987:GXZ982987 HHS982987:HHV982987 HRO982987:HRR982987 IBK982987:IBN982987 ILG982987:ILJ982987 IVC982987:IVF982987 JEY982987:JFB982987 JOU982987:JOX982987 JYQ982987:JYT982987 KIM982987:KIP982987 KSI982987:KSL982987 LCE982987:LCH982987 LMA982987:LMD982987 LVW982987:LVZ982987 MFS982987:MFV982987 MPO982987:MPR982987 MZK982987:MZN982987 NJG982987:NJJ982987 NTC982987:NTF982987 OCY982987:ODB982987 OMU982987:OMX982987 OWQ982987:OWT982987 PGM982987:PGP982987 PQI982987:PQL982987 QAE982987:QAH982987 QKA982987:QKD982987 QTW982987:QTZ982987 RDS982987:RDV982987 RNO982987:RNR982987 RXK982987:RXN982987 SHG982987:SHJ982987 SRC982987:SRF982987 TAY982987:TBB982987 TKU982987:TKX982987 TUQ982987:TUT982987 UEM982987:UEP982987 UOI982987:UOL982987 UYE982987:UYH982987 VIA982987:VID982987 VRW982987:VRZ982987 WBS982987:WBV982987 WLO982987:WLR982987 WVK982987:WVN982987 Q65492 JM65492 TI65492 ADE65492 ANA65492 AWW65492 BGS65492 BQO65492 CAK65492 CKG65492 CUC65492 DDY65492 DNU65492 DXQ65492 EHM65492 ERI65492 FBE65492 FLA65492 FUW65492 GES65492 GOO65492 GYK65492 HIG65492 HSC65492 IBY65492 ILU65492 IVQ65492 JFM65492 JPI65492 JZE65492 KJA65492 KSW65492 LCS65492 LMO65492 LWK65492 MGG65492 MQC65492 MZY65492 NJU65492 NTQ65492 ODM65492 ONI65492 OXE65492 PHA65492 PQW65492 QAS65492 QKO65492 QUK65492 REG65492 ROC65492 RXY65492 SHU65492 SRQ65492 TBM65492 TLI65492 TVE65492 UFA65492 UOW65492 UYS65492 VIO65492 VSK65492 WCG65492 WMC65492 WVY65492 Q131028 JM131028 TI131028 ADE131028 ANA131028 AWW131028 BGS131028 BQO131028 CAK131028 CKG131028 CUC131028 DDY131028 DNU131028 DXQ131028 EHM131028 ERI131028 FBE131028 FLA131028 FUW131028 GES131028 GOO131028 GYK131028 HIG131028 HSC131028 IBY131028 ILU131028 IVQ131028 JFM131028 JPI131028 JZE131028 KJA131028 KSW131028 LCS131028 LMO131028 LWK131028 MGG131028 MQC131028 MZY131028 NJU131028 NTQ131028 ODM131028 ONI131028 OXE131028 PHA131028 PQW131028 QAS131028 QKO131028 QUK131028 REG131028 ROC131028 RXY131028 SHU131028 SRQ131028 TBM131028 TLI131028 TVE131028 UFA131028 UOW131028 UYS131028 VIO131028 VSK131028 WCG131028 WMC131028 WVY131028 Q196564 JM196564 TI196564 ADE196564 ANA196564 AWW196564 BGS196564 BQO196564 CAK196564 CKG196564 CUC196564 DDY196564 DNU196564 DXQ196564 EHM196564 ERI196564 FBE196564 FLA196564 FUW196564 GES196564 GOO196564 GYK196564 HIG196564 HSC196564 IBY196564 ILU196564 IVQ196564 JFM196564 JPI196564 JZE196564 KJA196564 KSW196564 LCS196564 LMO196564 LWK196564 MGG196564 MQC196564 MZY196564 NJU196564 NTQ196564 ODM196564 ONI196564 OXE196564 PHA196564 PQW196564 QAS196564 QKO196564 QUK196564 REG196564 ROC196564 RXY196564 SHU196564 SRQ196564 TBM196564 TLI196564 TVE196564 UFA196564 UOW196564 UYS196564 VIO196564 VSK196564 WCG196564 WMC196564 WVY196564 Q262100 JM262100 TI262100 ADE262100 ANA262100 AWW262100 BGS262100 BQO262100 CAK262100 CKG262100 CUC262100 DDY262100 DNU262100 DXQ262100 EHM262100 ERI262100 FBE262100 FLA262100 FUW262100 GES262100 GOO262100 GYK262100 HIG262100 HSC262100 IBY262100 ILU262100 IVQ262100 JFM262100 JPI262100 JZE262100 KJA262100 KSW262100 LCS262100 LMO262100 LWK262100 MGG262100 MQC262100 MZY262100 NJU262100 NTQ262100 ODM262100 ONI262100 OXE262100 PHA262100 PQW262100 QAS262100 QKO262100 QUK262100 REG262100 ROC262100 RXY262100 SHU262100 SRQ262100 TBM262100 TLI262100 TVE262100 UFA262100 UOW262100 UYS262100 VIO262100 VSK262100 WCG262100 WMC262100 WVY262100 Q327636 JM327636 TI327636 ADE327636 ANA327636 AWW327636 BGS327636 BQO327636 CAK327636 CKG327636 CUC327636 DDY327636 DNU327636 DXQ327636 EHM327636 ERI327636 FBE327636 FLA327636 FUW327636 GES327636 GOO327636 GYK327636 HIG327636 HSC327636 IBY327636 ILU327636 IVQ327636 JFM327636 JPI327636 JZE327636 KJA327636 KSW327636 LCS327636 LMO327636 LWK327636 MGG327636 MQC327636 MZY327636 NJU327636 NTQ327636 ODM327636 ONI327636 OXE327636 PHA327636 PQW327636 QAS327636 QKO327636 QUK327636 REG327636 ROC327636 RXY327636 SHU327636 SRQ327636 TBM327636 TLI327636 TVE327636 UFA327636 UOW327636 UYS327636 VIO327636 VSK327636 WCG327636 WMC327636 WVY327636 Q393172 JM393172 TI393172 ADE393172 ANA393172 AWW393172 BGS393172 BQO393172 CAK393172 CKG393172 CUC393172 DDY393172 DNU393172 DXQ393172 EHM393172 ERI393172 FBE393172 FLA393172 FUW393172 GES393172 GOO393172 GYK393172 HIG393172 HSC393172 IBY393172 ILU393172 IVQ393172 JFM393172 JPI393172 JZE393172 KJA393172 KSW393172 LCS393172 LMO393172 LWK393172 MGG393172 MQC393172 MZY393172 NJU393172 NTQ393172 ODM393172 ONI393172 OXE393172 PHA393172 PQW393172 QAS393172 QKO393172 QUK393172 REG393172 ROC393172 RXY393172 SHU393172 SRQ393172 TBM393172 TLI393172 TVE393172 UFA393172 UOW393172 UYS393172 VIO393172 VSK393172 WCG393172 WMC393172 WVY393172 Q458708 JM458708 TI458708 ADE458708 ANA458708 AWW458708 BGS458708 BQO458708 CAK458708 CKG458708 CUC458708 DDY458708 DNU458708 DXQ458708 EHM458708 ERI458708 FBE458708 FLA458708 FUW458708 GES458708 GOO458708 GYK458708 HIG458708 HSC458708 IBY458708 ILU458708 IVQ458708 JFM458708 JPI458708 JZE458708 KJA458708 KSW458708 LCS458708 LMO458708 LWK458708 MGG458708 MQC458708 MZY458708 NJU458708 NTQ458708 ODM458708 ONI458708 OXE458708 PHA458708 PQW458708 QAS458708 QKO458708 QUK458708 REG458708 ROC458708 RXY458708 SHU458708 SRQ458708 TBM458708 TLI458708 TVE458708 UFA458708 UOW458708 UYS458708 VIO458708 VSK458708 WCG458708 WMC458708 WVY458708 Q524244 JM524244 TI524244 ADE524244 ANA524244 AWW524244 BGS524244 BQO524244 CAK524244 CKG524244 CUC524244 DDY524244 DNU524244 DXQ524244 EHM524244 ERI524244 FBE524244 FLA524244 FUW524244 GES524244 GOO524244 GYK524244 HIG524244 HSC524244 IBY524244 ILU524244 IVQ524244 JFM524244 JPI524244 JZE524244 KJA524244 KSW524244 LCS524244 LMO524244 LWK524244 MGG524244 MQC524244 MZY524244 NJU524244 NTQ524244 ODM524244 ONI524244 OXE524244 PHA524244 PQW524244 QAS524244 QKO524244 QUK524244 REG524244 ROC524244 RXY524244 SHU524244 SRQ524244 TBM524244 TLI524244 TVE524244 UFA524244 UOW524244 UYS524244 VIO524244 VSK524244 WCG524244 WMC524244 WVY524244 Q589780 JM589780 TI589780 ADE589780 ANA589780 AWW589780 BGS589780 BQO589780 CAK589780 CKG589780 CUC589780 DDY589780 DNU589780 DXQ589780 EHM589780 ERI589780 FBE589780 FLA589780 FUW589780 GES589780 GOO589780 GYK589780 HIG589780 HSC589780 IBY589780 ILU589780 IVQ589780 JFM589780 JPI589780 JZE589780 KJA589780 KSW589780 LCS589780 LMO589780 LWK589780 MGG589780 MQC589780 MZY589780 NJU589780 NTQ589780 ODM589780 ONI589780 OXE589780 PHA589780 PQW589780 QAS589780 QKO589780 QUK589780 REG589780 ROC589780 RXY589780 SHU589780 SRQ589780 TBM589780 TLI589780 TVE589780 UFA589780 UOW589780 UYS589780 VIO589780 VSK589780 WCG589780 WMC589780 WVY589780 Q655316 JM655316 TI655316 ADE655316 ANA655316 AWW655316 BGS655316 BQO655316 CAK655316 CKG655316 CUC655316 DDY655316 DNU655316 DXQ655316 EHM655316 ERI655316 FBE655316 FLA655316 FUW655316 GES655316 GOO655316 GYK655316 HIG655316 HSC655316 IBY655316 ILU655316 IVQ655316 JFM655316 JPI655316 JZE655316 KJA655316 KSW655316 LCS655316 LMO655316 LWK655316 MGG655316 MQC655316 MZY655316 NJU655316 NTQ655316 ODM655316 ONI655316 OXE655316 PHA655316 PQW655316 QAS655316 QKO655316 QUK655316 REG655316 ROC655316 RXY655316 SHU655316 SRQ655316 TBM655316 TLI655316 TVE655316 UFA655316 UOW655316 UYS655316 VIO655316 VSK655316 WCG655316 WMC655316 WVY655316 Q720852 JM720852 TI720852 ADE720852 ANA720852 AWW720852 BGS720852 BQO720852 CAK720852 CKG720852 CUC720852 DDY720852 DNU720852 DXQ720852 EHM720852 ERI720852 FBE720852 FLA720852 FUW720852 GES720852 GOO720852 GYK720852 HIG720852 HSC720852 IBY720852 ILU720852 IVQ720852 JFM720852 JPI720852 JZE720852 KJA720852 KSW720852 LCS720852 LMO720852 LWK720852 MGG720852 MQC720852 MZY720852 NJU720852 NTQ720852 ODM720852 ONI720852 OXE720852 PHA720852 PQW720852 QAS720852 QKO720852 QUK720852 REG720852 ROC720852 RXY720852 SHU720852 SRQ720852 TBM720852 TLI720852 TVE720852 UFA720852 UOW720852 UYS720852 VIO720852 VSK720852 WCG720852 WMC720852 WVY720852 Q786388 JM786388 TI786388 ADE786388 ANA786388 AWW786388 BGS786388 BQO786388 CAK786388 CKG786388 CUC786388 DDY786388 DNU786388 DXQ786388 EHM786388 ERI786388 FBE786388 FLA786388 FUW786388 GES786388 GOO786388 GYK786388 HIG786388 HSC786388 IBY786388 ILU786388 IVQ786388 JFM786388 JPI786388 JZE786388 KJA786388 KSW786388 LCS786388 LMO786388 LWK786388 MGG786388 MQC786388 MZY786388 NJU786388 NTQ786388 ODM786388 ONI786388 OXE786388 PHA786388 PQW786388 QAS786388 QKO786388 QUK786388 REG786388 ROC786388 RXY786388 SHU786388 SRQ786388 TBM786388 TLI786388 TVE786388 UFA786388 UOW786388 UYS786388 VIO786388 VSK786388 WCG786388 WMC786388 WVY786388 Q851924 JM851924 TI851924 ADE851924 ANA851924 AWW851924 BGS851924 BQO851924 CAK851924 CKG851924 CUC851924 DDY851924 DNU851924 DXQ851924 EHM851924 ERI851924 FBE851924 FLA851924 FUW851924 GES851924 GOO851924 GYK851924 HIG851924 HSC851924 IBY851924 ILU851924 IVQ851924 JFM851924 JPI851924 JZE851924 KJA851924 KSW851924 LCS851924 LMO851924 LWK851924 MGG851924 MQC851924 MZY851924 NJU851924 NTQ851924 ODM851924 ONI851924 OXE851924 PHA851924 PQW851924 QAS851924 QKO851924 QUK851924 REG851924 ROC851924 RXY851924 SHU851924 SRQ851924 TBM851924 TLI851924 TVE851924 UFA851924 UOW851924 UYS851924 VIO851924 VSK851924 WCG851924 WMC851924 WVY851924 Q917460 JM917460 TI917460 ADE917460 ANA917460 AWW917460 BGS917460 BQO917460 CAK917460 CKG917460 CUC917460 DDY917460 DNU917460 DXQ917460 EHM917460 ERI917460 FBE917460 FLA917460 FUW917460 GES917460 GOO917460 GYK917460 HIG917460 HSC917460 IBY917460 ILU917460 IVQ917460 JFM917460 JPI917460 JZE917460 KJA917460 KSW917460 LCS917460 LMO917460 LWK917460 MGG917460 MQC917460 MZY917460 NJU917460 NTQ917460 ODM917460 ONI917460 OXE917460 PHA917460 PQW917460 QAS917460 QKO917460 QUK917460 REG917460 ROC917460 RXY917460 SHU917460 SRQ917460 TBM917460 TLI917460 TVE917460 UFA917460 UOW917460 UYS917460 VIO917460 VSK917460 WCG917460 WMC917460 WVY917460 Q982996 JM982996 TI982996 ADE982996 ANA982996 AWW982996 BGS982996 BQO982996 CAK982996 CKG982996 CUC982996 DDY982996 DNU982996 DXQ982996 EHM982996 ERI982996 FBE982996 FLA982996 FUW982996 GES982996 GOO982996 GYK982996 HIG982996 HSC982996 IBY982996 ILU982996 IVQ982996 JFM982996 JPI982996 JZE982996 KJA982996 KSW982996 LCS982996 LMO982996 LWK982996 MGG982996 MQC982996 MZY982996 NJU982996 NTQ982996 ODM982996 ONI982996 OXE982996 PHA982996 PQW982996 QAS982996 QKO982996 QUK982996 REG982996 ROC982996 RXY982996 SHU982996 SRQ982996 TBM982996 TLI982996 TVE982996 UFA982996 UOW982996 UYS982996 VIO982996 VSK982996 WCG982996 WMC982996 WVY982996 C65530:F65530 IY65530:JB65530 SU65530:SX65530 ACQ65530:ACT65530 AMM65530:AMP65530 AWI65530:AWL65530 BGE65530:BGH65530 BQA65530:BQD65530 BZW65530:BZZ65530 CJS65530:CJV65530 CTO65530:CTR65530 DDK65530:DDN65530 DNG65530:DNJ65530 DXC65530:DXF65530 EGY65530:EHB65530 EQU65530:EQX65530 FAQ65530:FAT65530 FKM65530:FKP65530 FUI65530:FUL65530 GEE65530:GEH65530 GOA65530:GOD65530 GXW65530:GXZ65530 HHS65530:HHV65530 HRO65530:HRR65530 IBK65530:IBN65530 ILG65530:ILJ65530 IVC65530:IVF65530 JEY65530:JFB65530 JOU65530:JOX65530 JYQ65530:JYT65530 KIM65530:KIP65530 KSI65530:KSL65530 LCE65530:LCH65530 LMA65530:LMD65530 LVW65530:LVZ65530 MFS65530:MFV65530 MPO65530:MPR65530 MZK65530:MZN65530 NJG65530:NJJ65530 NTC65530:NTF65530 OCY65530:ODB65530 OMU65530:OMX65530 OWQ65530:OWT65530 PGM65530:PGP65530 PQI65530:PQL65530 QAE65530:QAH65530 QKA65530:QKD65530 QTW65530:QTZ65530 RDS65530:RDV65530 RNO65530:RNR65530 RXK65530:RXN65530 SHG65530:SHJ65530 SRC65530:SRF65530 TAY65530:TBB65530 TKU65530:TKX65530 TUQ65530:TUT65530 UEM65530:UEP65530 UOI65530:UOL65530 UYE65530:UYH65530 VIA65530:VID65530 VRW65530:VRZ65530 WBS65530:WBV65530 WLO65530:WLR65530 WVK65530:WVN65530 C131066:F131066 IY131066:JB131066 SU131066:SX131066 ACQ131066:ACT131066 AMM131066:AMP131066 AWI131066:AWL131066 BGE131066:BGH131066 BQA131066:BQD131066 BZW131066:BZZ131066 CJS131066:CJV131066 CTO131066:CTR131066 DDK131066:DDN131066 DNG131066:DNJ131066 DXC131066:DXF131066 EGY131066:EHB131066 EQU131066:EQX131066 FAQ131066:FAT131066 FKM131066:FKP131066 FUI131066:FUL131066 GEE131066:GEH131066 GOA131066:GOD131066 GXW131066:GXZ131066 HHS131066:HHV131066 HRO131066:HRR131066 IBK131066:IBN131066 ILG131066:ILJ131066 IVC131066:IVF131066 JEY131066:JFB131066 JOU131066:JOX131066 JYQ131066:JYT131066 KIM131066:KIP131066 KSI131066:KSL131066 LCE131066:LCH131066 LMA131066:LMD131066 LVW131066:LVZ131066 MFS131066:MFV131066 MPO131066:MPR131066 MZK131066:MZN131066 NJG131066:NJJ131066 NTC131066:NTF131066 OCY131066:ODB131066 OMU131066:OMX131066 OWQ131066:OWT131066 PGM131066:PGP131066 PQI131066:PQL131066 QAE131066:QAH131066 QKA131066:QKD131066 QTW131066:QTZ131066 RDS131066:RDV131066 RNO131066:RNR131066 RXK131066:RXN131066 SHG131066:SHJ131066 SRC131066:SRF131066 TAY131066:TBB131066 TKU131066:TKX131066 TUQ131066:TUT131066 UEM131066:UEP131066 UOI131066:UOL131066 UYE131066:UYH131066 VIA131066:VID131066 VRW131066:VRZ131066 WBS131066:WBV131066 WLO131066:WLR131066 WVK131066:WVN131066 C196602:F196602 IY196602:JB196602 SU196602:SX196602 ACQ196602:ACT196602 AMM196602:AMP196602 AWI196602:AWL196602 BGE196602:BGH196602 BQA196602:BQD196602 BZW196602:BZZ196602 CJS196602:CJV196602 CTO196602:CTR196602 DDK196602:DDN196602 DNG196602:DNJ196602 DXC196602:DXF196602 EGY196602:EHB196602 EQU196602:EQX196602 FAQ196602:FAT196602 FKM196602:FKP196602 FUI196602:FUL196602 GEE196602:GEH196602 GOA196602:GOD196602 GXW196602:GXZ196602 HHS196602:HHV196602 HRO196602:HRR196602 IBK196602:IBN196602 ILG196602:ILJ196602 IVC196602:IVF196602 JEY196602:JFB196602 JOU196602:JOX196602 JYQ196602:JYT196602 KIM196602:KIP196602 KSI196602:KSL196602 LCE196602:LCH196602 LMA196602:LMD196602 LVW196602:LVZ196602 MFS196602:MFV196602 MPO196602:MPR196602 MZK196602:MZN196602 NJG196602:NJJ196602 NTC196602:NTF196602 OCY196602:ODB196602 OMU196602:OMX196602 OWQ196602:OWT196602 PGM196602:PGP196602 PQI196602:PQL196602 QAE196602:QAH196602 QKA196602:QKD196602 QTW196602:QTZ196602 RDS196602:RDV196602 RNO196602:RNR196602 RXK196602:RXN196602 SHG196602:SHJ196602 SRC196602:SRF196602 TAY196602:TBB196602 TKU196602:TKX196602 TUQ196602:TUT196602 UEM196602:UEP196602 UOI196602:UOL196602 UYE196602:UYH196602 VIA196602:VID196602 VRW196602:VRZ196602 WBS196602:WBV196602 WLO196602:WLR196602 WVK196602:WVN196602 C262138:F262138 IY262138:JB262138 SU262138:SX262138 ACQ262138:ACT262138 AMM262138:AMP262138 AWI262138:AWL262138 BGE262138:BGH262138 BQA262138:BQD262138 BZW262138:BZZ262138 CJS262138:CJV262138 CTO262138:CTR262138 DDK262138:DDN262138 DNG262138:DNJ262138 DXC262138:DXF262138 EGY262138:EHB262138 EQU262138:EQX262138 FAQ262138:FAT262138 FKM262138:FKP262138 FUI262138:FUL262138 GEE262138:GEH262138 GOA262138:GOD262138 GXW262138:GXZ262138 HHS262138:HHV262138 HRO262138:HRR262138 IBK262138:IBN262138 ILG262138:ILJ262138 IVC262138:IVF262138 JEY262138:JFB262138 JOU262138:JOX262138 JYQ262138:JYT262138 KIM262138:KIP262138 KSI262138:KSL262138 LCE262138:LCH262138 LMA262138:LMD262138 LVW262138:LVZ262138 MFS262138:MFV262138 MPO262138:MPR262138 MZK262138:MZN262138 NJG262138:NJJ262138 NTC262138:NTF262138 OCY262138:ODB262138 OMU262138:OMX262138 OWQ262138:OWT262138 PGM262138:PGP262138 PQI262138:PQL262138 QAE262138:QAH262138 QKA262138:QKD262138 QTW262138:QTZ262138 RDS262138:RDV262138 RNO262138:RNR262138 RXK262138:RXN262138 SHG262138:SHJ262138 SRC262138:SRF262138 TAY262138:TBB262138 TKU262138:TKX262138 TUQ262138:TUT262138 UEM262138:UEP262138 UOI262138:UOL262138 UYE262138:UYH262138 VIA262138:VID262138 VRW262138:VRZ262138 WBS262138:WBV262138 WLO262138:WLR262138 WVK262138:WVN262138 C327674:F327674 IY327674:JB327674 SU327674:SX327674 ACQ327674:ACT327674 AMM327674:AMP327674 AWI327674:AWL327674 BGE327674:BGH327674 BQA327674:BQD327674 BZW327674:BZZ327674 CJS327674:CJV327674 CTO327674:CTR327674 DDK327674:DDN327674 DNG327674:DNJ327674 DXC327674:DXF327674 EGY327674:EHB327674 EQU327674:EQX327674 FAQ327674:FAT327674 FKM327674:FKP327674 FUI327674:FUL327674 GEE327674:GEH327674 GOA327674:GOD327674 GXW327674:GXZ327674 HHS327674:HHV327674 HRO327674:HRR327674 IBK327674:IBN327674 ILG327674:ILJ327674 IVC327674:IVF327674 JEY327674:JFB327674 JOU327674:JOX327674 JYQ327674:JYT327674 KIM327674:KIP327674 KSI327674:KSL327674 LCE327674:LCH327674 LMA327674:LMD327674 LVW327674:LVZ327674 MFS327674:MFV327674 MPO327674:MPR327674 MZK327674:MZN327674 NJG327674:NJJ327674 NTC327674:NTF327674 OCY327674:ODB327674 OMU327674:OMX327674 OWQ327674:OWT327674 PGM327674:PGP327674 PQI327674:PQL327674 QAE327674:QAH327674 QKA327674:QKD327674 QTW327674:QTZ327674 RDS327674:RDV327674 RNO327674:RNR327674 RXK327674:RXN327674 SHG327674:SHJ327674 SRC327674:SRF327674 TAY327674:TBB327674 TKU327674:TKX327674 TUQ327674:TUT327674 UEM327674:UEP327674 UOI327674:UOL327674 UYE327674:UYH327674 VIA327674:VID327674 VRW327674:VRZ327674 WBS327674:WBV327674 WLO327674:WLR327674 WVK327674:WVN327674 C393210:F393210 IY393210:JB393210 SU393210:SX393210 ACQ393210:ACT393210 AMM393210:AMP393210 AWI393210:AWL393210 BGE393210:BGH393210 BQA393210:BQD393210 BZW393210:BZZ393210 CJS393210:CJV393210 CTO393210:CTR393210 DDK393210:DDN393210 DNG393210:DNJ393210 DXC393210:DXF393210 EGY393210:EHB393210 EQU393210:EQX393210 FAQ393210:FAT393210 FKM393210:FKP393210 FUI393210:FUL393210 GEE393210:GEH393210 GOA393210:GOD393210 GXW393210:GXZ393210 HHS393210:HHV393210 HRO393210:HRR393210 IBK393210:IBN393210 ILG393210:ILJ393210 IVC393210:IVF393210 JEY393210:JFB393210 JOU393210:JOX393210 JYQ393210:JYT393210 KIM393210:KIP393210 KSI393210:KSL393210 LCE393210:LCH393210 LMA393210:LMD393210 LVW393210:LVZ393210 MFS393210:MFV393210 MPO393210:MPR393210 MZK393210:MZN393210 NJG393210:NJJ393210 NTC393210:NTF393210 OCY393210:ODB393210 OMU393210:OMX393210 OWQ393210:OWT393210 PGM393210:PGP393210 PQI393210:PQL393210 QAE393210:QAH393210 QKA393210:QKD393210 QTW393210:QTZ393210 RDS393210:RDV393210 RNO393210:RNR393210 RXK393210:RXN393210 SHG393210:SHJ393210 SRC393210:SRF393210 TAY393210:TBB393210 TKU393210:TKX393210 TUQ393210:TUT393210 UEM393210:UEP393210 UOI393210:UOL393210 UYE393210:UYH393210 VIA393210:VID393210 VRW393210:VRZ393210 WBS393210:WBV393210 WLO393210:WLR393210 WVK393210:WVN393210 C458746:F458746 IY458746:JB458746 SU458746:SX458746 ACQ458746:ACT458746 AMM458746:AMP458746 AWI458746:AWL458746 BGE458746:BGH458746 BQA458746:BQD458746 BZW458746:BZZ458746 CJS458746:CJV458746 CTO458746:CTR458746 DDK458746:DDN458746 DNG458746:DNJ458746 DXC458746:DXF458746 EGY458746:EHB458746 EQU458746:EQX458746 FAQ458746:FAT458746 FKM458746:FKP458746 FUI458746:FUL458746 GEE458746:GEH458746 GOA458746:GOD458746 GXW458746:GXZ458746 HHS458746:HHV458746 HRO458746:HRR458746 IBK458746:IBN458746 ILG458746:ILJ458746 IVC458746:IVF458746 JEY458746:JFB458746 JOU458746:JOX458746 JYQ458746:JYT458746 KIM458746:KIP458746 KSI458746:KSL458746 LCE458746:LCH458746 LMA458746:LMD458746 LVW458746:LVZ458746 MFS458746:MFV458746 MPO458746:MPR458746 MZK458746:MZN458746 NJG458746:NJJ458746 NTC458746:NTF458746 OCY458746:ODB458746 OMU458746:OMX458746 OWQ458746:OWT458746 PGM458746:PGP458746 PQI458746:PQL458746 QAE458746:QAH458746 QKA458746:QKD458746 QTW458746:QTZ458746 RDS458746:RDV458746 RNO458746:RNR458746 RXK458746:RXN458746 SHG458746:SHJ458746 SRC458746:SRF458746 TAY458746:TBB458746 TKU458746:TKX458746 TUQ458746:TUT458746 UEM458746:UEP458746 UOI458746:UOL458746 UYE458746:UYH458746 VIA458746:VID458746 VRW458746:VRZ458746 WBS458746:WBV458746 WLO458746:WLR458746 WVK458746:WVN458746 C524282:F524282 IY524282:JB524282 SU524282:SX524282 ACQ524282:ACT524282 AMM524282:AMP524282 AWI524282:AWL524282 BGE524282:BGH524282 BQA524282:BQD524282 BZW524282:BZZ524282 CJS524282:CJV524282 CTO524282:CTR524282 DDK524282:DDN524282 DNG524282:DNJ524282 DXC524282:DXF524282 EGY524282:EHB524282 EQU524282:EQX524282 FAQ524282:FAT524282 FKM524282:FKP524282 FUI524282:FUL524282 GEE524282:GEH524282 GOA524282:GOD524282 GXW524282:GXZ524282 HHS524282:HHV524282 HRO524282:HRR524282 IBK524282:IBN524282 ILG524282:ILJ524282 IVC524282:IVF524282 JEY524282:JFB524282 JOU524282:JOX524282 JYQ524282:JYT524282 KIM524282:KIP524282 KSI524282:KSL524282 LCE524282:LCH524282 LMA524282:LMD524282 LVW524282:LVZ524282 MFS524282:MFV524282 MPO524282:MPR524282 MZK524282:MZN524282 NJG524282:NJJ524282 NTC524282:NTF524282 OCY524282:ODB524282 OMU524282:OMX524282 OWQ524282:OWT524282 PGM524282:PGP524282 PQI524282:PQL524282 QAE524282:QAH524282 QKA524282:QKD524282 QTW524282:QTZ524282 RDS524282:RDV524282 RNO524282:RNR524282 RXK524282:RXN524282 SHG524282:SHJ524282 SRC524282:SRF524282 TAY524282:TBB524282 TKU524282:TKX524282 TUQ524282:TUT524282 UEM524282:UEP524282 UOI524282:UOL524282 UYE524282:UYH524282 VIA524282:VID524282 VRW524282:VRZ524282 WBS524282:WBV524282 WLO524282:WLR524282 WVK524282:WVN524282 C589818:F589818 IY589818:JB589818 SU589818:SX589818 ACQ589818:ACT589818 AMM589818:AMP589818 AWI589818:AWL589818 BGE589818:BGH589818 BQA589818:BQD589818 BZW589818:BZZ589818 CJS589818:CJV589818 CTO589818:CTR589818 DDK589818:DDN589818 DNG589818:DNJ589818 DXC589818:DXF589818 EGY589818:EHB589818 EQU589818:EQX589818 FAQ589818:FAT589818 FKM589818:FKP589818 FUI589818:FUL589818 GEE589818:GEH589818 GOA589818:GOD589818 GXW589818:GXZ589818 HHS589818:HHV589818 HRO589818:HRR589818 IBK589818:IBN589818 ILG589818:ILJ589818 IVC589818:IVF589818 JEY589818:JFB589818 JOU589818:JOX589818 JYQ589818:JYT589818 KIM589818:KIP589818 KSI589818:KSL589818 LCE589818:LCH589818 LMA589818:LMD589818 LVW589818:LVZ589818 MFS589818:MFV589818 MPO589818:MPR589818 MZK589818:MZN589818 NJG589818:NJJ589818 NTC589818:NTF589818 OCY589818:ODB589818 OMU589818:OMX589818 OWQ589818:OWT589818 PGM589818:PGP589818 PQI589818:PQL589818 QAE589818:QAH589818 QKA589818:QKD589818 QTW589818:QTZ589818 RDS589818:RDV589818 RNO589818:RNR589818 RXK589818:RXN589818 SHG589818:SHJ589818 SRC589818:SRF589818 TAY589818:TBB589818 TKU589818:TKX589818 TUQ589818:TUT589818 UEM589818:UEP589818 UOI589818:UOL589818 UYE589818:UYH589818 VIA589818:VID589818 VRW589818:VRZ589818 WBS589818:WBV589818 WLO589818:WLR589818 WVK589818:WVN589818 C655354:F655354 IY655354:JB655354 SU655354:SX655354 ACQ655354:ACT655354 AMM655354:AMP655354 AWI655354:AWL655354 BGE655354:BGH655354 BQA655354:BQD655354 BZW655354:BZZ655354 CJS655354:CJV655354 CTO655354:CTR655354 DDK655354:DDN655354 DNG655354:DNJ655354 DXC655354:DXF655354 EGY655354:EHB655354 EQU655354:EQX655354 FAQ655354:FAT655354 FKM655354:FKP655354 FUI655354:FUL655354 GEE655354:GEH655354 GOA655354:GOD655354 GXW655354:GXZ655354 HHS655354:HHV655354 HRO655354:HRR655354 IBK655354:IBN655354 ILG655354:ILJ655354 IVC655354:IVF655354 JEY655354:JFB655354 JOU655354:JOX655354 JYQ655354:JYT655354 KIM655354:KIP655354 KSI655354:KSL655354 LCE655354:LCH655354 LMA655354:LMD655354 LVW655354:LVZ655354 MFS655354:MFV655354 MPO655354:MPR655354 MZK655354:MZN655354 NJG655354:NJJ655354 NTC655354:NTF655354 OCY655354:ODB655354 OMU655354:OMX655354 OWQ655354:OWT655354 PGM655354:PGP655354 PQI655354:PQL655354 QAE655354:QAH655354 QKA655354:QKD655354 QTW655354:QTZ655354 RDS655354:RDV655354 RNO655354:RNR655354 RXK655354:RXN655354 SHG655354:SHJ655354 SRC655354:SRF655354 TAY655354:TBB655354 TKU655354:TKX655354 TUQ655354:TUT655354 UEM655354:UEP655354 UOI655354:UOL655354 UYE655354:UYH655354 VIA655354:VID655354 VRW655354:VRZ655354 WBS655354:WBV655354 WLO655354:WLR655354 WVK655354:WVN655354 C720890:F720890 IY720890:JB720890 SU720890:SX720890 ACQ720890:ACT720890 AMM720890:AMP720890 AWI720890:AWL720890 BGE720890:BGH720890 BQA720890:BQD720890 BZW720890:BZZ720890 CJS720890:CJV720890 CTO720890:CTR720890 DDK720890:DDN720890 DNG720890:DNJ720890 DXC720890:DXF720890 EGY720890:EHB720890 EQU720890:EQX720890 FAQ720890:FAT720890 FKM720890:FKP720890 FUI720890:FUL720890 GEE720890:GEH720890 GOA720890:GOD720890 GXW720890:GXZ720890 HHS720890:HHV720890 HRO720890:HRR720890 IBK720890:IBN720890 ILG720890:ILJ720890 IVC720890:IVF720890 JEY720890:JFB720890 JOU720890:JOX720890 JYQ720890:JYT720890 KIM720890:KIP720890 KSI720890:KSL720890 LCE720890:LCH720890 LMA720890:LMD720890 LVW720890:LVZ720890 MFS720890:MFV720890 MPO720890:MPR720890 MZK720890:MZN720890 NJG720890:NJJ720890 NTC720890:NTF720890 OCY720890:ODB720890 OMU720890:OMX720890 OWQ720890:OWT720890 PGM720890:PGP720890 PQI720890:PQL720890 QAE720890:QAH720890 QKA720890:QKD720890 QTW720890:QTZ720890 RDS720890:RDV720890 RNO720890:RNR720890 RXK720890:RXN720890 SHG720890:SHJ720890 SRC720890:SRF720890 TAY720890:TBB720890 TKU720890:TKX720890 TUQ720890:TUT720890 UEM720890:UEP720890 UOI720890:UOL720890 UYE720890:UYH720890 VIA720890:VID720890 VRW720890:VRZ720890 WBS720890:WBV720890 WLO720890:WLR720890 WVK720890:WVN720890 C786426:F786426 IY786426:JB786426 SU786426:SX786426 ACQ786426:ACT786426 AMM786426:AMP786426 AWI786426:AWL786426 BGE786426:BGH786426 BQA786426:BQD786426 BZW786426:BZZ786426 CJS786426:CJV786426 CTO786426:CTR786426 DDK786426:DDN786426 DNG786426:DNJ786426 DXC786426:DXF786426 EGY786426:EHB786426 EQU786426:EQX786426 FAQ786426:FAT786426 FKM786426:FKP786426 FUI786426:FUL786426 GEE786426:GEH786426 GOA786426:GOD786426 GXW786426:GXZ786426 HHS786426:HHV786426 HRO786426:HRR786426 IBK786426:IBN786426 ILG786426:ILJ786426 IVC786426:IVF786426 JEY786426:JFB786426 JOU786426:JOX786426 JYQ786426:JYT786426 KIM786426:KIP786426 KSI786426:KSL786426 LCE786426:LCH786426 LMA786426:LMD786426 LVW786426:LVZ786426 MFS786426:MFV786426 MPO786426:MPR786426 MZK786426:MZN786426 NJG786426:NJJ786426 NTC786426:NTF786426 OCY786426:ODB786426 OMU786426:OMX786426 OWQ786426:OWT786426 PGM786426:PGP786426 PQI786426:PQL786426 QAE786426:QAH786426 QKA786426:QKD786426 QTW786426:QTZ786426 RDS786426:RDV786426 RNO786426:RNR786426 RXK786426:RXN786426 SHG786426:SHJ786426 SRC786426:SRF786426 TAY786426:TBB786426 TKU786426:TKX786426 TUQ786426:TUT786426 UEM786426:UEP786426 UOI786426:UOL786426 UYE786426:UYH786426 VIA786426:VID786426 VRW786426:VRZ786426 WBS786426:WBV786426 WLO786426:WLR786426 WVK786426:WVN786426 C851962:F851962 IY851962:JB851962 SU851962:SX851962 ACQ851962:ACT851962 AMM851962:AMP851962 AWI851962:AWL851962 BGE851962:BGH851962 BQA851962:BQD851962 BZW851962:BZZ851962 CJS851962:CJV851962 CTO851962:CTR851962 DDK851962:DDN851962 DNG851962:DNJ851962 DXC851962:DXF851962 EGY851962:EHB851962 EQU851962:EQX851962 FAQ851962:FAT851962 FKM851962:FKP851962 FUI851962:FUL851962 GEE851962:GEH851962 GOA851962:GOD851962 GXW851962:GXZ851962 HHS851962:HHV851962 HRO851962:HRR851962 IBK851962:IBN851962 ILG851962:ILJ851962 IVC851962:IVF851962 JEY851962:JFB851962 JOU851962:JOX851962 JYQ851962:JYT851962 KIM851962:KIP851962 KSI851962:KSL851962 LCE851962:LCH851962 LMA851962:LMD851962 LVW851962:LVZ851962 MFS851962:MFV851962 MPO851962:MPR851962 MZK851962:MZN851962 NJG851962:NJJ851962 NTC851962:NTF851962 OCY851962:ODB851962 OMU851962:OMX851962 OWQ851962:OWT851962 PGM851962:PGP851962 PQI851962:PQL851962 QAE851962:QAH851962 QKA851962:QKD851962 QTW851962:QTZ851962 RDS851962:RDV851962 RNO851962:RNR851962 RXK851962:RXN851962 SHG851962:SHJ851962 SRC851962:SRF851962 TAY851962:TBB851962 TKU851962:TKX851962 TUQ851962:TUT851962 UEM851962:UEP851962 UOI851962:UOL851962 UYE851962:UYH851962 VIA851962:VID851962 VRW851962:VRZ851962 WBS851962:WBV851962 WLO851962:WLR851962 WVK851962:WVN851962 C917498:F917498 IY917498:JB917498 SU917498:SX917498 ACQ917498:ACT917498 AMM917498:AMP917498 AWI917498:AWL917498 BGE917498:BGH917498 BQA917498:BQD917498 BZW917498:BZZ917498 CJS917498:CJV917498 CTO917498:CTR917498 DDK917498:DDN917498 DNG917498:DNJ917498 DXC917498:DXF917498 EGY917498:EHB917498 EQU917498:EQX917498 FAQ917498:FAT917498 FKM917498:FKP917498 FUI917498:FUL917498 GEE917498:GEH917498 GOA917498:GOD917498 GXW917498:GXZ917498 HHS917498:HHV917498 HRO917498:HRR917498 IBK917498:IBN917498 ILG917498:ILJ917498 IVC917498:IVF917498 JEY917498:JFB917498 JOU917498:JOX917498 JYQ917498:JYT917498 KIM917498:KIP917498 KSI917498:KSL917498 LCE917498:LCH917498 LMA917498:LMD917498 LVW917498:LVZ917498 MFS917498:MFV917498 MPO917498:MPR917498 MZK917498:MZN917498 NJG917498:NJJ917498 NTC917498:NTF917498 OCY917498:ODB917498 OMU917498:OMX917498 OWQ917498:OWT917498 PGM917498:PGP917498 PQI917498:PQL917498 QAE917498:QAH917498 QKA917498:QKD917498 QTW917498:QTZ917498 RDS917498:RDV917498 RNO917498:RNR917498 RXK917498:RXN917498 SHG917498:SHJ917498 SRC917498:SRF917498 TAY917498:TBB917498 TKU917498:TKX917498 TUQ917498:TUT917498 UEM917498:UEP917498 UOI917498:UOL917498 UYE917498:UYH917498 VIA917498:VID917498 VRW917498:VRZ917498 WBS917498:WBV917498 WLO917498:WLR917498 WVK917498:WVN917498 C983034:F983034 IY983034:JB983034 SU983034:SX983034 ACQ983034:ACT983034 AMM983034:AMP983034 AWI983034:AWL983034 BGE983034:BGH983034 BQA983034:BQD983034 BZW983034:BZZ983034 CJS983034:CJV983034 CTO983034:CTR983034 DDK983034:DDN983034 DNG983034:DNJ983034 DXC983034:DXF983034 EGY983034:EHB983034 EQU983034:EQX983034 FAQ983034:FAT983034 FKM983034:FKP983034 FUI983034:FUL983034 GEE983034:GEH983034 GOA983034:GOD983034 GXW983034:GXZ983034 HHS983034:HHV983034 HRO983034:HRR983034 IBK983034:IBN983034 ILG983034:ILJ983034 IVC983034:IVF983034 JEY983034:JFB983034 JOU983034:JOX983034 JYQ983034:JYT983034 KIM983034:KIP983034 KSI983034:KSL983034 LCE983034:LCH983034 LMA983034:LMD983034 LVW983034:LVZ983034 MFS983034:MFV983034 MPO983034:MPR983034 MZK983034:MZN983034 NJG983034:NJJ983034 NTC983034:NTF983034 OCY983034:ODB983034 OMU983034:OMX983034 OWQ983034:OWT983034 PGM983034:PGP983034 PQI983034:PQL983034 QAE983034:QAH983034 QKA983034:QKD983034 QTW983034:QTZ983034 RDS983034:RDV983034 RNO983034:RNR983034 RXK983034:RXN983034 SHG983034:SHJ983034 SRC983034:SRF983034 TAY983034:TBB983034 TKU983034:TKX983034 TUQ983034:TUT983034 UEM983034:UEP983034 UOI983034:UOL983034 UYE983034:UYH983034 VIA983034:VID983034 VRW983034:VRZ983034 WBS983034:WBV983034 WLO983034:WLR983034 WVK983034:WVN983034 C65532:F65532 IY65532:JB65532 SU65532:SX65532 ACQ65532:ACT65532 AMM65532:AMP65532 AWI65532:AWL65532 BGE65532:BGH65532 BQA65532:BQD65532 BZW65532:BZZ65532 CJS65532:CJV65532 CTO65532:CTR65532 DDK65532:DDN65532 DNG65532:DNJ65532 DXC65532:DXF65532 EGY65532:EHB65532 EQU65532:EQX65532 FAQ65532:FAT65532 FKM65532:FKP65532 FUI65532:FUL65532 GEE65532:GEH65532 GOA65532:GOD65532 GXW65532:GXZ65532 HHS65532:HHV65532 HRO65532:HRR65532 IBK65532:IBN65532 ILG65532:ILJ65532 IVC65532:IVF65532 JEY65532:JFB65532 JOU65532:JOX65532 JYQ65532:JYT65532 KIM65532:KIP65532 KSI65532:KSL65532 LCE65532:LCH65532 LMA65532:LMD65532 LVW65532:LVZ65532 MFS65532:MFV65532 MPO65532:MPR65532 MZK65532:MZN65532 NJG65532:NJJ65532 NTC65532:NTF65532 OCY65532:ODB65532 OMU65532:OMX65532 OWQ65532:OWT65532 PGM65532:PGP65532 PQI65532:PQL65532 QAE65532:QAH65532 QKA65532:QKD65532 QTW65532:QTZ65532 RDS65532:RDV65532 RNO65532:RNR65532 RXK65532:RXN65532 SHG65532:SHJ65532 SRC65532:SRF65532 TAY65532:TBB65532 TKU65532:TKX65532 TUQ65532:TUT65532 UEM65532:UEP65532 UOI65532:UOL65532 UYE65532:UYH65532 VIA65532:VID65532 VRW65532:VRZ65532 WBS65532:WBV65532 WLO65532:WLR65532 WVK65532:WVN65532 C131068:F131068 IY131068:JB131068 SU131068:SX131068 ACQ131068:ACT131068 AMM131068:AMP131068 AWI131068:AWL131068 BGE131068:BGH131068 BQA131068:BQD131068 BZW131068:BZZ131068 CJS131068:CJV131068 CTO131068:CTR131068 DDK131068:DDN131068 DNG131068:DNJ131068 DXC131068:DXF131068 EGY131068:EHB131068 EQU131068:EQX131068 FAQ131068:FAT131068 FKM131068:FKP131068 FUI131068:FUL131068 GEE131068:GEH131068 GOA131068:GOD131068 GXW131068:GXZ131068 HHS131068:HHV131068 HRO131068:HRR131068 IBK131068:IBN131068 ILG131068:ILJ131068 IVC131068:IVF131068 JEY131068:JFB131068 JOU131068:JOX131068 JYQ131068:JYT131068 KIM131068:KIP131068 KSI131068:KSL131068 LCE131068:LCH131068 LMA131068:LMD131068 LVW131068:LVZ131068 MFS131068:MFV131068 MPO131068:MPR131068 MZK131068:MZN131068 NJG131068:NJJ131068 NTC131068:NTF131068 OCY131068:ODB131068 OMU131068:OMX131068 OWQ131068:OWT131068 PGM131068:PGP131068 PQI131068:PQL131068 QAE131068:QAH131068 QKA131068:QKD131068 QTW131068:QTZ131068 RDS131068:RDV131068 RNO131068:RNR131068 RXK131068:RXN131068 SHG131068:SHJ131068 SRC131068:SRF131068 TAY131068:TBB131068 TKU131068:TKX131068 TUQ131068:TUT131068 UEM131068:UEP131068 UOI131068:UOL131068 UYE131068:UYH131068 VIA131068:VID131068 VRW131068:VRZ131068 WBS131068:WBV131068 WLO131068:WLR131068 WVK131068:WVN131068 C196604:F196604 IY196604:JB196604 SU196604:SX196604 ACQ196604:ACT196604 AMM196604:AMP196604 AWI196604:AWL196604 BGE196604:BGH196604 BQA196604:BQD196604 BZW196604:BZZ196604 CJS196604:CJV196604 CTO196604:CTR196604 DDK196604:DDN196604 DNG196604:DNJ196604 DXC196604:DXF196604 EGY196604:EHB196604 EQU196604:EQX196604 FAQ196604:FAT196604 FKM196604:FKP196604 FUI196604:FUL196604 GEE196604:GEH196604 GOA196604:GOD196604 GXW196604:GXZ196604 HHS196604:HHV196604 HRO196604:HRR196604 IBK196604:IBN196604 ILG196604:ILJ196604 IVC196604:IVF196604 JEY196604:JFB196604 JOU196604:JOX196604 JYQ196604:JYT196604 KIM196604:KIP196604 KSI196604:KSL196604 LCE196604:LCH196604 LMA196604:LMD196604 LVW196604:LVZ196604 MFS196604:MFV196604 MPO196604:MPR196604 MZK196604:MZN196604 NJG196604:NJJ196604 NTC196604:NTF196604 OCY196604:ODB196604 OMU196604:OMX196604 OWQ196604:OWT196604 PGM196604:PGP196604 PQI196604:PQL196604 QAE196604:QAH196604 QKA196604:QKD196604 QTW196604:QTZ196604 RDS196604:RDV196604 RNO196604:RNR196604 RXK196604:RXN196604 SHG196604:SHJ196604 SRC196604:SRF196604 TAY196604:TBB196604 TKU196604:TKX196604 TUQ196604:TUT196604 UEM196604:UEP196604 UOI196604:UOL196604 UYE196604:UYH196604 VIA196604:VID196604 VRW196604:VRZ196604 WBS196604:WBV196604 WLO196604:WLR196604 WVK196604:WVN196604 C262140:F262140 IY262140:JB262140 SU262140:SX262140 ACQ262140:ACT262140 AMM262140:AMP262140 AWI262140:AWL262140 BGE262140:BGH262140 BQA262140:BQD262140 BZW262140:BZZ262140 CJS262140:CJV262140 CTO262140:CTR262140 DDK262140:DDN262140 DNG262140:DNJ262140 DXC262140:DXF262140 EGY262140:EHB262140 EQU262140:EQX262140 FAQ262140:FAT262140 FKM262140:FKP262140 FUI262140:FUL262140 GEE262140:GEH262140 GOA262140:GOD262140 GXW262140:GXZ262140 HHS262140:HHV262140 HRO262140:HRR262140 IBK262140:IBN262140 ILG262140:ILJ262140 IVC262140:IVF262140 JEY262140:JFB262140 JOU262140:JOX262140 JYQ262140:JYT262140 KIM262140:KIP262140 KSI262140:KSL262140 LCE262140:LCH262140 LMA262140:LMD262140 LVW262140:LVZ262140 MFS262140:MFV262140 MPO262140:MPR262140 MZK262140:MZN262140 NJG262140:NJJ262140 NTC262140:NTF262140 OCY262140:ODB262140 OMU262140:OMX262140 OWQ262140:OWT262140 PGM262140:PGP262140 PQI262140:PQL262140 QAE262140:QAH262140 QKA262140:QKD262140 QTW262140:QTZ262140 RDS262140:RDV262140 RNO262140:RNR262140 RXK262140:RXN262140 SHG262140:SHJ262140 SRC262140:SRF262140 TAY262140:TBB262140 TKU262140:TKX262140 TUQ262140:TUT262140 UEM262140:UEP262140 UOI262140:UOL262140 UYE262140:UYH262140 VIA262140:VID262140 VRW262140:VRZ262140 WBS262140:WBV262140 WLO262140:WLR262140 WVK262140:WVN262140 C327676:F327676 IY327676:JB327676 SU327676:SX327676 ACQ327676:ACT327676 AMM327676:AMP327676 AWI327676:AWL327676 BGE327676:BGH327676 BQA327676:BQD327676 BZW327676:BZZ327676 CJS327676:CJV327676 CTO327676:CTR327676 DDK327676:DDN327676 DNG327676:DNJ327676 DXC327676:DXF327676 EGY327676:EHB327676 EQU327676:EQX327676 FAQ327676:FAT327676 FKM327676:FKP327676 FUI327676:FUL327676 GEE327676:GEH327676 GOA327676:GOD327676 GXW327676:GXZ327676 HHS327676:HHV327676 HRO327676:HRR327676 IBK327676:IBN327676 ILG327676:ILJ327676 IVC327676:IVF327676 JEY327676:JFB327676 JOU327676:JOX327676 JYQ327676:JYT327676 KIM327676:KIP327676 KSI327676:KSL327676 LCE327676:LCH327676 LMA327676:LMD327676 LVW327676:LVZ327676 MFS327676:MFV327676 MPO327676:MPR327676 MZK327676:MZN327676 NJG327676:NJJ327676 NTC327676:NTF327676 OCY327676:ODB327676 OMU327676:OMX327676 OWQ327676:OWT327676 PGM327676:PGP327676 PQI327676:PQL327676 QAE327676:QAH327676 QKA327676:QKD327676 QTW327676:QTZ327676 RDS327676:RDV327676 RNO327676:RNR327676 RXK327676:RXN327676 SHG327676:SHJ327676 SRC327676:SRF327676 TAY327676:TBB327676 TKU327676:TKX327676 TUQ327676:TUT327676 UEM327676:UEP327676 UOI327676:UOL327676 UYE327676:UYH327676 VIA327676:VID327676 VRW327676:VRZ327676 WBS327676:WBV327676 WLO327676:WLR327676 WVK327676:WVN327676 C393212:F393212 IY393212:JB393212 SU393212:SX393212 ACQ393212:ACT393212 AMM393212:AMP393212 AWI393212:AWL393212 BGE393212:BGH393212 BQA393212:BQD393212 BZW393212:BZZ393212 CJS393212:CJV393212 CTO393212:CTR393212 DDK393212:DDN393212 DNG393212:DNJ393212 DXC393212:DXF393212 EGY393212:EHB393212 EQU393212:EQX393212 FAQ393212:FAT393212 FKM393212:FKP393212 FUI393212:FUL393212 GEE393212:GEH393212 GOA393212:GOD393212 GXW393212:GXZ393212 HHS393212:HHV393212 HRO393212:HRR393212 IBK393212:IBN393212 ILG393212:ILJ393212 IVC393212:IVF393212 JEY393212:JFB393212 JOU393212:JOX393212 JYQ393212:JYT393212 KIM393212:KIP393212 KSI393212:KSL393212 LCE393212:LCH393212 LMA393212:LMD393212 LVW393212:LVZ393212 MFS393212:MFV393212 MPO393212:MPR393212 MZK393212:MZN393212 NJG393212:NJJ393212 NTC393212:NTF393212 OCY393212:ODB393212 OMU393212:OMX393212 OWQ393212:OWT393212 PGM393212:PGP393212 PQI393212:PQL393212 QAE393212:QAH393212 QKA393212:QKD393212 QTW393212:QTZ393212 RDS393212:RDV393212 RNO393212:RNR393212 RXK393212:RXN393212 SHG393212:SHJ393212 SRC393212:SRF393212 TAY393212:TBB393212 TKU393212:TKX393212 TUQ393212:TUT393212 UEM393212:UEP393212 UOI393212:UOL393212 UYE393212:UYH393212 VIA393212:VID393212 VRW393212:VRZ393212 WBS393212:WBV393212 WLO393212:WLR393212 WVK393212:WVN393212 C458748:F458748 IY458748:JB458748 SU458748:SX458748 ACQ458748:ACT458748 AMM458748:AMP458748 AWI458748:AWL458748 BGE458748:BGH458748 BQA458748:BQD458748 BZW458748:BZZ458748 CJS458748:CJV458748 CTO458748:CTR458748 DDK458748:DDN458748 DNG458748:DNJ458748 DXC458748:DXF458748 EGY458748:EHB458748 EQU458748:EQX458748 FAQ458748:FAT458748 FKM458748:FKP458748 FUI458748:FUL458748 GEE458748:GEH458748 GOA458748:GOD458748 GXW458748:GXZ458748 HHS458748:HHV458748 HRO458748:HRR458748 IBK458748:IBN458748 ILG458748:ILJ458748 IVC458748:IVF458748 JEY458748:JFB458748 JOU458748:JOX458748 JYQ458748:JYT458748 KIM458748:KIP458748 KSI458748:KSL458748 LCE458748:LCH458748 LMA458748:LMD458748 LVW458748:LVZ458748 MFS458748:MFV458748 MPO458748:MPR458748 MZK458748:MZN458748 NJG458748:NJJ458748 NTC458748:NTF458748 OCY458748:ODB458748 OMU458748:OMX458748 OWQ458748:OWT458748 PGM458748:PGP458748 PQI458748:PQL458748 QAE458748:QAH458748 QKA458748:QKD458748 QTW458748:QTZ458748 RDS458748:RDV458748 RNO458748:RNR458748 RXK458748:RXN458748 SHG458748:SHJ458748 SRC458748:SRF458748 TAY458748:TBB458748 TKU458748:TKX458748 TUQ458748:TUT458748 UEM458748:UEP458748 UOI458748:UOL458748 UYE458748:UYH458748 VIA458748:VID458748 VRW458748:VRZ458748 WBS458748:WBV458748 WLO458748:WLR458748 WVK458748:WVN458748 C524284:F524284 IY524284:JB524284 SU524284:SX524284 ACQ524284:ACT524284 AMM524284:AMP524284 AWI524284:AWL524284 BGE524284:BGH524284 BQA524284:BQD524284 BZW524284:BZZ524284 CJS524284:CJV524284 CTO524284:CTR524284 DDK524284:DDN524284 DNG524284:DNJ524284 DXC524284:DXF524284 EGY524284:EHB524284 EQU524284:EQX524284 FAQ524284:FAT524284 FKM524284:FKP524284 FUI524284:FUL524284 GEE524284:GEH524284 GOA524284:GOD524284 GXW524284:GXZ524284 HHS524284:HHV524284 HRO524284:HRR524284 IBK524284:IBN524284 ILG524284:ILJ524284 IVC524284:IVF524284 JEY524284:JFB524284 JOU524284:JOX524284 JYQ524284:JYT524284 KIM524284:KIP524284 KSI524284:KSL524284 LCE524284:LCH524284 LMA524284:LMD524284 LVW524284:LVZ524284 MFS524284:MFV524284 MPO524284:MPR524284 MZK524284:MZN524284 NJG524284:NJJ524284 NTC524284:NTF524284 OCY524284:ODB524284 OMU524284:OMX524284 OWQ524284:OWT524284 PGM524284:PGP524284 PQI524284:PQL524284 QAE524284:QAH524284 QKA524284:QKD524284 QTW524284:QTZ524284 RDS524284:RDV524284 RNO524284:RNR524284 RXK524284:RXN524284 SHG524284:SHJ524284 SRC524284:SRF524284 TAY524284:TBB524284 TKU524284:TKX524284 TUQ524284:TUT524284 UEM524284:UEP524284 UOI524284:UOL524284 UYE524284:UYH524284 VIA524284:VID524284 VRW524284:VRZ524284 WBS524284:WBV524284 WLO524284:WLR524284 WVK524284:WVN524284 C589820:F589820 IY589820:JB589820 SU589820:SX589820 ACQ589820:ACT589820 AMM589820:AMP589820 AWI589820:AWL589820 BGE589820:BGH589820 BQA589820:BQD589820 BZW589820:BZZ589820 CJS589820:CJV589820 CTO589820:CTR589820 DDK589820:DDN589820 DNG589820:DNJ589820 DXC589820:DXF589820 EGY589820:EHB589820 EQU589820:EQX589820 FAQ589820:FAT589820 FKM589820:FKP589820 FUI589820:FUL589820 GEE589820:GEH589820 GOA589820:GOD589820 GXW589820:GXZ589820 HHS589820:HHV589820 HRO589820:HRR589820 IBK589820:IBN589820 ILG589820:ILJ589820 IVC589820:IVF589820 JEY589820:JFB589820 JOU589820:JOX589820 JYQ589820:JYT589820 KIM589820:KIP589820 KSI589820:KSL589820 LCE589820:LCH589820 LMA589820:LMD589820 LVW589820:LVZ589820 MFS589820:MFV589820 MPO589820:MPR589820 MZK589820:MZN589820 NJG589820:NJJ589820 NTC589820:NTF589820 OCY589820:ODB589820 OMU589820:OMX589820 OWQ589820:OWT589820 PGM589820:PGP589820 PQI589820:PQL589820 QAE589820:QAH589820 QKA589820:QKD589820 QTW589820:QTZ589820 RDS589820:RDV589820 RNO589820:RNR589820 RXK589820:RXN589820 SHG589820:SHJ589820 SRC589820:SRF589820 TAY589820:TBB589820 TKU589820:TKX589820 TUQ589820:TUT589820 UEM589820:UEP589820 UOI589820:UOL589820 UYE589820:UYH589820 VIA589820:VID589820 VRW589820:VRZ589820 WBS589820:WBV589820 WLO589820:WLR589820 WVK589820:WVN589820 C655356:F655356 IY655356:JB655356 SU655356:SX655356 ACQ655356:ACT655356 AMM655356:AMP655356 AWI655356:AWL655356 BGE655356:BGH655356 BQA655356:BQD655356 BZW655356:BZZ655356 CJS655356:CJV655356 CTO655356:CTR655356 DDK655356:DDN655356 DNG655356:DNJ655356 DXC655356:DXF655356 EGY655356:EHB655356 EQU655356:EQX655356 FAQ655356:FAT655356 FKM655356:FKP655356 FUI655356:FUL655356 GEE655356:GEH655356 GOA655356:GOD655356 GXW655356:GXZ655356 HHS655356:HHV655356 HRO655356:HRR655356 IBK655356:IBN655356 ILG655356:ILJ655356 IVC655356:IVF655356 JEY655356:JFB655356 JOU655356:JOX655356 JYQ655356:JYT655356 KIM655356:KIP655356 KSI655356:KSL655356 LCE655356:LCH655356 LMA655356:LMD655356 LVW655356:LVZ655356 MFS655356:MFV655356 MPO655356:MPR655356 MZK655356:MZN655356 NJG655356:NJJ655356 NTC655356:NTF655356 OCY655356:ODB655356 OMU655356:OMX655356 OWQ655356:OWT655356 PGM655356:PGP655356 PQI655356:PQL655356 QAE655356:QAH655356 QKA655356:QKD655356 QTW655356:QTZ655356 RDS655356:RDV655356 RNO655356:RNR655356 RXK655356:RXN655356 SHG655356:SHJ655356 SRC655356:SRF655356 TAY655356:TBB655356 TKU655356:TKX655356 TUQ655356:TUT655356 UEM655356:UEP655356 UOI655356:UOL655356 UYE655356:UYH655356 VIA655356:VID655356 VRW655356:VRZ655356 WBS655356:WBV655356 WLO655356:WLR655356 WVK655356:WVN655356 C720892:F720892 IY720892:JB720892 SU720892:SX720892 ACQ720892:ACT720892 AMM720892:AMP720892 AWI720892:AWL720892 BGE720892:BGH720892 BQA720892:BQD720892 BZW720892:BZZ720892 CJS720892:CJV720892 CTO720892:CTR720892 DDK720892:DDN720892 DNG720892:DNJ720892 DXC720892:DXF720892 EGY720892:EHB720892 EQU720892:EQX720892 FAQ720892:FAT720892 FKM720892:FKP720892 FUI720892:FUL720892 GEE720892:GEH720892 GOA720892:GOD720892 GXW720892:GXZ720892 HHS720892:HHV720892 HRO720892:HRR720892 IBK720892:IBN720892 ILG720892:ILJ720892 IVC720892:IVF720892 JEY720892:JFB720892 JOU720892:JOX720892 JYQ720892:JYT720892 KIM720892:KIP720892 KSI720892:KSL720892 LCE720892:LCH720892 LMA720892:LMD720892 LVW720892:LVZ720892 MFS720892:MFV720892 MPO720892:MPR720892 MZK720892:MZN720892 NJG720892:NJJ720892 NTC720892:NTF720892 OCY720892:ODB720892 OMU720892:OMX720892 OWQ720892:OWT720892 PGM720892:PGP720892 PQI720892:PQL720892 QAE720892:QAH720892 QKA720892:QKD720892 QTW720892:QTZ720892 RDS720892:RDV720892 RNO720892:RNR720892 RXK720892:RXN720892 SHG720892:SHJ720892 SRC720892:SRF720892 TAY720892:TBB720892 TKU720892:TKX720892 TUQ720892:TUT720892 UEM720892:UEP720892 UOI720892:UOL720892 UYE720892:UYH720892 VIA720892:VID720892 VRW720892:VRZ720892 WBS720892:WBV720892 WLO720892:WLR720892 WVK720892:WVN720892 C786428:F786428 IY786428:JB786428 SU786428:SX786428 ACQ786428:ACT786428 AMM786428:AMP786428 AWI786428:AWL786428 BGE786428:BGH786428 BQA786428:BQD786428 BZW786428:BZZ786428 CJS786428:CJV786428 CTO786428:CTR786428 DDK786428:DDN786428 DNG786428:DNJ786428 DXC786428:DXF786428 EGY786428:EHB786428 EQU786428:EQX786428 FAQ786428:FAT786428 FKM786428:FKP786428 FUI786428:FUL786428 GEE786428:GEH786428 GOA786428:GOD786428 GXW786428:GXZ786428 HHS786428:HHV786428 HRO786428:HRR786428 IBK786428:IBN786428 ILG786428:ILJ786428 IVC786428:IVF786428 JEY786428:JFB786428 JOU786428:JOX786428 JYQ786428:JYT786428 KIM786428:KIP786428 KSI786428:KSL786428 LCE786428:LCH786428 LMA786428:LMD786428 LVW786428:LVZ786428 MFS786428:MFV786428 MPO786428:MPR786428 MZK786428:MZN786428 NJG786428:NJJ786428 NTC786428:NTF786428 OCY786428:ODB786428 OMU786428:OMX786428 OWQ786428:OWT786428 PGM786428:PGP786428 PQI786428:PQL786428 QAE786428:QAH786428 QKA786428:QKD786428 QTW786428:QTZ786428 RDS786428:RDV786428 RNO786428:RNR786428 RXK786428:RXN786428 SHG786428:SHJ786428 SRC786428:SRF786428 TAY786428:TBB786428 TKU786428:TKX786428 TUQ786428:TUT786428 UEM786428:UEP786428 UOI786428:UOL786428 UYE786428:UYH786428 VIA786428:VID786428 VRW786428:VRZ786428 WBS786428:WBV786428 WLO786428:WLR786428 WVK786428:WVN786428 C851964:F851964 IY851964:JB851964 SU851964:SX851964 ACQ851964:ACT851964 AMM851964:AMP851964 AWI851964:AWL851964 BGE851964:BGH851964 BQA851964:BQD851964 BZW851964:BZZ851964 CJS851964:CJV851964 CTO851964:CTR851964 DDK851964:DDN851964 DNG851964:DNJ851964 DXC851964:DXF851964 EGY851964:EHB851964 EQU851964:EQX851964 FAQ851964:FAT851964 FKM851964:FKP851964 FUI851964:FUL851964 GEE851964:GEH851964 GOA851964:GOD851964 GXW851964:GXZ851964 HHS851964:HHV851964 HRO851964:HRR851964 IBK851964:IBN851964 ILG851964:ILJ851964 IVC851964:IVF851964 JEY851964:JFB851964 JOU851964:JOX851964 JYQ851964:JYT851964 KIM851964:KIP851964 KSI851964:KSL851964 LCE851964:LCH851964 LMA851964:LMD851964 LVW851964:LVZ851964 MFS851964:MFV851964 MPO851964:MPR851964 MZK851964:MZN851964 NJG851964:NJJ851964 NTC851964:NTF851964 OCY851964:ODB851964 OMU851964:OMX851964 OWQ851964:OWT851964 PGM851964:PGP851964 PQI851964:PQL851964 QAE851964:QAH851964 QKA851964:QKD851964 QTW851964:QTZ851964 RDS851964:RDV851964 RNO851964:RNR851964 RXK851964:RXN851964 SHG851964:SHJ851964 SRC851964:SRF851964 TAY851964:TBB851964 TKU851964:TKX851964 TUQ851964:TUT851964 UEM851964:UEP851964 UOI851964:UOL851964 UYE851964:UYH851964 VIA851964:VID851964 VRW851964:VRZ851964 WBS851964:WBV851964 WLO851964:WLR851964 WVK851964:WVN851964 C917500:F917500 IY917500:JB917500 SU917500:SX917500 ACQ917500:ACT917500 AMM917500:AMP917500 AWI917500:AWL917500 BGE917500:BGH917500 BQA917500:BQD917500 BZW917500:BZZ917500 CJS917500:CJV917500 CTO917500:CTR917500 DDK917500:DDN917500 DNG917500:DNJ917500 DXC917500:DXF917500 EGY917500:EHB917500 EQU917500:EQX917500 FAQ917500:FAT917500 FKM917500:FKP917500 FUI917500:FUL917500 GEE917500:GEH917500 GOA917500:GOD917500 GXW917500:GXZ917500 HHS917500:HHV917500 HRO917500:HRR917500 IBK917500:IBN917500 ILG917500:ILJ917500 IVC917500:IVF917500 JEY917500:JFB917500 JOU917500:JOX917500 JYQ917500:JYT917500 KIM917500:KIP917500 KSI917500:KSL917500 LCE917500:LCH917500 LMA917500:LMD917500 LVW917500:LVZ917500 MFS917500:MFV917500 MPO917500:MPR917500 MZK917500:MZN917500 NJG917500:NJJ917500 NTC917500:NTF917500 OCY917500:ODB917500 OMU917500:OMX917500 OWQ917500:OWT917500 PGM917500:PGP917500 PQI917500:PQL917500 QAE917500:QAH917500 QKA917500:QKD917500 QTW917500:QTZ917500 RDS917500:RDV917500 RNO917500:RNR917500 RXK917500:RXN917500 SHG917500:SHJ917500 SRC917500:SRF917500 TAY917500:TBB917500 TKU917500:TKX917500 TUQ917500:TUT917500 UEM917500:UEP917500 UOI917500:UOL917500 UYE917500:UYH917500 VIA917500:VID917500 VRW917500:VRZ917500 WBS917500:WBV917500 WLO917500:WLR917500 WVK917500:WVN917500 C983036:F983036 IY983036:JB983036 SU983036:SX983036 ACQ983036:ACT983036 AMM983036:AMP983036 AWI983036:AWL983036 BGE983036:BGH983036 BQA983036:BQD983036 BZW983036:BZZ983036 CJS983036:CJV983036 CTO983036:CTR983036 DDK983036:DDN983036 DNG983036:DNJ983036 DXC983036:DXF983036 EGY983036:EHB983036 EQU983036:EQX983036 FAQ983036:FAT983036 FKM983036:FKP983036 FUI983036:FUL983036 GEE983036:GEH983036 GOA983036:GOD983036 GXW983036:GXZ983036 HHS983036:HHV983036 HRO983036:HRR983036 IBK983036:IBN983036 ILG983036:ILJ983036 IVC983036:IVF983036 JEY983036:JFB983036 JOU983036:JOX983036 JYQ983036:JYT983036 KIM983036:KIP983036 KSI983036:KSL983036 LCE983036:LCH983036 LMA983036:LMD983036 LVW983036:LVZ983036 MFS983036:MFV983036 MPO983036:MPR983036 MZK983036:MZN983036 NJG983036:NJJ983036 NTC983036:NTF983036 OCY983036:ODB983036 OMU983036:OMX983036 OWQ983036:OWT983036 PGM983036:PGP983036 PQI983036:PQL983036 QAE983036:QAH983036 QKA983036:QKD983036 QTW983036:QTZ983036 RDS983036:RDV983036 RNO983036:RNR983036 RXK983036:RXN983036 SHG983036:SHJ983036 SRC983036:SRF983036 TAY983036:TBB983036 TKU983036:TKX983036 TUQ983036:TUT983036 UEM983036:UEP983036 UOI983036:UOL983036 UYE983036:UYH983036 VIA983036:VID983036 VRW983036:VRZ983036 WBS983036:WBV983036 WLO983036:WLR983036 WVK983036:WVN983036 Q65541 JM65541 TI65541 ADE65541 ANA65541 AWW65541 BGS65541 BQO65541 CAK65541 CKG65541 CUC65541 DDY65541 DNU65541 DXQ65541 EHM65541 ERI65541 FBE65541 FLA65541 FUW65541 GES65541 GOO65541 GYK65541 HIG65541 HSC65541 IBY65541 ILU65541 IVQ65541 JFM65541 JPI65541 JZE65541 KJA65541 KSW65541 LCS65541 LMO65541 LWK65541 MGG65541 MQC65541 MZY65541 NJU65541 NTQ65541 ODM65541 ONI65541 OXE65541 PHA65541 PQW65541 QAS65541 QKO65541 QUK65541 REG65541 ROC65541 RXY65541 SHU65541 SRQ65541 TBM65541 TLI65541 TVE65541 UFA65541 UOW65541 UYS65541 VIO65541 VSK65541 WCG65541 WMC65541 WVY65541 Q131077 JM131077 TI131077 ADE131077 ANA131077 AWW131077 BGS131077 BQO131077 CAK131077 CKG131077 CUC131077 DDY131077 DNU131077 DXQ131077 EHM131077 ERI131077 FBE131077 FLA131077 FUW131077 GES131077 GOO131077 GYK131077 HIG131077 HSC131077 IBY131077 ILU131077 IVQ131077 JFM131077 JPI131077 JZE131077 KJA131077 KSW131077 LCS131077 LMO131077 LWK131077 MGG131077 MQC131077 MZY131077 NJU131077 NTQ131077 ODM131077 ONI131077 OXE131077 PHA131077 PQW131077 QAS131077 QKO131077 QUK131077 REG131077 ROC131077 RXY131077 SHU131077 SRQ131077 TBM131077 TLI131077 TVE131077 UFA131077 UOW131077 UYS131077 VIO131077 VSK131077 WCG131077 WMC131077 WVY131077 Q196613 JM196613 TI196613 ADE196613 ANA196613 AWW196613 BGS196613 BQO196613 CAK196613 CKG196613 CUC196613 DDY196613 DNU196613 DXQ196613 EHM196613 ERI196613 FBE196613 FLA196613 FUW196613 GES196613 GOO196613 GYK196613 HIG196613 HSC196613 IBY196613 ILU196613 IVQ196613 JFM196613 JPI196613 JZE196613 KJA196613 KSW196613 LCS196613 LMO196613 LWK196613 MGG196613 MQC196613 MZY196613 NJU196613 NTQ196613 ODM196613 ONI196613 OXE196613 PHA196613 PQW196613 QAS196613 QKO196613 QUK196613 REG196613 ROC196613 RXY196613 SHU196613 SRQ196613 TBM196613 TLI196613 TVE196613 UFA196613 UOW196613 UYS196613 VIO196613 VSK196613 WCG196613 WMC196613 WVY196613 Q262149 JM262149 TI262149 ADE262149 ANA262149 AWW262149 BGS262149 BQO262149 CAK262149 CKG262149 CUC262149 DDY262149 DNU262149 DXQ262149 EHM262149 ERI262149 FBE262149 FLA262149 FUW262149 GES262149 GOO262149 GYK262149 HIG262149 HSC262149 IBY262149 ILU262149 IVQ262149 JFM262149 JPI262149 JZE262149 KJA262149 KSW262149 LCS262149 LMO262149 LWK262149 MGG262149 MQC262149 MZY262149 NJU262149 NTQ262149 ODM262149 ONI262149 OXE262149 PHA262149 PQW262149 QAS262149 QKO262149 QUK262149 REG262149 ROC262149 RXY262149 SHU262149 SRQ262149 TBM262149 TLI262149 TVE262149 UFA262149 UOW262149 UYS262149 VIO262149 VSK262149 WCG262149 WMC262149 WVY262149 Q327685 JM327685 TI327685 ADE327685 ANA327685 AWW327685 BGS327685 BQO327685 CAK327685 CKG327685 CUC327685 DDY327685 DNU327685 DXQ327685 EHM327685 ERI327685 FBE327685 FLA327685 FUW327685 GES327685 GOO327685 GYK327685 HIG327685 HSC327685 IBY327685 ILU327685 IVQ327685 JFM327685 JPI327685 JZE327685 KJA327685 KSW327685 LCS327685 LMO327685 LWK327685 MGG327685 MQC327685 MZY327685 NJU327685 NTQ327685 ODM327685 ONI327685 OXE327685 PHA327685 PQW327685 QAS327685 QKO327685 QUK327685 REG327685 ROC327685 RXY327685 SHU327685 SRQ327685 TBM327685 TLI327685 TVE327685 UFA327685 UOW327685 UYS327685 VIO327685 VSK327685 WCG327685 WMC327685 WVY327685 Q393221 JM393221 TI393221 ADE393221 ANA393221 AWW393221 BGS393221 BQO393221 CAK393221 CKG393221 CUC393221 DDY393221 DNU393221 DXQ393221 EHM393221 ERI393221 FBE393221 FLA393221 FUW393221 GES393221 GOO393221 GYK393221 HIG393221 HSC393221 IBY393221 ILU393221 IVQ393221 JFM393221 JPI393221 JZE393221 KJA393221 KSW393221 LCS393221 LMO393221 LWK393221 MGG393221 MQC393221 MZY393221 NJU393221 NTQ393221 ODM393221 ONI393221 OXE393221 PHA393221 PQW393221 QAS393221 QKO393221 QUK393221 REG393221 ROC393221 RXY393221 SHU393221 SRQ393221 TBM393221 TLI393221 TVE393221 UFA393221 UOW393221 UYS393221 VIO393221 VSK393221 WCG393221 WMC393221 WVY393221 Q458757 JM458757 TI458757 ADE458757 ANA458757 AWW458757 BGS458757 BQO458757 CAK458757 CKG458757 CUC458757 DDY458757 DNU458757 DXQ458757 EHM458757 ERI458757 FBE458757 FLA458757 FUW458757 GES458757 GOO458757 GYK458757 HIG458757 HSC458757 IBY458757 ILU458757 IVQ458757 JFM458757 JPI458757 JZE458757 KJA458757 KSW458757 LCS458757 LMO458757 LWK458757 MGG458757 MQC458757 MZY458757 NJU458757 NTQ458757 ODM458757 ONI458757 OXE458757 PHA458757 PQW458757 QAS458757 QKO458757 QUK458757 REG458757 ROC458757 RXY458757 SHU458757 SRQ458757 TBM458757 TLI458757 TVE458757 UFA458757 UOW458757 UYS458757 VIO458757 VSK458757 WCG458757 WMC458757 WVY458757 Q524293 JM524293 TI524293 ADE524293 ANA524293 AWW524293 BGS524293 BQO524293 CAK524293 CKG524293 CUC524293 DDY524293 DNU524293 DXQ524293 EHM524293 ERI524293 FBE524293 FLA524293 FUW524293 GES524293 GOO524293 GYK524293 HIG524293 HSC524293 IBY524293 ILU524293 IVQ524293 JFM524293 JPI524293 JZE524293 KJA524293 KSW524293 LCS524293 LMO524293 LWK524293 MGG524293 MQC524293 MZY524293 NJU524293 NTQ524293 ODM524293 ONI524293 OXE524293 PHA524293 PQW524293 QAS524293 QKO524293 QUK524293 REG524293 ROC524293 RXY524293 SHU524293 SRQ524293 TBM524293 TLI524293 TVE524293 UFA524293 UOW524293 UYS524293 VIO524293 VSK524293 WCG524293 WMC524293 WVY524293 Q589829 JM589829 TI589829 ADE589829 ANA589829 AWW589829 BGS589829 BQO589829 CAK589829 CKG589829 CUC589829 DDY589829 DNU589829 DXQ589829 EHM589829 ERI589829 FBE589829 FLA589829 FUW589829 GES589829 GOO589829 GYK589829 HIG589829 HSC589829 IBY589829 ILU589829 IVQ589829 JFM589829 JPI589829 JZE589829 KJA589829 KSW589829 LCS589829 LMO589829 LWK589829 MGG589829 MQC589829 MZY589829 NJU589829 NTQ589829 ODM589829 ONI589829 OXE589829 PHA589829 PQW589829 QAS589829 QKO589829 QUK589829 REG589829 ROC589829 RXY589829 SHU589829 SRQ589829 TBM589829 TLI589829 TVE589829 UFA589829 UOW589829 UYS589829 VIO589829 VSK589829 WCG589829 WMC589829 WVY589829 Q655365 JM655365 TI655365 ADE655365 ANA655365 AWW655365 BGS655365 BQO655365 CAK655365 CKG655365 CUC655365 DDY655365 DNU655365 DXQ655365 EHM655365 ERI655365 FBE655365 FLA655365 FUW655365 GES655365 GOO655365 GYK655365 HIG655365 HSC655365 IBY655365 ILU655365 IVQ655365 JFM655365 JPI655365 JZE655365 KJA655365 KSW655365 LCS655365 LMO655365 LWK655365 MGG655365 MQC655365 MZY655365 NJU655365 NTQ655365 ODM655365 ONI655365 OXE655365 PHA655365 PQW655365 QAS655365 QKO655365 QUK655365 REG655365 ROC655365 RXY655365 SHU655365 SRQ655365 TBM655365 TLI655365 TVE655365 UFA655365 UOW655365 UYS655365 VIO655365 VSK655365 WCG655365 WMC655365 WVY655365 Q720901 JM720901 TI720901 ADE720901 ANA720901 AWW720901 BGS720901 BQO720901 CAK720901 CKG720901 CUC720901 DDY720901 DNU720901 DXQ720901 EHM720901 ERI720901 FBE720901 FLA720901 FUW720901 GES720901 GOO720901 GYK720901 HIG720901 HSC720901 IBY720901 ILU720901 IVQ720901 JFM720901 JPI720901 JZE720901 KJA720901 KSW720901 LCS720901 LMO720901 LWK720901 MGG720901 MQC720901 MZY720901 NJU720901 NTQ720901 ODM720901 ONI720901 OXE720901 PHA720901 PQW720901 QAS720901 QKO720901 QUK720901 REG720901 ROC720901 RXY720901 SHU720901 SRQ720901 TBM720901 TLI720901 TVE720901 UFA720901 UOW720901 UYS720901 VIO720901 VSK720901 WCG720901 WMC720901 WVY720901 Q786437 JM786437 TI786437 ADE786437 ANA786437 AWW786437 BGS786437 BQO786437 CAK786437 CKG786437 CUC786437 DDY786437 DNU786437 DXQ786437 EHM786437 ERI786437 FBE786437 FLA786437 FUW786437 GES786437 GOO786437 GYK786437 HIG786437 HSC786437 IBY786437 ILU786437 IVQ786437 JFM786437 JPI786437 JZE786437 KJA786437 KSW786437 LCS786437 LMO786437 LWK786437 MGG786437 MQC786437 MZY786437 NJU786437 NTQ786437 ODM786437 ONI786437 OXE786437 PHA786437 PQW786437 QAS786437 QKO786437 QUK786437 REG786437 ROC786437 RXY786437 SHU786437 SRQ786437 TBM786437 TLI786437 TVE786437 UFA786437 UOW786437 UYS786437 VIO786437 VSK786437 WCG786437 WMC786437 WVY786437 Q851973 JM851973 TI851973 ADE851973 ANA851973 AWW851973 BGS851973 BQO851973 CAK851973 CKG851973 CUC851973 DDY851973 DNU851973 DXQ851973 EHM851973 ERI851973 FBE851973 FLA851973 FUW851973 GES851973 GOO851973 GYK851973 HIG851973 HSC851973 IBY851973 ILU851973 IVQ851973 JFM851973 JPI851973 JZE851973 KJA851973 KSW851973 LCS851973 LMO851973 LWK851973 MGG851973 MQC851973 MZY851973 NJU851973 NTQ851973 ODM851973 ONI851973 OXE851973 PHA851973 PQW851973 QAS851973 QKO851973 QUK851973 REG851973 ROC851973 RXY851973 SHU851973 SRQ851973 TBM851973 TLI851973 TVE851973 UFA851973 UOW851973 UYS851973 VIO851973 VSK851973 WCG851973 WMC851973 WVY851973 Q917509 JM917509 TI917509 ADE917509 ANA917509 AWW917509 BGS917509 BQO917509 CAK917509 CKG917509 CUC917509 DDY917509 DNU917509 DXQ917509 EHM917509 ERI917509 FBE917509 FLA917509 FUW917509 GES917509 GOO917509 GYK917509 HIG917509 HSC917509 IBY917509 ILU917509 IVQ917509 JFM917509 JPI917509 JZE917509 KJA917509 KSW917509 LCS917509 LMO917509 LWK917509 MGG917509 MQC917509 MZY917509 NJU917509 NTQ917509 ODM917509 ONI917509 OXE917509 PHA917509 PQW917509 QAS917509 QKO917509 QUK917509 REG917509 ROC917509 RXY917509 SHU917509 SRQ917509 TBM917509 TLI917509 TVE917509 UFA917509 UOW917509 UYS917509 VIO917509 VSK917509 WCG917509 WMC917509 WVY917509 Q983045 JM983045 TI983045 ADE983045 ANA983045 AWW983045 BGS983045 BQO983045 CAK983045 CKG983045 CUC983045 DDY983045 DNU983045 DXQ983045 EHM983045 ERI983045 FBE983045 FLA983045 FUW983045 GES983045 GOO983045 GYK983045 HIG983045 HSC983045 IBY983045 ILU983045 IVQ983045 JFM983045 JPI983045 JZE983045 KJA983045 KSW983045 LCS983045 LMO983045 LWK983045 MGG983045 MQC983045 MZY983045 NJU983045 NTQ983045 ODM983045 ONI983045 OXE983045 PHA983045 PQW983045 QAS983045 QKO983045 QUK983045 REG983045 ROC983045 RXY983045 SHU983045 SRQ983045 TBM983045 TLI983045 TVE983045 UFA983045 UOW983045 UYS983045 VIO983045 VSK983045 WCG983045 WMC983045 WVY983045 C65579:F65579 IY65579:JB65579 SU65579:SX65579 ACQ65579:ACT65579 AMM65579:AMP65579 AWI65579:AWL65579 BGE65579:BGH65579 BQA65579:BQD65579 BZW65579:BZZ65579 CJS65579:CJV65579 CTO65579:CTR65579 DDK65579:DDN65579 DNG65579:DNJ65579 DXC65579:DXF65579 EGY65579:EHB65579 EQU65579:EQX65579 FAQ65579:FAT65579 FKM65579:FKP65579 FUI65579:FUL65579 GEE65579:GEH65579 GOA65579:GOD65579 GXW65579:GXZ65579 HHS65579:HHV65579 HRO65579:HRR65579 IBK65579:IBN65579 ILG65579:ILJ65579 IVC65579:IVF65579 JEY65579:JFB65579 JOU65579:JOX65579 JYQ65579:JYT65579 KIM65579:KIP65579 KSI65579:KSL65579 LCE65579:LCH65579 LMA65579:LMD65579 LVW65579:LVZ65579 MFS65579:MFV65579 MPO65579:MPR65579 MZK65579:MZN65579 NJG65579:NJJ65579 NTC65579:NTF65579 OCY65579:ODB65579 OMU65579:OMX65579 OWQ65579:OWT65579 PGM65579:PGP65579 PQI65579:PQL65579 QAE65579:QAH65579 QKA65579:QKD65579 QTW65579:QTZ65579 RDS65579:RDV65579 RNO65579:RNR65579 RXK65579:RXN65579 SHG65579:SHJ65579 SRC65579:SRF65579 TAY65579:TBB65579 TKU65579:TKX65579 TUQ65579:TUT65579 UEM65579:UEP65579 UOI65579:UOL65579 UYE65579:UYH65579 VIA65579:VID65579 VRW65579:VRZ65579 WBS65579:WBV65579 WLO65579:WLR65579 WVK65579:WVN65579 C131115:F131115 IY131115:JB131115 SU131115:SX131115 ACQ131115:ACT131115 AMM131115:AMP131115 AWI131115:AWL131115 BGE131115:BGH131115 BQA131115:BQD131115 BZW131115:BZZ131115 CJS131115:CJV131115 CTO131115:CTR131115 DDK131115:DDN131115 DNG131115:DNJ131115 DXC131115:DXF131115 EGY131115:EHB131115 EQU131115:EQX131115 FAQ131115:FAT131115 FKM131115:FKP131115 FUI131115:FUL131115 GEE131115:GEH131115 GOA131115:GOD131115 GXW131115:GXZ131115 HHS131115:HHV131115 HRO131115:HRR131115 IBK131115:IBN131115 ILG131115:ILJ131115 IVC131115:IVF131115 JEY131115:JFB131115 JOU131115:JOX131115 JYQ131115:JYT131115 KIM131115:KIP131115 KSI131115:KSL131115 LCE131115:LCH131115 LMA131115:LMD131115 LVW131115:LVZ131115 MFS131115:MFV131115 MPO131115:MPR131115 MZK131115:MZN131115 NJG131115:NJJ131115 NTC131115:NTF131115 OCY131115:ODB131115 OMU131115:OMX131115 OWQ131115:OWT131115 PGM131115:PGP131115 PQI131115:PQL131115 QAE131115:QAH131115 QKA131115:QKD131115 QTW131115:QTZ131115 RDS131115:RDV131115 RNO131115:RNR131115 RXK131115:RXN131115 SHG131115:SHJ131115 SRC131115:SRF131115 TAY131115:TBB131115 TKU131115:TKX131115 TUQ131115:TUT131115 UEM131115:UEP131115 UOI131115:UOL131115 UYE131115:UYH131115 VIA131115:VID131115 VRW131115:VRZ131115 WBS131115:WBV131115 WLO131115:WLR131115 WVK131115:WVN131115 C196651:F196651 IY196651:JB196651 SU196651:SX196651 ACQ196651:ACT196651 AMM196651:AMP196651 AWI196651:AWL196651 BGE196651:BGH196651 BQA196651:BQD196651 BZW196651:BZZ196651 CJS196651:CJV196651 CTO196651:CTR196651 DDK196651:DDN196651 DNG196651:DNJ196651 DXC196651:DXF196651 EGY196651:EHB196651 EQU196651:EQX196651 FAQ196651:FAT196651 FKM196651:FKP196651 FUI196651:FUL196651 GEE196651:GEH196651 GOA196651:GOD196651 GXW196651:GXZ196651 HHS196651:HHV196651 HRO196651:HRR196651 IBK196651:IBN196651 ILG196651:ILJ196651 IVC196651:IVF196651 JEY196651:JFB196651 JOU196651:JOX196651 JYQ196651:JYT196651 KIM196651:KIP196651 KSI196651:KSL196651 LCE196651:LCH196651 LMA196651:LMD196651 LVW196651:LVZ196651 MFS196651:MFV196651 MPO196651:MPR196651 MZK196651:MZN196651 NJG196651:NJJ196651 NTC196651:NTF196651 OCY196651:ODB196651 OMU196651:OMX196651 OWQ196651:OWT196651 PGM196651:PGP196651 PQI196651:PQL196651 QAE196651:QAH196651 QKA196651:QKD196651 QTW196651:QTZ196651 RDS196651:RDV196651 RNO196651:RNR196651 RXK196651:RXN196651 SHG196651:SHJ196651 SRC196651:SRF196651 TAY196651:TBB196651 TKU196651:TKX196651 TUQ196651:TUT196651 UEM196651:UEP196651 UOI196651:UOL196651 UYE196651:UYH196651 VIA196651:VID196651 VRW196651:VRZ196651 WBS196651:WBV196651 WLO196651:WLR196651 WVK196651:WVN196651 C262187:F262187 IY262187:JB262187 SU262187:SX262187 ACQ262187:ACT262187 AMM262187:AMP262187 AWI262187:AWL262187 BGE262187:BGH262187 BQA262187:BQD262187 BZW262187:BZZ262187 CJS262187:CJV262187 CTO262187:CTR262187 DDK262187:DDN262187 DNG262187:DNJ262187 DXC262187:DXF262187 EGY262187:EHB262187 EQU262187:EQX262187 FAQ262187:FAT262187 FKM262187:FKP262187 FUI262187:FUL262187 GEE262187:GEH262187 GOA262187:GOD262187 GXW262187:GXZ262187 HHS262187:HHV262187 HRO262187:HRR262187 IBK262187:IBN262187 ILG262187:ILJ262187 IVC262187:IVF262187 JEY262187:JFB262187 JOU262187:JOX262187 JYQ262187:JYT262187 KIM262187:KIP262187 KSI262187:KSL262187 LCE262187:LCH262187 LMA262187:LMD262187 LVW262187:LVZ262187 MFS262187:MFV262187 MPO262187:MPR262187 MZK262187:MZN262187 NJG262187:NJJ262187 NTC262187:NTF262187 OCY262187:ODB262187 OMU262187:OMX262187 OWQ262187:OWT262187 PGM262187:PGP262187 PQI262187:PQL262187 QAE262187:QAH262187 QKA262187:QKD262187 QTW262187:QTZ262187 RDS262187:RDV262187 RNO262187:RNR262187 RXK262187:RXN262187 SHG262187:SHJ262187 SRC262187:SRF262187 TAY262187:TBB262187 TKU262187:TKX262187 TUQ262187:TUT262187 UEM262187:UEP262187 UOI262187:UOL262187 UYE262187:UYH262187 VIA262187:VID262187 VRW262187:VRZ262187 WBS262187:WBV262187 WLO262187:WLR262187 WVK262187:WVN262187 C327723:F327723 IY327723:JB327723 SU327723:SX327723 ACQ327723:ACT327723 AMM327723:AMP327723 AWI327723:AWL327723 BGE327723:BGH327723 BQA327723:BQD327723 BZW327723:BZZ327723 CJS327723:CJV327723 CTO327723:CTR327723 DDK327723:DDN327723 DNG327723:DNJ327723 DXC327723:DXF327723 EGY327723:EHB327723 EQU327723:EQX327723 FAQ327723:FAT327723 FKM327723:FKP327723 FUI327723:FUL327723 GEE327723:GEH327723 GOA327723:GOD327723 GXW327723:GXZ327723 HHS327723:HHV327723 HRO327723:HRR327723 IBK327723:IBN327723 ILG327723:ILJ327723 IVC327723:IVF327723 JEY327723:JFB327723 JOU327723:JOX327723 JYQ327723:JYT327723 KIM327723:KIP327723 KSI327723:KSL327723 LCE327723:LCH327723 LMA327723:LMD327723 LVW327723:LVZ327723 MFS327723:MFV327723 MPO327723:MPR327723 MZK327723:MZN327723 NJG327723:NJJ327723 NTC327723:NTF327723 OCY327723:ODB327723 OMU327723:OMX327723 OWQ327723:OWT327723 PGM327723:PGP327723 PQI327723:PQL327723 QAE327723:QAH327723 QKA327723:QKD327723 QTW327723:QTZ327723 RDS327723:RDV327723 RNO327723:RNR327723 RXK327723:RXN327723 SHG327723:SHJ327723 SRC327723:SRF327723 TAY327723:TBB327723 TKU327723:TKX327723 TUQ327723:TUT327723 UEM327723:UEP327723 UOI327723:UOL327723 UYE327723:UYH327723 VIA327723:VID327723 VRW327723:VRZ327723 WBS327723:WBV327723 WLO327723:WLR327723 WVK327723:WVN327723 C393259:F393259 IY393259:JB393259 SU393259:SX393259 ACQ393259:ACT393259 AMM393259:AMP393259 AWI393259:AWL393259 BGE393259:BGH393259 BQA393259:BQD393259 BZW393259:BZZ393259 CJS393259:CJV393259 CTO393259:CTR393259 DDK393259:DDN393259 DNG393259:DNJ393259 DXC393259:DXF393259 EGY393259:EHB393259 EQU393259:EQX393259 FAQ393259:FAT393259 FKM393259:FKP393259 FUI393259:FUL393259 GEE393259:GEH393259 GOA393259:GOD393259 GXW393259:GXZ393259 HHS393259:HHV393259 HRO393259:HRR393259 IBK393259:IBN393259 ILG393259:ILJ393259 IVC393259:IVF393259 JEY393259:JFB393259 JOU393259:JOX393259 JYQ393259:JYT393259 KIM393259:KIP393259 KSI393259:KSL393259 LCE393259:LCH393259 LMA393259:LMD393259 LVW393259:LVZ393259 MFS393259:MFV393259 MPO393259:MPR393259 MZK393259:MZN393259 NJG393259:NJJ393259 NTC393259:NTF393259 OCY393259:ODB393259 OMU393259:OMX393259 OWQ393259:OWT393259 PGM393259:PGP393259 PQI393259:PQL393259 QAE393259:QAH393259 QKA393259:QKD393259 QTW393259:QTZ393259 RDS393259:RDV393259 RNO393259:RNR393259 RXK393259:RXN393259 SHG393259:SHJ393259 SRC393259:SRF393259 TAY393259:TBB393259 TKU393259:TKX393259 TUQ393259:TUT393259 UEM393259:UEP393259 UOI393259:UOL393259 UYE393259:UYH393259 VIA393259:VID393259 VRW393259:VRZ393259 WBS393259:WBV393259 WLO393259:WLR393259 WVK393259:WVN393259 C458795:F458795 IY458795:JB458795 SU458795:SX458795 ACQ458795:ACT458795 AMM458795:AMP458795 AWI458795:AWL458795 BGE458795:BGH458795 BQA458795:BQD458795 BZW458795:BZZ458795 CJS458795:CJV458795 CTO458795:CTR458795 DDK458795:DDN458795 DNG458795:DNJ458795 DXC458795:DXF458795 EGY458795:EHB458795 EQU458795:EQX458795 FAQ458795:FAT458795 FKM458795:FKP458795 FUI458795:FUL458795 GEE458795:GEH458795 GOA458795:GOD458795 GXW458795:GXZ458795 HHS458795:HHV458795 HRO458795:HRR458795 IBK458795:IBN458795 ILG458795:ILJ458795 IVC458795:IVF458795 JEY458795:JFB458795 JOU458795:JOX458795 JYQ458795:JYT458795 KIM458795:KIP458795 KSI458795:KSL458795 LCE458795:LCH458795 LMA458795:LMD458795 LVW458795:LVZ458795 MFS458795:MFV458795 MPO458795:MPR458795 MZK458795:MZN458795 NJG458795:NJJ458795 NTC458795:NTF458795 OCY458795:ODB458795 OMU458795:OMX458795 OWQ458795:OWT458795 PGM458795:PGP458795 PQI458795:PQL458795 QAE458795:QAH458795 QKA458795:QKD458795 QTW458795:QTZ458795 RDS458795:RDV458795 RNO458795:RNR458795 RXK458795:RXN458795 SHG458795:SHJ458795 SRC458795:SRF458795 TAY458795:TBB458795 TKU458795:TKX458795 TUQ458795:TUT458795 UEM458795:UEP458795 UOI458795:UOL458795 UYE458795:UYH458795 VIA458795:VID458795 VRW458795:VRZ458795 WBS458795:WBV458795 WLO458795:WLR458795 WVK458795:WVN458795 C524331:F524331 IY524331:JB524331 SU524331:SX524331 ACQ524331:ACT524331 AMM524331:AMP524331 AWI524331:AWL524331 BGE524331:BGH524331 BQA524331:BQD524331 BZW524331:BZZ524331 CJS524331:CJV524331 CTO524331:CTR524331 DDK524331:DDN524331 DNG524331:DNJ524331 DXC524331:DXF524331 EGY524331:EHB524331 EQU524331:EQX524331 FAQ524331:FAT524331 FKM524331:FKP524331 FUI524331:FUL524331 GEE524331:GEH524331 GOA524331:GOD524331 GXW524331:GXZ524331 HHS524331:HHV524331 HRO524331:HRR524331 IBK524331:IBN524331 ILG524331:ILJ524331 IVC524331:IVF524331 JEY524331:JFB524331 JOU524331:JOX524331 JYQ524331:JYT524331 KIM524331:KIP524331 KSI524331:KSL524331 LCE524331:LCH524331 LMA524331:LMD524331 LVW524331:LVZ524331 MFS524331:MFV524331 MPO524331:MPR524331 MZK524331:MZN524331 NJG524331:NJJ524331 NTC524331:NTF524331 OCY524331:ODB524331 OMU524331:OMX524331 OWQ524331:OWT524331 PGM524331:PGP524331 PQI524331:PQL524331 QAE524331:QAH524331 QKA524331:QKD524331 QTW524331:QTZ524331 RDS524331:RDV524331 RNO524331:RNR524331 RXK524331:RXN524331 SHG524331:SHJ524331 SRC524331:SRF524331 TAY524331:TBB524331 TKU524331:TKX524331 TUQ524331:TUT524331 UEM524331:UEP524331 UOI524331:UOL524331 UYE524331:UYH524331 VIA524331:VID524331 VRW524331:VRZ524331 WBS524331:WBV524331 WLO524331:WLR524331 WVK524331:WVN524331 C589867:F589867 IY589867:JB589867 SU589867:SX589867 ACQ589867:ACT589867 AMM589867:AMP589867 AWI589867:AWL589867 BGE589867:BGH589867 BQA589867:BQD589867 BZW589867:BZZ589867 CJS589867:CJV589867 CTO589867:CTR589867 DDK589867:DDN589867 DNG589867:DNJ589867 DXC589867:DXF589867 EGY589867:EHB589867 EQU589867:EQX589867 FAQ589867:FAT589867 FKM589867:FKP589867 FUI589867:FUL589867 GEE589867:GEH589867 GOA589867:GOD589867 GXW589867:GXZ589867 HHS589867:HHV589867 HRO589867:HRR589867 IBK589867:IBN589867 ILG589867:ILJ589867 IVC589867:IVF589867 JEY589867:JFB589867 JOU589867:JOX589867 JYQ589867:JYT589867 KIM589867:KIP589867 KSI589867:KSL589867 LCE589867:LCH589867 LMA589867:LMD589867 LVW589867:LVZ589867 MFS589867:MFV589867 MPO589867:MPR589867 MZK589867:MZN589867 NJG589867:NJJ589867 NTC589867:NTF589867 OCY589867:ODB589867 OMU589867:OMX589867 OWQ589867:OWT589867 PGM589867:PGP589867 PQI589867:PQL589867 QAE589867:QAH589867 QKA589867:QKD589867 QTW589867:QTZ589867 RDS589867:RDV589867 RNO589867:RNR589867 RXK589867:RXN589867 SHG589867:SHJ589867 SRC589867:SRF589867 TAY589867:TBB589867 TKU589867:TKX589867 TUQ589867:TUT589867 UEM589867:UEP589867 UOI589867:UOL589867 UYE589867:UYH589867 VIA589867:VID589867 VRW589867:VRZ589867 WBS589867:WBV589867 WLO589867:WLR589867 WVK589867:WVN589867 C655403:F655403 IY655403:JB655403 SU655403:SX655403 ACQ655403:ACT655403 AMM655403:AMP655403 AWI655403:AWL655403 BGE655403:BGH655403 BQA655403:BQD655403 BZW655403:BZZ655403 CJS655403:CJV655403 CTO655403:CTR655403 DDK655403:DDN655403 DNG655403:DNJ655403 DXC655403:DXF655403 EGY655403:EHB655403 EQU655403:EQX655403 FAQ655403:FAT655403 FKM655403:FKP655403 FUI655403:FUL655403 GEE655403:GEH655403 GOA655403:GOD655403 GXW655403:GXZ655403 HHS655403:HHV655403 HRO655403:HRR655403 IBK655403:IBN655403 ILG655403:ILJ655403 IVC655403:IVF655403 JEY655403:JFB655403 JOU655403:JOX655403 JYQ655403:JYT655403 KIM655403:KIP655403 KSI655403:KSL655403 LCE655403:LCH655403 LMA655403:LMD655403 LVW655403:LVZ655403 MFS655403:MFV655403 MPO655403:MPR655403 MZK655403:MZN655403 NJG655403:NJJ655403 NTC655403:NTF655403 OCY655403:ODB655403 OMU655403:OMX655403 OWQ655403:OWT655403 PGM655403:PGP655403 PQI655403:PQL655403 QAE655403:QAH655403 QKA655403:QKD655403 QTW655403:QTZ655403 RDS655403:RDV655403 RNO655403:RNR655403 RXK655403:RXN655403 SHG655403:SHJ655403 SRC655403:SRF655403 TAY655403:TBB655403 TKU655403:TKX655403 TUQ655403:TUT655403 UEM655403:UEP655403 UOI655403:UOL655403 UYE655403:UYH655403 VIA655403:VID655403 VRW655403:VRZ655403 WBS655403:WBV655403 WLO655403:WLR655403 WVK655403:WVN655403 C720939:F720939 IY720939:JB720939 SU720939:SX720939 ACQ720939:ACT720939 AMM720939:AMP720939 AWI720939:AWL720939 BGE720939:BGH720939 BQA720939:BQD720939 BZW720939:BZZ720939 CJS720939:CJV720939 CTO720939:CTR720939 DDK720939:DDN720939 DNG720939:DNJ720939 DXC720939:DXF720939 EGY720939:EHB720939 EQU720939:EQX720939 FAQ720939:FAT720939 FKM720939:FKP720939 FUI720939:FUL720939 GEE720939:GEH720939 GOA720939:GOD720939 GXW720939:GXZ720939 HHS720939:HHV720939 HRO720939:HRR720939 IBK720939:IBN720939 ILG720939:ILJ720939 IVC720939:IVF720939 JEY720939:JFB720939 JOU720939:JOX720939 JYQ720939:JYT720939 KIM720939:KIP720939 KSI720939:KSL720939 LCE720939:LCH720939 LMA720939:LMD720939 LVW720939:LVZ720939 MFS720939:MFV720939 MPO720939:MPR720939 MZK720939:MZN720939 NJG720939:NJJ720939 NTC720939:NTF720939 OCY720939:ODB720939 OMU720939:OMX720939 OWQ720939:OWT720939 PGM720939:PGP720939 PQI720939:PQL720939 QAE720939:QAH720939 QKA720939:QKD720939 QTW720939:QTZ720939 RDS720939:RDV720939 RNO720939:RNR720939 RXK720939:RXN720939 SHG720939:SHJ720939 SRC720939:SRF720939 TAY720939:TBB720939 TKU720939:TKX720939 TUQ720939:TUT720939 UEM720939:UEP720939 UOI720939:UOL720939 UYE720939:UYH720939 VIA720939:VID720939 VRW720939:VRZ720939 WBS720939:WBV720939 WLO720939:WLR720939 WVK720939:WVN720939 C786475:F786475 IY786475:JB786475 SU786475:SX786475 ACQ786475:ACT786475 AMM786475:AMP786475 AWI786475:AWL786475 BGE786475:BGH786475 BQA786475:BQD786475 BZW786475:BZZ786475 CJS786475:CJV786475 CTO786475:CTR786475 DDK786475:DDN786475 DNG786475:DNJ786475 DXC786475:DXF786475 EGY786475:EHB786475 EQU786475:EQX786475 FAQ786475:FAT786475 FKM786475:FKP786475 FUI786475:FUL786475 GEE786475:GEH786475 GOA786475:GOD786475 GXW786475:GXZ786475 HHS786475:HHV786475 HRO786475:HRR786475 IBK786475:IBN786475 ILG786475:ILJ786475 IVC786475:IVF786475 JEY786475:JFB786475 JOU786475:JOX786475 JYQ786475:JYT786475 KIM786475:KIP786475 KSI786475:KSL786475 LCE786475:LCH786475 LMA786475:LMD786475 LVW786475:LVZ786475 MFS786475:MFV786475 MPO786475:MPR786475 MZK786475:MZN786475 NJG786475:NJJ786475 NTC786475:NTF786475 OCY786475:ODB786475 OMU786475:OMX786475 OWQ786475:OWT786475 PGM786475:PGP786475 PQI786475:PQL786475 QAE786475:QAH786475 QKA786475:QKD786475 QTW786475:QTZ786475 RDS786475:RDV786475 RNO786475:RNR786475 RXK786475:RXN786475 SHG786475:SHJ786475 SRC786475:SRF786475 TAY786475:TBB786475 TKU786475:TKX786475 TUQ786475:TUT786475 UEM786475:UEP786475 UOI786475:UOL786475 UYE786475:UYH786475 VIA786475:VID786475 VRW786475:VRZ786475 WBS786475:WBV786475 WLO786475:WLR786475 WVK786475:WVN786475 C852011:F852011 IY852011:JB852011 SU852011:SX852011 ACQ852011:ACT852011 AMM852011:AMP852011 AWI852011:AWL852011 BGE852011:BGH852011 BQA852011:BQD852011 BZW852011:BZZ852011 CJS852011:CJV852011 CTO852011:CTR852011 DDK852011:DDN852011 DNG852011:DNJ852011 DXC852011:DXF852011 EGY852011:EHB852011 EQU852011:EQX852011 FAQ852011:FAT852011 FKM852011:FKP852011 FUI852011:FUL852011 GEE852011:GEH852011 GOA852011:GOD852011 GXW852011:GXZ852011 HHS852011:HHV852011 HRO852011:HRR852011 IBK852011:IBN852011 ILG852011:ILJ852011 IVC852011:IVF852011 JEY852011:JFB852011 JOU852011:JOX852011 JYQ852011:JYT852011 KIM852011:KIP852011 KSI852011:KSL852011 LCE852011:LCH852011 LMA852011:LMD852011 LVW852011:LVZ852011 MFS852011:MFV852011 MPO852011:MPR852011 MZK852011:MZN852011 NJG852011:NJJ852011 NTC852011:NTF852011 OCY852011:ODB852011 OMU852011:OMX852011 OWQ852011:OWT852011 PGM852011:PGP852011 PQI852011:PQL852011 QAE852011:QAH852011 QKA852011:QKD852011 QTW852011:QTZ852011 RDS852011:RDV852011 RNO852011:RNR852011 RXK852011:RXN852011 SHG852011:SHJ852011 SRC852011:SRF852011 TAY852011:TBB852011 TKU852011:TKX852011 TUQ852011:TUT852011 UEM852011:UEP852011 UOI852011:UOL852011 UYE852011:UYH852011 VIA852011:VID852011 VRW852011:VRZ852011 WBS852011:WBV852011 WLO852011:WLR852011 WVK852011:WVN852011 C917547:F917547 IY917547:JB917547 SU917547:SX917547 ACQ917547:ACT917547 AMM917547:AMP917547 AWI917547:AWL917547 BGE917547:BGH917547 BQA917547:BQD917547 BZW917547:BZZ917547 CJS917547:CJV917547 CTO917547:CTR917547 DDK917547:DDN917547 DNG917547:DNJ917547 DXC917547:DXF917547 EGY917547:EHB917547 EQU917547:EQX917547 FAQ917547:FAT917547 FKM917547:FKP917547 FUI917547:FUL917547 GEE917547:GEH917547 GOA917547:GOD917547 GXW917547:GXZ917547 HHS917547:HHV917547 HRO917547:HRR917547 IBK917547:IBN917547 ILG917547:ILJ917547 IVC917547:IVF917547 JEY917547:JFB917547 JOU917547:JOX917547 JYQ917547:JYT917547 KIM917547:KIP917547 KSI917547:KSL917547 LCE917547:LCH917547 LMA917547:LMD917547 LVW917547:LVZ917547 MFS917547:MFV917547 MPO917547:MPR917547 MZK917547:MZN917547 NJG917547:NJJ917547 NTC917547:NTF917547 OCY917547:ODB917547 OMU917547:OMX917547 OWQ917547:OWT917547 PGM917547:PGP917547 PQI917547:PQL917547 QAE917547:QAH917547 QKA917547:QKD917547 QTW917547:QTZ917547 RDS917547:RDV917547 RNO917547:RNR917547 RXK917547:RXN917547 SHG917547:SHJ917547 SRC917547:SRF917547 TAY917547:TBB917547 TKU917547:TKX917547 TUQ917547:TUT917547 UEM917547:UEP917547 UOI917547:UOL917547 UYE917547:UYH917547 VIA917547:VID917547 VRW917547:VRZ917547 WBS917547:WBV917547 WLO917547:WLR917547 WVK917547:WVN917547 C983083:F983083 IY983083:JB983083 SU983083:SX983083 ACQ983083:ACT983083 AMM983083:AMP983083 AWI983083:AWL983083 BGE983083:BGH983083 BQA983083:BQD983083 BZW983083:BZZ983083 CJS983083:CJV983083 CTO983083:CTR983083 DDK983083:DDN983083 DNG983083:DNJ983083 DXC983083:DXF983083 EGY983083:EHB983083 EQU983083:EQX983083 FAQ983083:FAT983083 FKM983083:FKP983083 FUI983083:FUL983083 GEE983083:GEH983083 GOA983083:GOD983083 GXW983083:GXZ983083 HHS983083:HHV983083 HRO983083:HRR983083 IBK983083:IBN983083 ILG983083:ILJ983083 IVC983083:IVF983083 JEY983083:JFB983083 JOU983083:JOX983083 JYQ983083:JYT983083 KIM983083:KIP983083 KSI983083:KSL983083 LCE983083:LCH983083 LMA983083:LMD983083 LVW983083:LVZ983083 MFS983083:MFV983083 MPO983083:MPR983083 MZK983083:MZN983083 NJG983083:NJJ983083 NTC983083:NTF983083 OCY983083:ODB983083 OMU983083:OMX983083 OWQ983083:OWT983083 PGM983083:PGP983083 PQI983083:PQL983083 QAE983083:QAH983083 QKA983083:QKD983083 QTW983083:QTZ983083 RDS983083:RDV983083 RNO983083:RNR983083 RXK983083:RXN983083 SHG983083:SHJ983083 SRC983083:SRF983083 TAY983083:TBB983083 TKU983083:TKX983083 TUQ983083:TUT983083 UEM983083:UEP983083 UOI983083:UOL983083 UYE983083:UYH983083 VIA983083:VID983083 VRW983083:VRZ983083 WBS983083:WBV983083 WLO983083:WLR983083 WVK983083:WVN983083 C65581:F65581 IY65581:JB65581 SU65581:SX65581 ACQ65581:ACT65581 AMM65581:AMP65581 AWI65581:AWL65581 BGE65581:BGH65581 BQA65581:BQD65581 BZW65581:BZZ65581 CJS65581:CJV65581 CTO65581:CTR65581 DDK65581:DDN65581 DNG65581:DNJ65581 DXC65581:DXF65581 EGY65581:EHB65581 EQU65581:EQX65581 FAQ65581:FAT65581 FKM65581:FKP65581 FUI65581:FUL65581 GEE65581:GEH65581 GOA65581:GOD65581 GXW65581:GXZ65581 HHS65581:HHV65581 HRO65581:HRR65581 IBK65581:IBN65581 ILG65581:ILJ65581 IVC65581:IVF65581 JEY65581:JFB65581 JOU65581:JOX65581 JYQ65581:JYT65581 KIM65581:KIP65581 KSI65581:KSL65581 LCE65581:LCH65581 LMA65581:LMD65581 LVW65581:LVZ65581 MFS65581:MFV65581 MPO65581:MPR65581 MZK65581:MZN65581 NJG65581:NJJ65581 NTC65581:NTF65581 OCY65581:ODB65581 OMU65581:OMX65581 OWQ65581:OWT65581 PGM65581:PGP65581 PQI65581:PQL65581 QAE65581:QAH65581 QKA65581:QKD65581 QTW65581:QTZ65581 RDS65581:RDV65581 RNO65581:RNR65581 RXK65581:RXN65581 SHG65581:SHJ65581 SRC65581:SRF65581 TAY65581:TBB65581 TKU65581:TKX65581 TUQ65581:TUT65581 UEM65581:UEP65581 UOI65581:UOL65581 UYE65581:UYH65581 VIA65581:VID65581 VRW65581:VRZ65581 WBS65581:WBV65581 WLO65581:WLR65581 WVK65581:WVN65581 C131117:F131117 IY131117:JB131117 SU131117:SX131117 ACQ131117:ACT131117 AMM131117:AMP131117 AWI131117:AWL131117 BGE131117:BGH131117 BQA131117:BQD131117 BZW131117:BZZ131117 CJS131117:CJV131117 CTO131117:CTR131117 DDK131117:DDN131117 DNG131117:DNJ131117 DXC131117:DXF131117 EGY131117:EHB131117 EQU131117:EQX131117 FAQ131117:FAT131117 FKM131117:FKP131117 FUI131117:FUL131117 GEE131117:GEH131117 GOA131117:GOD131117 GXW131117:GXZ131117 HHS131117:HHV131117 HRO131117:HRR131117 IBK131117:IBN131117 ILG131117:ILJ131117 IVC131117:IVF131117 JEY131117:JFB131117 JOU131117:JOX131117 JYQ131117:JYT131117 KIM131117:KIP131117 KSI131117:KSL131117 LCE131117:LCH131117 LMA131117:LMD131117 LVW131117:LVZ131117 MFS131117:MFV131117 MPO131117:MPR131117 MZK131117:MZN131117 NJG131117:NJJ131117 NTC131117:NTF131117 OCY131117:ODB131117 OMU131117:OMX131117 OWQ131117:OWT131117 PGM131117:PGP131117 PQI131117:PQL131117 QAE131117:QAH131117 QKA131117:QKD131117 QTW131117:QTZ131117 RDS131117:RDV131117 RNO131117:RNR131117 RXK131117:RXN131117 SHG131117:SHJ131117 SRC131117:SRF131117 TAY131117:TBB131117 TKU131117:TKX131117 TUQ131117:TUT131117 UEM131117:UEP131117 UOI131117:UOL131117 UYE131117:UYH131117 VIA131117:VID131117 VRW131117:VRZ131117 WBS131117:WBV131117 WLO131117:WLR131117 WVK131117:WVN131117 C196653:F196653 IY196653:JB196653 SU196653:SX196653 ACQ196653:ACT196653 AMM196653:AMP196653 AWI196653:AWL196653 BGE196653:BGH196653 BQA196653:BQD196653 BZW196653:BZZ196653 CJS196653:CJV196653 CTO196653:CTR196653 DDK196653:DDN196653 DNG196653:DNJ196653 DXC196653:DXF196653 EGY196653:EHB196653 EQU196653:EQX196653 FAQ196653:FAT196653 FKM196653:FKP196653 FUI196653:FUL196653 GEE196653:GEH196653 GOA196653:GOD196653 GXW196653:GXZ196653 HHS196653:HHV196653 HRO196653:HRR196653 IBK196653:IBN196653 ILG196653:ILJ196653 IVC196653:IVF196653 JEY196653:JFB196653 JOU196653:JOX196653 JYQ196653:JYT196653 KIM196653:KIP196653 KSI196653:KSL196653 LCE196653:LCH196653 LMA196653:LMD196653 LVW196653:LVZ196653 MFS196653:MFV196653 MPO196653:MPR196653 MZK196653:MZN196653 NJG196653:NJJ196653 NTC196653:NTF196653 OCY196653:ODB196653 OMU196653:OMX196653 OWQ196653:OWT196653 PGM196653:PGP196653 PQI196653:PQL196653 QAE196653:QAH196653 QKA196653:QKD196653 QTW196653:QTZ196653 RDS196653:RDV196653 RNO196653:RNR196653 RXK196653:RXN196653 SHG196653:SHJ196653 SRC196653:SRF196653 TAY196653:TBB196653 TKU196653:TKX196653 TUQ196653:TUT196653 UEM196653:UEP196653 UOI196653:UOL196653 UYE196653:UYH196653 VIA196653:VID196653 VRW196653:VRZ196653 WBS196653:WBV196653 WLO196653:WLR196653 WVK196653:WVN196653 C262189:F262189 IY262189:JB262189 SU262189:SX262189 ACQ262189:ACT262189 AMM262189:AMP262189 AWI262189:AWL262189 BGE262189:BGH262189 BQA262189:BQD262189 BZW262189:BZZ262189 CJS262189:CJV262189 CTO262189:CTR262189 DDK262189:DDN262189 DNG262189:DNJ262189 DXC262189:DXF262189 EGY262189:EHB262189 EQU262189:EQX262189 FAQ262189:FAT262189 FKM262189:FKP262189 FUI262189:FUL262189 GEE262189:GEH262189 GOA262189:GOD262189 GXW262189:GXZ262189 HHS262189:HHV262189 HRO262189:HRR262189 IBK262189:IBN262189 ILG262189:ILJ262189 IVC262189:IVF262189 JEY262189:JFB262189 JOU262189:JOX262189 JYQ262189:JYT262189 KIM262189:KIP262189 KSI262189:KSL262189 LCE262189:LCH262189 LMA262189:LMD262189 LVW262189:LVZ262189 MFS262189:MFV262189 MPO262189:MPR262189 MZK262189:MZN262189 NJG262189:NJJ262189 NTC262189:NTF262189 OCY262189:ODB262189 OMU262189:OMX262189 OWQ262189:OWT262189 PGM262189:PGP262189 PQI262189:PQL262189 QAE262189:QAH262189 QKA262189:QKD262189 QTW262189:QTZ262189 RDS262189:RDV262189 RNO262189:RNR262189 RXK262189:RXN262189 SHG262189:SHJ262189 SRC262189:SRF262189 TAY262189:TBB262189 TKU262189:TKX262189 TUQ262189:TUT262189 UEM262189:UEP262189 UOI262189:UOL262189 UYE262189:UYH262189 VIA262189:VID262189 VRW262189:VRZ262189 WBS262189:WBV262189 WLO262189:WLR262189 WVK262189:WVN262189 C327725:F327725 IY327725:JB327725 SU327725:SX327725 ACQ327725:ACT327725 AMM327725:AMP327725 AWI327725:AWL327725 BGE327725:BGH327725 BQA327725:BQD327725 BZW327725:BZZ327725 CJS327725:CJV327725 CTO327725:CTR327725 DDK327725:DDN327725 DNG327725:DNJ327725 DXC327725:DXF327725 EGY327725:EHB327725 EQU327725:EQX327725 FAQ327725:FAT327725 FKM327725:FKP327725 FUI327725:FUL327725 GEE327725:GEH327725 GOA327725:GOD327725 GXW327725:GXZ327725 HHS327725:HHV327725 HRO327725:HRR327725 IBK327725:IBN327725 ILG327725:ILJ327725 IVC327725:IVF327725 JEY327725:JFB327725 JOU327725:JOX327725 JYQ327725:JYT327725 KIM327725:KIP327725 KSI327725:KSL327725 LCE327725:LCH327725 LMA327725:LMD327725 LVW327725:LVZ327725 MFS327725:MFV327725 MPO327725:MPR327725 MZK327725:MZN327725 NJG327725:NJJ327725 NTC327725:NTF327725 OCY327725:ODB327725 OMU327725:OMX327725 OWQ327725:OWT327725 PGM327725:PGP327725 PQI327725:PQL327725 QAE327725:QAH327725 QKA327725:QKD327725 QTW327725:QTZ327725 RDS327725:RDV327725 RNO327725:RNR327725 RXK327725:RXN327725 SHG327725:SHJ327725 SRC327725:SRF327725 TAY327725:TBB327725 TKU327725:TKX327725 TUQ327725:TUT327725 UEM327725:UEP327725 UOI327725:UOL327725 UYE327725:UYH327725 VIA327725:VID327725 VRW327725:VRZ327725 WBS327725:WBV327725 WLO327725:WLR327725 WVK327725:WVN327725 C393261:F393261 IY393261:JB393261 SU393261:SX393261 ACQ393261:ACT393261 AMM393261:AMP393261 AWI393261:AWL393261 BGE393261:BGH393261 BQA393261:BQD393261 BZW393261:BZZ393261 CJS393261:CJV393261 CTO393261:CTR393261 DDK393261:DDN393261 DNG393261:DNJ393261 DXC393261:DXF393261 EGY393261:EHB393261 EQU393261:EQX393261 FAQ393261:FAT393261 FKM393261:FKP393261 FUI393261:FUL393261 GEE393261:GEH393261 GOA393261:GOD393261 GXW393261:GXZ393261 HHS393261:HHV393261 HRO393261:HRR393261 IBK393261:IBN393261 ILG393261:ILJ393261 IVC393261:IVF393261 JEY393261:JFB393261 JOU393261:JOX393261 JYQ393261:JYT393261 KIM393261:KIP393261 KSI393261:KSL393261 LCE393261:LCH393261 LMA393261:LMD393261 LVW393261:LVZ393261 MFS393261:MFV393261 MPO393261:MPR393261 MZK393261:MZN393261 NJG393261:NJJ393261 NTC393261:NTF393261 OCY393261:ODB393261 OMU393261:OMX393261 OWQ393261:OWT393261 PGM393261:PGP393261 PQI393261:PQL393261 QAE393261:QAH393261 QKA393261:QKD393261 QTW393261:QTZ393261 RDS393261:RDV393261 RNO393261:RNR393261 RXK393261:RXN393261 SHG393261:SHJ393261 SRC393261:SRF393261 TAY393261:TBB393261 TKU393261:TKX393261 TUQ393261:TUT393261 UEM393261:UEP393261 UOI393261:UOL393261 UYE393261:UYH393261 VIA393261:VID393261 VRW393261:VRZ393261 WBS393261:WBV393261 WLO393261:WLR393261 WVK393261:WVN393261 C458797:F458797 IY458797:JB458797 SU458797:SX458797 ACQ458797:ACT458797 AMM458797:AMP458797 AWI458797:AWL458797 BGE458797:BGH458797 BQA458797:BQD458797 BZW458797:BZZ458797 CJS458797:CJV458797 CTO458797:CTR458797 DDK458797:DDN458797 DNG458797:DNJ458797 DXC458797:DXF458797 EGY458797:EHB458797 EQU458797:EQX458797 FAQ458797:FAT458797 FKM458797:FKP458797 FUI458797:FUL458797 GEE458797:GEH458797 GOA458797:GOD458797 GXW458797:GXZ458797 HHS458797:HHV458797 HRO458797:HRR458797 IBK458797:IBN458797 ILG458797:ILJ458797 IVC458797:IVF458797 JEY458797:JFB458797 JOU458797:JOX458797 JYQ458797:JYT458797 KIM458797:KIP458797 KSI458797:KSL458797 LCE458797:LCH458797 LMA458797:LMD458797 LVW458797:LVZ458797 MFS458797:MFV458797 MPO458797:MPR458797 MZK458797:MZN458797 NJG458797:NJJ458797 NTC458797:NTF458797 OCY458797:ODB458797 OMU458797:OMX458797 OWQ458797:OWT458797 PGM458797:PGP458797 PQI458797:PQL458797 QAE458797:QAH458797 QKA458797:QKD458797 QTW458797:QTZ458797 RDS458797:RDV458797 RNO458797:RNR458797 RXK458797:RXN458797 SHG458797:SHJ458797 SRC458797:SRF458797 TAY458797:TBB458797 TKU458797:TKX458797 TUQ458797:TUT458797 UEM458797:UEP458797 UOI458797:UOL458797 UYE458797:UYH458797 VIA458797:VID458797 VRW458797:VRZ458797 WBS458797:WBV458797 WLO458797:WLR458797 WVK458797:WVN458797 C524333:F524333 IY524333:JB524333 SU524333:SX524333 ACQ524333:ACT524333 AMM524333:AMP524333 AWI524333:AWL524333 BGE524333:BGH524333 BQA524333:BQD524333 BZW524333:BZZ524333 CJS524333:CJV524333 CTO524333:CTR524333 DDK524333:DDN524333 DNG524333:DNJ524333 DXC524333:DXF524333 EGY524333:EHB524333 EQU524333:EQX524333 FAQ524333:FAT524333 FKM524333:FKP524333 FUI524333:FUL524333 GEE524333:GEH524333 GOA524333:GOD524333 GXW524333:GXZ524333 HHS524333:HHV524333 HRO524333:HRR524333 IBK524333:IBN524333 ILG524333:ILJ524333 IVC524333:IVF524333 JEY524333:JFB524333 JOU524333:JOX524333 JYQ524333:JYT524333 KIM524333:KIP524333 KSI524333:KSL524333 LCE524333:LCH524333 LMA524333:LMD524333 LVW524333:LVZ524333 MFS524333:MFV524333 MPO524333:MPR524333 MZK524333:MZN524333 NJG524333:NJJ524333 NTC524333:NTF524333 OCY524333:ODB524333 OMU524333:OMX524333 OWQ524333:OWT524333 PGM524333:PGP524333 PQI524333:PQL524333 QAE524333:QAH524333 QKA524333:QKD524333 QTW524333:QTZ524333 RDS524333:RDV524333 RNO524333:RNR524333 RXK524333:RXN524333 SHG524333:SHJ524333 SRC524333:SRF524333 TAY524333:TBB524333 TKU524333:TKX524333 TUQ524333:TUT524333 UEM524333:UEP524333 UOI524333:UOL524333 UYE524333:UYH524333 VIA524333:VID524333 VRW524333:VRZ524333 WBS524333:WBV524333 WLO524333:WLR524333 WVK524333:WVN524333 C589869:F589869 IY589869:JB589869 SU589869:SX589869 ACQ589869:ACT589869 AMM589869:AMP589869 AWI589869:AWL589869 BGE589869:BGH589869 BQA589869:BQD589869 BZW589869:BZZ589869 CJS589869:CJV589869 CTO589869:CTR589869 DDK589869:DDN589869 DNG589869:DNJ589869 DXC589869:DXF589869 EGY589869:EHB589869 EQU589869:EQX589869 FAQ589869:FAT589869 FKM589869:FKP589869 FUI589869:FUL589869 GEE589869:GEH589869 GOA589869:GOD589869 GXW589869:GXZ589869 HHS589869:HHV589869 HRO589869:HRR589869 IBK589869:IBN589869 ILG589869:ILJ589869 IVC589869:IVF589869 JEY589869:JFB589869 JOU589869:JOX589869 JYQ589869:JYT589869 KIM589869:KIP589869 KSI589869:KSL589869 LCE589869:LCH589869 LMA589869:LMD589869 LVW589869:LVZ589869 MFS589869:MFV589869 MPO589869:MPR589869 MZK589869:MZN589869 NJG589869:NJJ589869 NTC589869:NTF589869 OCY589869:ODB589869 OMU589869:OMX589869 OWQ589869:OWT589869 PGM589869:PGP589869 PQI589869:PQL589869 QAE589869:QAH589869 QKA589869:QKD589869 QTW589869:QTZ589869 RDS589869:RDV589869 RNO589869:RNR589869 RXK589869:RXN589869 SHG589869:SHJ589869 SRC589869:SRF589869 TAY589869:TBB589869 TKU589869:TKX589869 TUQ589869:TUT589869 UEM589869:UEP589869 UOI589869:UOL589869 UYE589869:UYH589869 VIA589869:VID589869 VRW589869:VRZ589869 WBS589869:WBV589869 WLO589869:WLR589869 WVK589869:WVN589869 C655405:F655405 IY655405:JB655405 SU655405:SX655405 ACQ655405:ACT655405 AMM655405:AMP655405 AWI655405:AWL655405 BGE655405:BGH655405 BQA655405:BQD655405 BZW655405:BZZ655405 CJS655405:CJV655405 CTO655405:CTR655405 DDK655405:DDN655405 DNG655405:DNJ655405 DXC655405:DXF655405 EGY655405:EHB655405 EQU655405:EQX655405 FAQ655405:FAT655405 FKM655405:FKP655405 FUI655405:FUL655405 GEE655405:GEH655405 GOA655405:GOD655405 GXW655405:GXZ655405 HHS655405:HHV655405 HRO655405:HRR655405 IBK655405:IBN655405 ILG655405:ILJ655405 IVC655405:IVF655405 JEY655405:JFB655405 JOU655405:JOX655405 JYQ655405:JYT655405 KIM655405:KIP655405 KSI655405:KSL655405 LCE655405:LCH655405 LMA655405:LMD655405 LVW655405:LVZ655405 MFS655405:MFV655405 MPO655405:MPR655405 MZK655405:MZN655405 NJG655405:NJJ655405 NTC655405:NTF655405 OCY655405:ODB655405 OMU655405:OMX655405 OWQ655405:OWT655405 PGM655405:PGP655405 PQI655405:PQL655405 QAE655405:QAH655405 QKA655405:QKD655405 QTW655405:QTZ655405 RDS655405:RDV655405 RNO655405:RNR655405 RXK655405:RXN655405 SHG655405:SHJ655405 SRC655405:SRF655405 TAY655405:TBB655405 TKU655405:TKX655405 TUQ655405:TUT655405 UEM655405:UEP655405 UOI655405:UOL655405 UYE655405:UYH655405 VIA655405:VID655405 VRW655405:VRZ655405 WBS655405:WBV655405 WLO655405:WLR655405 WVK655405:WVN655405 C720941:F720941 IY720941:JB720941 SU720941:SX720941 ACQ720941:ACT720941 AMM720941:AMP720941 AWI720941:AWL720941 BGE720941:BGH720941 BQA720941:BQD720941 BZW720941:BZZ720941 CJS720941:CJV720941 CTO720941:CTR720941 DDK720941:DDN720941 DNG720941:DNJ720941 DXC720941:DXF720941 EGY720941:EHB720941 EQU720941:EQX720941 FAQ720941:FAT720941 FKM720941:FKP720941 FUI720941:FUL720941 GEE720941:GEH720941 GOA720941:GOD720941 GXW720941:GXZ720941 HHS720941:HHV720941 HRO720941:HRR720941 IBK720941:IBN720941 ILG720941:ILJ720941 IVC720941:IVF720941 JEY720941:JFB720941 JOU720941:JOX720941 JYQ720941:JYT720941 KIM720941:KIP720941 KSI720941:KSL720941 LCE720941:LCH720941 LMA720941:LMD720941 LVW720941:LVZ720941 MFS720941:MFV720941 MPO720941:MPR720941 MZK720941:MZN720941 NJG720941:NJJ720941 NTC720941:NTF720941 OCY720941:ODB720941 OMU720941:OMX720941 OWQ720941:OWT720941 PGM720941:PGP720941 PQI720941:PQL720941 QAE720941:QAH720941 QKA720941:QKD720941 QTW720941:QTZ720941 RDS720941:RDV720941 RNO720941:RNR720941 RXK720941:RXN720941 SHG720941:SHJ720941 SRC720941:SRF720941 TAY720941:TBB720941 TKU720941:TKX720941 TUQ720941:TUT720941 UEM720941:UEP720941 UOI720941:UOL720941 UYE720941:UYH720941 VIA720941:VID720941 VRW720941:VRZ720941 WBS720941:WBV720941 WLO720941:WLR720941 WVK720941:WVN720941 C786477:F786477 IY786477:JB786477 SU786477:SX786477 ACQ786477:ACT786477 AMM786477:AMP786477 AWI786477:AWL786477 BGE786477:BGH786477 BQA786477:BQD786477 BZW786477:BZZ786477 CJS786477:CJV786477 CTO786477:CTR786477 DDK786477:DDN786477 DNG786477:DNJ786477 DXC786477:DXF786477 EGY786477:EHB786477 EQU786477:EQX786477 FAQ786477:FAT786477 FKM786477:FKP786477 FUI786477:FUL786477 GEE786477:GEH786477 GOA786477:GOD786477 GXW786477:GXZ786477 HHS786477:HHV786477 HRO786477:HRR786477 IBK786477:IBN786477 ILG786477:ILJ786477 IVC786477:IVF786477 JEY786477:JFB786477 JOU786477:JOX786477 JYQ786477:JYT786477 KIM786477:KIP786477 KSI786477:KSL786477 LCE786477:LCH786477 LMA786477:LMD786477 LVW786477:LVZ786477 MFS786477:MFV786477 MPO786477:MPR786477 MZK786477:MZN786477 NJG786477:NJJ786477 NTC786477:NTF786477 OCY786477:ODB786477 OMU786477:OMX786477 OWQ786477:OWT786477 PGM786477:PGP786477 PQI786477:PQL786477 QAE786477:QAH786477 QKA786477:QKD786477 QTW786477:QTZ786477 RDS786477:RDV786477 RNO786477:RNR786477 RXK786477:RXN786477 SHG786477:SHJ786477 SRC786477:SRF786477 TAY786477:TBB786477 TKU786477:TKX786477 TUQ786477:TUT786477 UEM786477:UEP786477 UOI786477:UOL786477 UYE786477:UYH786477 VIA786477:VID786477 VRW786477:VRZ786477 WBS786477:WBV786477 WLO786477:WLR786477 WVK786477:WVN786477 C852013:F852013 IY852013:JB852013 SU852013:SX852013 ACQ852013:ACT852013 AMM852013:AMP852013 AWI852013:AWL852013 BGE852013:BGH852013 BQA852013:BQD852013 BZW852013:BZZ852013 CJS852013:CJV852013 CTO852013:CTR852013 DDK852013:DDN852013 DNG852013:DNJ852013 DXC852013:DXF852013 EGY852013:EHB852013 EQU852013:EQX852013 FAQ852013:FAT852013 FKM852013:FKP852013 FUI852013:FUL852013 GEE852013:GEH852013 GOA852013:GOD852013 GXW852013:GXZ852013 HHS852013:HHV852013 HRO852013:HRR852013 IBK852013:IBN852013 ILG852013:ILJ852013 IVC852013:IVF852013 JEY852013:JFB852013 JOU852013:JOX852013 JYQ852013:JYT852013 KIM852013:KIP852013 KSI852013:KSL852013 LCE852013:LCH852013 LMA852013:LMD852013 LVW852013:LVZ852013 MFS852013:MFV852013 MPO852013:MPR852013 MZK852013:MZN852013 NJG852013:NJJ852013 NTC852013:NTF852013 OCY852013:ODB852013 OMU852013:OMX852013 OWQ852013:OWT852013 PGM852013:PGP852013 PQI852013:PQL852013 QAE852013:QAH852013 QKA852013:QKD852013 QTW852013:QTZ852013 RDS852013:RDV852013 RNO852013:RNR852013 RXK852013:RXN852013 SHG852013:SHJ852013 SRC852013:SRF852013 TAY852013:TBB852013 TKU852013:TKX852013 TUQ852013:TUT852013 UEM852013:UEP852013 UOI852013:UOL852013 UYE852013:UYH852013 VIA852013:VID852013 VRW852013:VRZ852013 WBS852013:WBV852013 WLO852013:WLR852013 WVK852013:WVN852013 C917549:F917549 IY917549:JB917549 SU917549:SX917549 ACQ917549:ACT917549 AMM917549:AMP917549 AWI917549:AWL917549 BGE917549:BGH917549 BQA917549:BQD917549 BZW917549:BZZ917549 CJS917549:CJV917549 CTO917549:CTR917549 DDK917549:DDN917549 DNG917549:DNJ917549 DXC917549:DXF917549 EGY917549:EHB917549 EQU917549:EQX917549 FAQ917549:FAT917549 FKM917549:FKP917549 FUI917549:FUL917549 GEE917549:GEH917549 GOA917549:GOD917549 GXW917549:GXZ917549 HHS917549:HHV917549 HRO917549:HRR917549 IBK917549:IBN917549 ILG917549:ILJ917549 IVC917549:IVF917549 JEY917549:JFB917549 JOU917549:JOX917549 JYQ917549:JYT917549 KIM917549:KIP917549 KSI917549:KSL917549 LCE917549:LCH917549 LMA917549:LMD917549 LVW917549:LVZ917549 MFS917549:MFV917549 MPO917549:MPR917549 MZK917549:MZN917549 NJG917549:NJJ917549 NTC917549:NTF917549 OCY917549:ODB917549 OMU917549:OMX917549 OWQ917549:OWT917549 PGM917549:PGP917549 PQI917549:PQL917549 QAE917549:QAH917549 QKA917549:QKD917549 QTW917549:QTZ917549 RDS917549:RDV917549 RNO917549:RNR917549 RXK917549:RXN917549 SHG917549:SHJ917549 SRC917549:SRF917549 TAY917549:TBB917549 TKU917549:TKX917549 TUQ917549:TUT917549 UEM917549:UEP917549 UOI917549:UOL917549 UYE917549:UYH917549 VIA917549:VID917549 VRW917549:VRZ917549 WBS917549:WBV917549 WLO917549:WLR917549 WVK917549:WVN917549 C983085:F983085 IY983085:JB983085 SU983085:SX983085 ACQ983085:ACT983085 AMM983085:AMP983085 AWI983085:AWL983085 BGE983085:BGH983085 BQA983085:BQD983085 BZW983085:BZZ983085 CJS983085:CJV983085 CTO983085:CTR983085 DDK983085:DDN983085 DNG983085:DNJ983085 DXC983085:DXF983085 EGY983085:EHB983085 EQU983085:EQX983085 FAQ983085:FAT983085 FKM983085:FKP983085 FUI983085:FUL983085 GEE983085:GEH983085 GOA983085:GOD983085 GXW983085:GXZ983085 HHS983085:HHV983085 HRO983085:HRR983085 IBK983085:IBN983085 ILG983085:ILJ983085 IVC983085:IVF983085 JEY983085:JFB983085 JOU983085:JOX983085 JYQ983085:JYT983085 KIM983085:KIP983085 KSI983085:KSL983085 LCE983085:LCH983085 LMA983085:LMD983085 LVW983085:LVZ983085 MFS983085:MFV983085 MPO983085:MPR983085 MZK983085:MZN983085 NJG983085:NJJ983085 NTC983085:NTF983085 OCY983085:ODB983085 OMU983085:OMX983085 OWQ983085:OWT983085 PGM983085:PGP983085 PQI983085:PQL983085 QAE983085:QAH983085 QKA983085:QKD983085 QTW983085:QTZ983085 RDS983085:RDV983085 RNO983085:RNR983085 RXK983085:RXN983085 SHG983085:SHJ983085 SRC983085:SRF983085 TAY983085:TBB983085 TKU983085:TKX983085 TUQ983085:TUT983085 UEM983085:UEP983085 UOI983085:UOL983085 UYE983085:UYH983085 VIA983085:VID983085 VRW983085:VRZ983085 WBS983085:WBV983085 WLO983085:WLR983085 WVK983085:WVN983085 WVK46:WVN46 WLO46:WLR46 WBS46:WBV46 VRW46:VRZ46 VIA46:VID46 UYE46:UYH46 UOI46:UOL46 UEM46:UEP46 TUQ46:TUT46 TKU46:TKX46 TAY46:TBB46 SRC46:SRF46 SHG46:SHJ46 RXK46:RXN46 RNO46:RNR46 RDS46:RDV46 QTW46:QTZ46 QKA46:QKD46 QAE46:QAH46 PQI46:PQL46 PGM46:PGP46 OWQ46:OWT46 OMU46:OMX46 OCY46:ODB46 NTC46:NTF46 NJG46:NJJ46 MZK46:MZN46 MPO46:MPR46 MFS46:MFV46 LVW46:LVZ46 LMA46:LMD46 LCE46:LCH46 KSI46:KSL46 KIM46:KIP46 JYQ46:JYT46 JOU46:JOX46 JEY46:JFB46 IVC46:IVF46 ILG46:ILJ46 IBK46:IBN46 HRO46:HRR46 HHS46:HHV46 GXW46:GXZ46 GOA46:GOD46 GEE46:GEH46 FUI46:FUL46 FKM46:FKP46 FAQ46:FAT46 EQU46:EQX46 EGY46:EHB46 DXC46:DXF46 DNG46:DNJ46 DDK46:DDN46 CTO46:CTR46 CJS46:CJV46 BZW46:BZZ46 BQA46:BQD46 BGE46:BGH46 AWI46:AWL46 AMM46:AMP46 ACQ46:ACT46 SU46:SX46 IY46:JB46 C46:F46 WVK44:WVN44 WLO44:WLR44 WBS44:WBV44 VRW44:VRZ44 VIA44:VID44 UYE44:UYH44 UOI44:UOL44 UEM44:UEP44 TUQ44:TUT44 TKU44:TKX44 TAY44:TBB44 SRC44:SRF44 SHG44:SHJ44 RXK44:RXN44 RNO44:RNR44 RDS44:RDV44 QTW44:QTZ44 QKA44:QKD44 QAE44:QAH44 PQI44:PQL44 PGM44:PGP44 OWQ44:OWT44 OMU44:OMX44 OCY44:ODB44 NTC44:NTF44 NJG44:NJJ44 MZK44:MZN44 MPO44:MPR44 MFS44:MFV44 LVW44:LVZ44 LMA44:LMD44 LCE44:LCH44 KSI44:KSL44 KIM44:KIP44 JYQ44:JYT44 JOU44:JOX44 JEY44:JFB44 IVC44:IVF44 ILG44:ILJ44 IBK44:IBN44 HRO44:HRR44 HHS44:HHV44 GXW44:GXZ44 GOA44:GOD44 GEE44:GEH44 FUI44:FUL44 FKM44:FKP44 FAQ44:FAT44 EQU44:EQX44 EGY44:EHB44 DXC44:DXF44 DNG44:DNJ44 DDK44:DDN44 CTO44:CTR44 CJS44:CJV44 BZW44:BZZ44 BQA44:BQD44 BGE44:BGH44 AWI44:AWL44 AMM44:AMP44 ACQ44:ACT44 SU44:SX44 IY44:JB44 C44:F44 WVY6 WMC6 WCG6 VSK6 VIO6 UYS6 UOW6 UFA6 TVE6 TLI6 TBM6 SRQ6 SHU6 RXY6 ROC6 REG6 QUK6 QKO6 QAS6 PQW6 PHA6 OXE6 ONI6 ODM6 NTQ6 NJU6 MZY6 MQC6 MGG6 LWK6 LMO6 LCS6 KSW6 KJA6 JZE6 JPI6 JFM6 IVQ6 ILU6 IBY6 HSC6 HIG6 GYK6 GOO6 GES6 FUW6 FLA6 FBE6 ERI6 EHM6 DXQ6 DNU6 DDY6 CUC6 CKG6 CAK6 BQO6 BGS6 AWW6 ANA6 ADE6 TI6 JM6 Q6</xm:sqref>
        </x14:dataValidation>
        <x14:dataValidation operator="equal" allowBlank="1" showInputMessage="1" promptTitle="ATENÇÃO!" prompt="CUIDADO PARA NÃO ULTRAPASSAR O LIMITE DA LINHA." xr:uid="{00000000-0002-0000-0A00-000006000000}">
          <x14:formula1>
            <xm:f>0</xm:f>
          </x14:formula1>
          <x14:formula2>
            <xm:f>0</xm:f>
          </x14:formula2>
          <xm:sqref>C65203:C65210 IY65203:IY65210 SU65203:SU65210 ACQ65203:ACQ65210 AMM65203:AMM65210 AWI65203:AWI65210 BGE65203:BGE65210 BQA65203:BQA65210 BZW65203:BZW65210 CJS65203:CJS65210 CTO65203:CTO65210 DDK65203:DDK65210 DNG65203:DNG65210 DXC65203:DXC65210 EGY65203:EGY65210 EQU65203:EQU65210 FAQ65203:FAQ65210 FKM65203:FKM65210 FUI65203:FUI65210 GEE65203:GEE65210 GOA65203:GOA65210 GXW65203:GXW65210 HHS65203:HHS65210 HRO65203:HRO65210 IBK65203:IBK65210 ILG65203:ILG65210 IVC65203:IVC65210 JEY65203:JEY65210 JOU65203:JOU65210 JYQ65203:JYQ65210 KIM65203:KIM65210 KSI65203:KSI65210 LCE65203:LCE65210 LMA65203:LMA65210 LVW65203:LVW65210 MFS65203:MFS65210 MPO65203:MPO65210 MZK65203:MZK65210 NJG65203:NJG65210 NTC65203:NTC65210 OCY65203:OCY65210 OMU65203:OMU65210 OWQ65203:OWQ65210 PGM65203:PGM65210 PQI65203:PQI65210 QAE65203:QAE65210 QKA65203:QKA65210 QTW65203:QTW65210 RDS65203:RDS65210 RNO65203:RNO65210 RXK65203:RXK65210 SHG65203:SHG65210 SRC65203:SRC65210 TAY65203:TAY65210 TKU65203:TKU65210 TUQ65203:TUQ65210 UEM65203:UEM65210 UOI65203:UOI65210 UYE65203:UYE65210 VIA65203:VIA65210 VRW65203:VRW65210 WBS65203:WBS65210 WLO65203:WLO65210 WVK65203:WVK65210 C130739:C130746 IY130739:IY130746 SU130739:SU130746 ACQ130739:ACQ130746 AMM130739:AMM130746 AWI130739:AWI130746 BGE130739:BGE130746 BQA130739:BQA130746 BZW130739:BZW130746 CJS130739:CJS130746 CTO130739:CTO130746 DDK130739:DDK130746 DNG130739:DNG130746 DXC130739:DXC130746 EGY130739:EGY130746 EQU130739:EQU130746 FAQ130739:FAQ130746 FKM130739:FKM130746 FUI130739:FUI130746 GEE130739:GEE130746 GOA130739:GOA130746 GXW130739:GXW130746 HHS130739:HHS130746 HRO130739:HRO130746 IBK130739:IBK130746 ILG130739:ILG130746 IVC130739:IVC130746 JEY130739:JEY130746 JOU130739:JOU130746 JYQ130739:JYQ130746 KIM130739:KIM130746 KSI130739:KSI130746 LCE130739:LCE130746 LMA130739:LMA130746 LVW130739:LVW130746 MFS130739:MFS130746 MPO130739:MPO130746 MZK130739:MZK130746 NJG130739:NJG130746 NTC130739:NTC130746 OCY130739:OCY130746 OMU130739:OMU130746 OWQ130739:OWQ130746 PGM130739:PGM130746 PQI130739:PQI130746 QAE130739:QAE130746 QKA130739:QKA130746 QTW130739:QTW130746 RDS130739:RDS130746 RNO130739:RNO130746 RXK130739:RXK130746 SHG130739:SHG130746 SRC130739:SRC130746 TAY130739:TAY130746 TKU130739:TKU130746 TUQ130739:TUQ130746 UEM130739:UEM130746 UOI130739:UOI130746 UYE130739:UYE130746 VIA130739:VIA130746 VRW130739:VRW130746 WBS130739:WBS130746 WLO130739:WLO130746 WVK130739:WVK130746 C196275:C196282 IY196275:IY196282 SU196275:SU196282 ACQ196275:ACQ196282 AMM196275:AMM196282 AWI196275:AWI196282 BGE196275:BGE196282 BQA196275:BQA196282 BZW196275:BZW196282 CJS196275:CJS196282 CTO196275:CTO196282 DDK196275:DDK196282 DNG196275:DNG196282 DXC196275:DXC196282 EGY196275:EGY196282 EQU196275:EQU196282 FAQ196275:FAQ196282 FKM196275:FKM196282 FUI196275:FUI196282 GEE196275:GEE196282 GOA196275:GOA196282 GXW196275:GXW196282 HHS196275:HHS196282 HRO196275:HRO196282 IBK196275:IBK196282 ILG196275:ILG196282 IVC196275:IVC196282 JEY196275:JEY196282 JOU196275:JOU196282 JYQ196275:JYQ196282 KIM196275:KIM196282 KSI196275:KSI196282 LCE196275:LCE196282 LMA196275:LMA196282 LVW196275:LVW196282 MFS196275:MFS196282 MPO196275:MPO196282 MZK196275:MZK196282 NJG196275:NJG196282 NTC196275:NTC196282 OCY196275:OCY196282 OMU196275:OMU196282 OWQ196275:OWQ196282 PGM196275:PGM196282 PQI196275:PQI196282 QAE196275:QAE196282 QKA196275:QKA196282 QTW196275:QTW196282 RDS196275:RDS196282 RNO196275:RNO196282 RXK196275:RXK196282 SHG196275:SHG196282 SRC196275:SRC196282 TAY196275:TAY196282 TKU196275:TKU196282 TUQ196275:TUQ196282 UEM196275:UEM196282 UOI196275:UOI196282 UYE196275:UYE196282 VIA196275:VIA196282 VRW196275:VRW196282 WBS196275:WBS196282 WLO196275:WLO196282 WVK196275:WVK196282 C261811:C261818 IY261811:IY261818 SU261811:SU261818 ACQ261811:ACQ261818 AMM261811:AMM261818 AWI261811:AWI261818 BGE261811:BGE261818 BQA261811:BQA261818 BZW261811:BZW261818 CJS261811:CJS261818 CTO261811:CTO261818 DDK261811:DDK261818 DNG261811:DNG261818 DXC261811:DXC261818 EGY261811:EGY261818 EQU261811:EQU261818 FAQ261811:FAQ261818 FKM261811:FKM261818 FUI261811:FUI261818 GEE261811:GEE261818 GOA261811:GOA261818 GXW261811:GXW261818 HHS261811:HHS261818 HRO261811:HRO261818 IBK261811:IBK261818 ILG261811:ILG261818 IVC261811:IVC261818 JEY261811:JEY261818 JOU261811:JOU261818 JYQ261811:JYQ261818 KIM261811:KIM261818 KSI261811:KSI261818 LCE261811:LCE261818 LMA261811:LMA261818 LVW261811:LVW261818 MFS261811:MFS261818 MPO261811:MPO261818 MZK261811:MZK261818 NJG261811:NJG261818 NTC261811:NTC261818 OCY261811:OCY261818 OMU261811:OMU261818 OWQ261811:OWQ261818 PGM261811:PGM261818 PQI261811:PQI261818 QAE261811:QAE261818 QKA261811:QKA261818 QTW261811:QTW261818 RDS261811:RDS261818 RNO261811:RNO261818 RXK261811:RXK261818 SHG261811:SHG261818 SRC261811:SRC261818 TAY261811:TAY261818 TKU261811:TKU261818 TUQ261811:TUQ261818 UEM261811:UEM261818 UOI261811:UOI261818 UYE261811:UYE261818 VIA261811:VIA261818 VRW261811:VRW261818 WBS261811:WBS261818 WLO261811:WLO261818 WVK261811:WVK261818 C327347:C327354 IY327347:IY327354 SU327347:SU327354 ACQ327347:ACQ327354 AMM327347:AMM327354 AWI327347:AWI327354 BGE327347:BGE327354 BQA327347:BQA327354 BZW327347:BZW327354 CJS327347:CJS327354 CTO327347:CTO327354 DDK327347:DDK327354 DNG327347:DNG327354 DXC327347:DXC327354 EGY327347:EGY327354 EQU327347:EQU327354 FAQ327347:FAQ327354 FKM327347:FKM327354 FUI327347:FUI327354 GEE327347:GEE327354 GOA327347:GOA327354 GXW327347:GXW327354 HHS327347:HHS327354 HRO327347:HRO327354 IBK327347:IBK327354 ILG327347:ILG327354 IVC327347:IVC327354 JEY327347:JEY327354 JOU327347:JOU327354 JYQ327347:JYQ327354 KIM327347:KIM327354 KSI327347:KSI327354 LCE327347:LCE327354 LMA327347:LMA327354 LVW327347:LVW327354 MFS327347:MFS327354 MPO327347:MPO327354 MZK327347:MZK327354 NJG327347:NJG327354 NTC327347:NTC327354 OCY327347:OCY327354 OMU327347:OMU327354 OWQ327347:OWQ327354 PGM327347:PGM327354 PQI327347:PQI327354 QAE327347:QAE327354 QKA327347:QKA327354 QTW327347:QTW327354 RDS327347:RDS327354 RNO327347:RNO327354 RXK327347:RXK327354 SHG327347:SHG327354 SRC327347:SRC327354 TAY327347:TAY327354 TKU327347:TKU327354 TUQ327347:TUQ327354 UEM327347:UEM327354 UOI327347:UOI327354 UYE327347:UYE327354 VIA327347:VIA327354 VRW327347:VRW327354 WBS327347:WBS327354 WLO327347:WLO327354 WVK327347:WVK327354 C392883:C392890 IY392883:IY392890 SU392883:SU392890 ACQ392883:ACQ392890 AMM392883:AMM392890 AWI392883:AWI392890 BGE392883:BGE392890 BQA392883:BQA392890 BZW392883:BZW392890 CJS392883:CJS392890 CTO392883:CTO392890 DDK392883:DDK392890 DNG392883:DNG392890 DXC392883:DXC392890 EGY392883:EGY392890 EQU392883:EQU392890 FAQ392883:FAQ392890 FKM392883:FKM392890 FUI392883:FUI392890 GEE392883:GEE392890 GOA392883:GOA392890 GXW392883:GXW392890 HHS392883:HHS392890 HRO392883:HRO392890 IBK392883:IBK392890 ILG392883:ILG392890 IVC392883:IVC392890 JEY392883:JEY392890 JOU392883:JOU392890 JYQ392883:JYQ392890 KIM392883:KIM392890 KSI392883:KSI392890 LCE392883:LCE392890 LMA392883:LMA392890 LVW392883:LVW392890 MFS392883:MFS392890 MPO392883:MPO392890 MZK392883:MZK392890 NJG392883:NJG392890 NTC392883:NTC392890 OCY392883:OCY392890 OMU392883:OMU392890 OWQ392883:OWQ392890 PGM392883:PGM392890 PQI392883:PQI392890 QAE392883:QAE392890 QKA392883:QKA392890 QTW392883:QTW392890 RDS392883:RDS392890 RNO392883:RNO392890 RXK392883:RXK392890 SHG392883:SHG392890 SRC392883:SRC392890 TAY392883:TAY392890 TKU392883:TKU392890 TUQ392883:TUQ392890 UEM392883:UEM392890 UOI392883:UOI392890 UYE392883:UYE392890 VIA392883:VIA392890 VRW392883:VRW392890 WBS392883:WBS392890 WLO392883:WLO392890 WVK392883:WVK392890 C458419:C458426 IY458419:IY458426 SU458419:SU458426 ACQ458419:ACQ458426 AMM458419:AMM458426 AWI458419:AWI458426 BGE458419:BGE458426 BQA458419:BQA458426 BZW458419:BZW458426 CJS458419:CJS458426 CTO458419:CTO458426 DDK458419:DDK458426 DNG458419:DNG458426 DXC458419:DXC458426 EGY458419:EGY458426 EQU458419:EQU458426 FAQ458419:FAQ458426 FKM458419:FKM458426 FUI458419:FUI458426 GEE458419:GEE458426 GOA458419:GOA458426 GXW458419:GXW458426 HHS458419:HHS458426 HRO458419:HRO458426 IBK458419:IBK458426 ILG458419:ILG458426 IVC458419:IVC458426 JEY458419:JEY458426 JOU458419:JOU458426 JYQ458419:JYQ458426 KIM458419:KIM458426 KSI458419:KSI458426 LCE458419:LCE458426 LMA458419:LMA458426 LVW458419:LVW458426 MFS458419:MFS458426 MPO458419:MPO458426 MZK458419:MZK458426 NJG458419:NJG458426 NTC458419:NTC458426 OCY458419:OCY458426 OMU458419:OMU458426 OWQ458419:OWQ458426 PGM458419:PGM458426 PQI458419:PQI458426 QAE458419:QAE458426 QKA458419:QKA458426 QTW458419:QTW458426 RDS458419:RDS458426 RNO458419:RNO458426 RXK458419:RXK458426 SHG458419:SHG458426 SRC458419:SRC458426 TAY458419:TAY458426 TKU458419:TKU458426 TUQ458419:TUQ458426 UEM458419:UEM458426 UOI458419:UOI458426 UYE458419:UYE458426 VIA458419:VIA458426 VRW458419:VRW458426 WBS458419:WBS458426 WLO458419:WLO458426 WVK458419:WVK458426 C523955:C523962 IY523955:IY523962 SU523955:SU523962 ACQ523955:ACQ523962 AMM523955:AMM523962 AWI523955:AWI523962 BGE523955:BGE523962 BQA523955:BQA523962 BZW523955:BZW523962 CJS523955:CJS523962 CTO523955:CTO523962 DDK523955:DDK523962 DNG523955:DNG523962 DXC523955:DXC523962 EGY523955:EGY523962 EQU523955:EQU523962 FAQ523955:FAQ523962 FKM523955:FKM523962 FUI523955:FUI523962 GEE523955:GEE523962 GOA523955:GOA523962 GXW523955:GXW523962 HHS523955:HHS523962 HRO523955:HRO523962 IBK523955:IBK523962 ILG523955:ILG523962 IVC523955:IVC523962 JEY523955:JEY523962 JOU523955:JOU523962 JYQ523955:JYQ523962 KIM523955:KIM523962 KSI523955:KSI523962 LCE523955:LCE523962 LMA523955:LMA523962 LVW523955:LVW523962 MFS523955:MFS523962 MPO523955:MPO523962 MZK523955:MZK523962 NJG523955:NJG523962 NTC523955:NTC523962 OCY523955:OCY523962 OMU523955:OMU523962 OWQ523955:OWQ523962 PGM523955:PGM523962 PQI523955:PQI523962 QAE523955:QAE523962 QKA523955:QKA523962 QTW523955:QTW523962 RDS523955:RDS523962 RNO523955:RNO523962 RXK523955:RXK523962 SHG523955:SHG523962 SRC523955:SRC523962 TAY523955:TAY523962 TKU523955:TKU523962 TUQ523955:TUQ523962 UEM523955:UEM523962 UOI523955:UOI523962 UYE523955:UYE523962 VIA523955:VIA523962 VRW523955:VRW523962 WBS523955:WBS523962 WLO523955:WLO523962 WVK523955:WVK523962 C589491:C589498 IY589491:IY589498 SU589491:SU589498 ACQ589491:ACQ589498 AMM589491:AMM589498 AWI589491:AWI589498 BGE589491:BGE589498 BQA589491:BQA589498 BZW589491:BZW589498 CJS589491:CJS589498 CTO589491:CTO589498 DDK589491:DDK589498 DNG589491:DNG589498 DXC589491:DXC589498 EGY589491:EGY589498 EQU589491:EQU589498 FAQ589491:FAQ589498 FKM589491:FKM589498 FUI589491:FUI589498 GEE589491:GEE589498 GOA589491:GOA589498 GXW589491:GXW589498 HHS589491:HHS589498 HRO589491:HRO589498 IBK589491:IBK589498 ILG589491:ILG589498 IVC589491:IVC589498 JEY589491:JEY589498 JOU589491:JOU589498 JYQ589491:JYQ589498 KIM589491:KIM589498 KSI589491:KSI589498 LCE589491:LCE589498 LMA589491:LMA589498 LVW589491:LVW589498 MFS589491:MFS589498 MPO589491:MPO589498 MZK589491:MZK589498 NJG589491:NJG589498 NTC589491:NTC589498 OCY589491:OCY589498 OMU589491:OMU589498 OWQ589491:OWQ589498 PGM589491:PGM589498 PQI589491:PQI589498 QAE589491:QAE589498 QKA589491:QKA589498 QTW589491:QTW589498 RDS589491:RDS589498 RNO589491:RNO589498 RXK589491:RXK589498 SHG589491:SHG589498 SRC589491:SRC589498 TAY589491:TAY589498 TKU589491:TKU589498 TUQ589491:TUQ589498 UEM589491:UEM589498 UOI589491:UOI589498 UYE589491:UYE589498 VIA589491:VIA589498 VRW589491:VRW589498 WBS589491:WBS589498 WLO589491:WLO589498 WVK589491:WVK589498 C655027:C655034 IY655027:IY655034 SU655027:SU655034 ACQ655027:ACQ655034 AMM655027:AMM655034 AWI655027:AWI655034 BGE655027:BGE655034 BQA655027:BQA655034 BZW655027:BZW655034 CJS655027:CJS655034 CTO655027:CTO655034 DDK655027:DDK655034 DNG655027:DNG655034 DXC655027:DXC655034 EGY655027:EGY655034 EQU655027:EQU655034 FAQ655027:FAQ655034 FKM655027:FKM655034 FUI655027:FUI655034 GEE655027:GEE655034 GOA655027:GOA655034 GXW655027:GXW655034 HHS655027:HHS655034 HRO655027:HRO655034 IBK655027:IBK655034 ILG655027:ILG655034 IVC655027:IVC655034 JEY655027:JEY655034 JOU655027:JOU655034 JYQ655027:JYQ655034 KIM655027:KIM655034 KSI655027:KSI655034 LCE655027:LCE655034 LMA655027:LMA655034 LVW655027:LVW655034 MFS655027:MFS655034 MPO655027:MPO655034 MZK655027:MZK655034 NJG655027:NJG655034 NTC655027:NTC655034 OCY655027:OCY655034 OMU655027:OMU655034 OWQ655027:OWQ655034 PGM655027:PGM655034 PQI655027:PQI655034 QAE655027:QAE655034 QKA655027:QKA655034 QTW655027:QTW655034 RDS655027:RDS655034 RNO655027:RNO655034 RXK655027:RXK655034 SHG655027:SHG655034 SRC655027:SRC655034 TAY655027:TAY655034 TKU655027:TKU655034 TUQ655027:TUQ655034 UEM655027:UEM655034 UOI655027:UOI655034 UYE655027:UYE655034 VIA655027:VIA655034 VRW655027:VRW655034 WBS655027:WBS655034 WLO655027:WLO655034 WVK655027:WVK655034 C720563:C720570 IY720563:IY720570 SU720563:SU720570 ACQ720563:ACQ720570 AMM720563:AMM720570 AWI720563:AWI720570 BGE720563:BGE720570 BQA720563:BQA720570 BZW720563:BZW720570 CJS720563:CJS720570 CTO720563:CTO720570 DDK720563:DDK720570 DNG720563:DNG720570 DXC720563:DXC720570 EGY720563:EGY720570 EQU720563:EQU720570 FAQ720563:FAQ720570 FKM720563:FKM720570 FUI720563:FUI720570 GEE720563:GEE720570 GOA720563:GOA720570 GXW720563:GXW720570 HHS720563:HHS720570 HRO720563:HRO720570 IBK720563:IBK720570 ILG720563:ILG720570 IVC720563:IVC720570 JEY720563:JEY720570 JOU720563:JOU720570 JYQ720563:JYQ720570 KIM720563:KIM720570 KSI720563:KSI720570 LCE720563:LCE720570 LMA720563:LMA720570 LVW720563:LVW720570 MFS720563:MFS720570 MPO720563:MPO720570 MZK720563:MZK720570 NJG720563:NJG720570 NTC720563:NTC720570 OCY720563:OCY720570 OMU720563:OMU720570 OWQ720563:OWQ720570 PGM720563:PGM720570 PQI720563:PQI720570 QAE720563:QAE720570 QKA720563:QKA720570 QTW720563:QTW720570 RDS720563:RDS720570 RNO720563:RNO720570 RXK720563:RXK720570 SHG720563:SHG720570 SRC720563:SRC720570 TAY720563:TAY720570 TKU720563:TKU720570 TUQ720563:TUQ720570 UEM720563:UEM720570 UOI720563:UOI720570 UYE720563:UYE720570 VIA720563:VIA720570 VRW720563:VRW720570 WBS720563:WBS720570 WLO720563:WLO720570 WVK720563:WVK720570 C786099:C786106 IY786099:IY786106 SU786099:SU786106 ACQ786099:ACQ786106 AMM786099:AMM786106 AWI786099:AWI786106 BGE786099:BGE786106 BQA786099:BQA786106 BZW786099:BZW786106 CJS786099:CJS786106 CTO786099:CTO786106 DDK786099:DDK786106 DNG786099:DNG786106 DXC786099:DXC786106 EGY786099:EGY786106 EQU786099:EQU786106 FAQ786099:FAQ786106 FKM786099:FKM786106 FUI786099:FUI786106 GEE786099:GEE786106 GOA786099:GOA786106 GXW786099:GXW786106 HHS786099:HHS786106 HRO786099:HRO786106 IBK786099:IBK786106 ILG786099:ILG786106 IVC786099:IVC786106 JEY786099:JEY786106 JOU786099:JOU786106 JYQ786099:JYQ786106 KIM786099:KIM786106 KSI786099:KSI786106 LCE786099:LCE786106 LMA786099:LMA786106 LVW786099:LVW786106 MFS786099:MFS786106 MPO786099:MPO786106 MZK786099:MZK786106 NJG786099:NJG786106 NTC786099:NTC786106 OCY786099:OCY786106 OMU786099:OMU786106 OWQ786099:OWQ786106 PGM786099:PGM786106 PQI786099:PQI786106 QAE786099:QAE786106 QKA786099:QKA786106 QTW786099:QTW786106 RDS786099:RDS786106 RNO786099:RNO786106 RXK786099:RXK786106 SHG786099:SHG786106 SRC786099:SRC786106 TAY786099:TAY786106 TKU786099:TKU786106 TUQ786099:TUQ786106 UEM786099:UEM786106 UOI786099:UOI786106 UYE786099:UYE786106 VIA786099:VIA786106 VRW786099:VRW786106 WBS786099:WBS786106 WLO786099:WLO786106 WVK786099:WVK786106 C851635:C851642 IY851635:IY851642 SU851635:SU851642 ACQ851635:ACQ851642 AMM851635:AMM851642 AWI851635:AWI851642 BGE851635:BGE851642 BQA851635:BQA851642 BZW851635:BZW851642 CJS851635:CJS851642 CTO851635:CTO851642 DDK851635:DDK851642 DNG851635:DNG851642 DXC851635:DXC851642 EGY851635:EGY851642 EQU851635:EQU851642 FAQ851635:FAQ851642 FKM851635:FKM851642 FUI851635:FUI851642 GEE851635:GEE851642 GOA851635:GOA851642 GXW851635:GXW851642 HHS851635:HHS851642 HRO851635:HRO851642 IBK851635:IBK851642 ILG851635:ILG851642 IVC851635:IVC851642 JEY851635:JEY851642 JOU851635:JOU851642 JYQ851635:JYQ851642 KIM851635:KIM851642 KSI851635:KSI851642 LCE851635:LCE851642 LMA851635:LMA851642 LVW851635:LVW851642 MFS851635:MFS851642 MPO851635:MPO851642 MZK851635:MZK851642 NJG851635:NJG851642 NTC851635:NTC851642 OCY851635:OCY851642 OMU851635:OMU851642 OWQ851635:OWQ851642 PGM851635:PGM851642 PQI851635:PQI851642 QAE851635:QAE851642 QKA851635:QKA851642 QTW851635:QTW851642 RDS851635:RDS851642 RNO851635:RNO851642 RXK851635:RXK851642 SHG851635:SHG851642 SRC851635:SRC851642 TAY851635:TAY851642 TKU851635:TKU851642 TUQ851635:TUQ851642 UEM851635:UEM851642 UOI851635:UOI851642 UYE851635:UYE851642 VIA851635:VIA851642 VRW851635:VRW851642 WBS851635:WBS851642 WLO851635:WLO851642 WVK851635:WVK851642 C917171:C917178 IY917171:IY917178 SU917171:SU917178 ACQ917171:ACQ917178 AMM917171:AMM917178 AWI917171:AWI917178 BGE917171:BGE917178 BQA917171:BQA917178 BZW917171:BZW917178 CJS917171:CJS917178 CTO917171:CTO917178 DDK917171:DDK917178 DNG917171:DNG917178 DXC917171:DXC917178 EGY917171:EGY917178 EQU917171:EQU917178 FAQ917171:FAQ917178 FKM917171:FKM917178 FUI917171:FUI917178 GEE917171:GEE917178 GOA917171:GOA917178 GXW917171:GXW917178 HHS917171:HHS917178 HRO917171:HRO917178 IBK917171:IBK917178 ILG917171:ILG917178 IVC917171:IVC917178 JEY917171:JEY917178 JOU917171:JOU917178 JYQ917171:JYQ917178 KIM917171:KIM917178 KSI917171:KSI917178 LCE917171:LCE917178 LMA917171:LMA917178 LVW917171:LVW917178 MFS917171:MFS917178 MPO917171:MPO917178 MZK917171:MZK917178 NJG917171:NJG917178 NTC917171:NTC917178 OCY917171:OCY917178 OMU917171:OMU917178 OWQ917171:OWQ917178 PGM917171:PGM917178 PQI917171:PQI917178 QAE917171:QAE917178 QKA917171:QKA917178 QTW917171:QTW917178 RDS917171:RDS917178 RNO917171:RNO917178 RXK917171:RXK917178 SHG917171:SHG917178 SRC917171:SRC917178 TAY917171:TAY917178 TKU917171:TKU917178 TUQ917171:TUQ917178 UEM917171:UEM917178 UOI917171:UOI917178 UYE917171:UYE917178 VIA917171:VIA917178 VRW917171:VRW917178 WBS917171:WBS917178 WLO917171:WLO917178 WVK917171:WVK917178 C982707:C982714 IY982707:IY982714 SU982707:SU982714 ACQ982707:ACQ982714 AMM982707:AMM982714 AWI982707:AWI982714 BGE982707:BGE982714 BQA982707:BQA982714 BZW982707:BZW982714 CJS982707:CJS982714 CTO982707:CTO982714 DDK982707:DDK982714 DNG982707:DNG982714 DXC982707:DXC982714 EGY982707:EGY982714 EQU982707:EQU982714 FAQ982707:FAQ982714 FKM982707:FKM982714 FUI982707:FUI982714 GEE982707:GEE982714 GOA982707:GOA982714 GXW982707:GXW982714 HHS982707:HHS982714 HRO982707:HRO982714 IBK982707:IBK982714 ILG982707:ILG982714 IVC982707:IVC982714 JEY982707:JEY982714 JOU982707:JOU982714 JYQ982707:JYQ982714 KIM982707:KIM982714 KSI982707:KSI982714 LCE982707:LCE982714 LMA982707:LMA982714 LVW982707:LVW982714 MFS982707:MFS982714 MPO982707:MPO982714 MZK982707:MZK982714 NJG982707:NJG982714 NTC982707:NTC982714 OCY982707:OCY982714 OMU982707:OMU982714 OWQ982707:OWQ982714 PGM982707:PGM982714 PQI982707:PQI982714 QAE982707:QAE982714 QKA982707:QKA982714 QTW982707:QTW982714 RDS982707:RDS982714 RNO982707:RNO982714 RXK982707:RXK982714 SHG982707:SHG982714 SRC982707:SRC982714 TAY982707:TAY982714 TKU982707:TKU982714 TUQ982707:TUQ982714 UEM982707:UEM982714 UOI982707:UOI982714 UYE982707:UYE982714 VIA982707:VIA982714 VRW982707:VRW982714 WBS982707:WBS982714 WLO982707:WLO982714 WVK982707:WVK982714 C65212:C65232 IY65212:IY65232 SU65212:SU65232 ACQ65212:ACQ65232 AMM65212:AMM65232 AWI65212:AWI65232 BGE65212:BGE65232 BQA65212:BQA65232 BZW65212:BZW65232 CJS65212:CJS65232 CTO65212:CTO65232 DDK65212:DDK65232 DNG65212:DNG65232 DXC65212:DXC65232 EGY65212:EGY65232 EQU65212:EQU65232 FAQ65212:FAQ65232 FKM65212:FKM65232 FUI65212:FUI65232 GEE65212:GEE65232 GOA65212:GOA65232 GXW65212:GXW65232 HHS65212:HHS65232 HRO65212:HRO65232 IBK65212:IBK65232 ILG65212:ILG65232 IVC65212:IVC65232 JEY65212:JEY65232 JOU65212:JOU65232 JYQ65212:JYQ65232 KIM65212:KIM65232 KSI65212:KSI65232 LCE65212:LCE65232 LMA65212:LMA65232 LVW65212:LVW65232 MFS65212:MFS65232 MPO65212:MPO65232 MZK65212:MZK65232 NJG65212:NJG65232 NTC65212:NTC65232 OCY65212:OCY65232 OMU65212:OMU65232 OWQ65212:OWQ65232 PGM65212:PGM65232 PQI65212:PQI65232 QAE65212:QAE65232 QKA65212:QKA65232 QTW65212:QTW65232 RDS65212:RDS65232 RNO65212:RNO65232 RXK65212:RXK65232 SHG65212:SHG65232 SRC65212:SRC65232 TAY65212:TAY65232 TKU65212:TKU65232 TUQ65212:TUQ65232 UEM65212:UEM65232 UOI65212:UOI65232 UYE65212:UYE65232 VIA65212:VIA65232 VRW65212:VRW65232 WBS65212:WBS65232 WLO65212:WLO65232 WVK65212:WVK65232 C130748:C130768 IY130748:IY130768 SU130748:SU130768 ACQ130748:ACQ130768 AMM130748:AMM130768 AWI130748:AWI130768 BGE130748:BGE130768 BQA130748:BQA130768 BZW130748:BZW130768 CJS130748:CJS130768 CTO130748:CTO130768 DDK130748:DDK130768 DNG130748:DNG130768 DXC130748:DXC130768 EGY130748:EGY130768 EQU130748:EQU130768 FAQ130748:FAQ130768 FKM130748:FKM130768 FUI130748:FUI130768 GEE130748:GEE130768 GOA130748:GOA130768 GXW130748:GXW130768 HHS130748:HHS130768 HRO130748:HRO130768 IBK130748:IBK130768 ILG130748:ILG130768 IVC130748:IVC130768 JEY130748:JEY130768 JOU130748:JOU130768 JYQ130748:JYQ130768 KIM130748:KIM130768 KSI130748:KSI130768 LCE130748:LCE130768 LMA130748:LMA130768 LVW130748:LVW130768 MFS130748:MFS130768 MPO130748:MPO130768 MZK130748:MZK130768 NJG130748:NJG130768 NTC130748:NTC130768 OCY130748:OCY130768 OMU130748:OMU130768 OWQ130748:OWQ130768 PGM130748:PGM130768 PQI130748:PQI130768 QAE130748:QAE130768 QKA130748:QKA130768 QTW130748:QTW130768 RDS130748:RDS130768 RNO130748:RNO130768 RXK130748:RXK130768 SHG130748:SHG130768 SRC130748:SRC130768 TAY130748:TAY130768 TKU130748:TKU130768 TUQ130748:TUQ130768 UEM130748:UEM130768 UOI130748:UOI130768 UYE130748:UYE130768 VIA130748:VIA130768 VRW130748:VRW130768 WBS130748:WBS130768 WLO130748:WLO130768 WVK130748:WVK130768 C196284:C196304 IY196284:IY196304 SU196284:SU196304 ACQ196284:ACQ196304 AMM196284:AMM196304 AWI196284:AWI196304 BGE196284:BGE196304 BQA196284:BQA196304 BZW196284:BZW196304 CJS196284:CJS196304 CTO196284:CTO196304 DDK196284:DDK196304 DNG196284:DNG196304 DXC196284:DXC196304 EGY196284:EGY196304 EQU196284:EQU196304 FAQ196284:FAQ196304 FKM196284:FKM196304 FUI196284:FUI196304 GEE196284:GEE196304 GOA196284:GOA196304 GXW196284:GXW196304 HHS196284:HHS196304 HRO196284:HRO196304 IBK196284:IBK196304 ILG196284:ILG196304 IVC196284:IVC196304 JEY196284:JEY196304 JOU196284:JOU196304 JYQ196284:JYQ196304 KIM196284:KIM196304 KSI196284:KSI196304 LCE196284:LCE196304 LMA196284:LMA196304 LVW196284:LVW196304 MFS196284:MFS196304 MPO196284:MPO196304 MZK196284:MZK196304 NJG196284:NJG196304 NTC196284:NTC196304 OCY196284:OCY196304 OMU196284:OMU196304 OWQ196284:OWQ196304 PGM196284:PGM196304 PQI196284:PQI196304 QAE196284:QAE196304 QKA196284:QKA196304 QTW196284:QTW196304 RDS196284:RDS196304 RNO196284:RNO196304 RXK196284:RXK196304 SHG196284:SHG196304 SRC196284:SRC196304 TAY196284:TAY196304 TKU196284:TKU196304 TUQ196284:TUQ196304 UEM196284:UEM196304 UOI196284:UOI196304 UYE196284:UYE196304 VIA196284:VIA196304 VRW196284:VRW196304 WBS196284:WBS196304 WLO196284:WLO196304 WVK196284:WVK196304 C261820:C261840 IY261820:IY261840 SU261820:SU261840 ACQ261820:ACQ261840 AMM261820:AMM261840 AWI261820:AWI261840 BGE261820:BGE261840 BQA261820:BQA261840 BZW261820:BZW261840 CJS261820:CJS261840 CTO261820:CTO261840 DDK261820:DDK261840 DNG261820:DNG261840 DXC261820:DXC261840 EGY261820:EGY261840 EQU261820:EQU261840 FAQ261820:FAQ261840 FKM261820:FKM261840 FUI261820:FUI261840 GEE261820:GEE261840 GOA261820:GOA261840 GXW261820:GXW261840 HHS261820:HHS261840 HRO261820:HRO261840 IBK261820:IBK261840 ILG261820:ILG261840 IVC261820:IVC261840 JEY261820:JEY261840 JOU261820:JOU261840 JYQ261820:JYQ261840 KIM261820:KIM261840 KSI261820:KSI261840 LCE261820:LCE261840 LMA261820:LMA261840 LVW261820:LVW261840 MFS261820:MFS261840 MPO261820:MPO261840 MZK261820:MZK261840 NJG261820:NJG261840 NTC261820:NTC261840 OCY261820:OCY261840 OMU261820:OMU261840 OWQ261820:OWQ261840 PGM261820:PGM261840 PQI261820:PQI261840 QAE261820:QAE261840 QKA261820:QKA261840 QTW261820:QTW261840 RDS261820:RDS261840 RNO261820:RNO261840 RXK261820:RXK261840 SHG261820:SHG261840 SRC261820:SRC261840 TAY261820:TAY261840 TKU261820:TKU261840 TUQ261820:TUQ261840 UEM261820:UEM261840 UOI261820:UOI261840 UYE261820:UYE261840 VIA261820:VIA261840 VRW261820:VRW261840 WBS261820:WBS261840 WLO261820:WLO261840 WVK261820:WVK261840 C327356:C327376 IY327356:IY327376 SU327356:SU327376 ACQ327356:ACQ327376 AMM327356:AMM327376 AWI327356:AWI327376 BGE327356:BGE327376 BQA327356:BQA327376 BZW327356:BZW327376 CJS327356:CJS327376 CTO327356:CTO327376 DDK327356:DDK327376 DNG327356:DNG327376 DXC327356:DXC327376 EGY327356:EGY327376 EQU327356:EQU327376 FAQ327356:FAQ327376 FKM327356:FKM327376 FUI327356:FUI327376 GEE327356:GEE327376 GOA327356:GOA327376 GXW327356:GXW327376 HHS327356:HHS327376 HRO327356:HRO327376 IBK327356:IBK327376 ILG327356:ILG327376 IVC327356:IVC327376 JEY327356:JEY327376 JOU327356:JOU327376 JYQ327356:JYQ327376 KIM327356:KIM327376 KSI327356:KSI327376 LCE327356:LCE327376 LMA327356:LMA327376 LVW327356:LVW327376 MFS327356:MFS327376 MPO327356:MPO327376 MZK327356:MZK327376 NJG327356:NJG327376 NTC327356:NTC327376 OCY327356:OCY327376 OMU327356:OMU327376 OWQ327356:OWQ327376 PGM327356:PGM327376 PQI327356:PQI327376 QAE327356:QAE327376 QKA327356:QKA327376 QTW327356:QTW327376 RDS327356:RDS327376 RNO327356:RNO327376 RXK327356:RXK327376 SHG327356:SHG327376 SRC327356:SRC327376 TAY327356:TAY327376 TKU327356:TKU327376 TUQ327356:TUQ327376 UEM327356:UEM327376 UOI327356:UOI327376 UYE327356:UYE327376 VIA327356:VIA327376 VRW327356:VRW327376 WBS327356:WBS327376 WLO327356:WLO327376 WVK327356:WVK327376 C392892:C392912 IY392892:IY392912 SU392892:SU392912 ACQ392892:ACQ392912 AMM392892:AMM392912 AWI392892:AWI392912 BGE392892:BGE392912 BQA392892:BQA392912 BZW392892:BZW392912 CJS392892:CJS392912 CTO392892:CTO392912 DDK392892:DDK392912 DNG392892:DNG392912 DXC392892:DXC392912 EGY392892:EGY392912 EQU392892:EQU392912 FAQ392892:FAQ392912 FKM392892:FKM392912 FUI392892:FUI392912 GEE392892:GEE392912 GOA392892:GOA392912 GXW392892:GXW392912 HHS392892:HHS392912 HRO392892:HRO392912 IBK392892:IBK392912 ILG392892:ILG392912 IVC392892:IVC392912 JEY392892:JEY392912 JOU392892:JOU392912 JYQ392892:JYQ392912 KIM392892:KIM392912 KSI392892:KSI392912 LCE392892:LCE392912 LMA392892:LMA392912 LVW392892:LVW392912 MFS392892:MFS392912 MPO392892:MPO392912 MZK392892:MZK392912 NJG392892:NJG392912 NTC392892:NTC392912 OCY392892:OCY392912 OMU392892:OMU392912 OWQ392892:OWQ392912 PGM392892:PGM392912 PQI392892:PQI392912 QAE392892:QAE392912 QKA392892:QKA392912 QTW392892:QTW392912 RDS392892:RDS392912 RNO392892:RNO392912 RXK392892:RXK392912 SHG392892:SHG392912 SRC392892:SRC392912 TAY392892:TAY392912 TKU392892:TKU392912 TUQ392892:TUQ392912 UEM392892:UEM392912 UOI392892:UOI392912 UYE392892:UYE392912 VIA392892:VIA392912 VRW392892:VRW392912 WBS392892:WBS392912 WLO392892:WLO392912 WVK392892:WVK392912 C458428:C458448 IY458428:IY458448 SU458428:SU458448 ACQ458428:ACQ458448 AMM458428:AMM458448 AWI458428:AWI458448 BGE458428:BGE458448 BQA458428:BQA458448 BZW458428:BZW458448 CJS458428:CJS458448 CTO458428:CTO458448 DDK458428:DDK458448 DNG458428:DNG458448 DXC458428:DXC458448 EGY458428:EGY458448 EQU458428:EQU458448 FAQ458428:FAQ458448 FKM458428:FKM458448 FUI458428:FUI458448 GEE458428:GEE458448 GOA458428:GOA458448 GXW458428:GXW458448 HHS458428:HHS458448 HRO458428:HRO458448 IBK458428:IBK458448 ILG458428:ILG458448 IVC458428:IVC458448 JEY458428:JEY458448 JOU458428:JOU458448 JYQ458428:JYQ458448 KIM458428:KIM458448 KSI458428:KSI458448 LCE458428:LCE458448 LMA458428:LMA458448 LVW458428:LVW458448 MFS458428:MFS458448 MPO458428:MPO458448 MZK458428:MZK458448 NJG458428:NJG458448 NTC458428:NTC458448 OCY458428:OCY458448 OMU458428:OMU458448 OWQ458428:OWQ458448 PGM458428:PGM458448 PQI458428:PQI458448 QAE458428:QAE458448 QKA458428:QKA458448 QTW458428:QTW458448 RDS458428:RDS458448 RNO458428:RNO458448 RXK458428:RXK458448 SHG458428:SHG458448 SRC458428:SRC458448 TAY458428:TAY458448 TKU458428:TKU458448 TUQ458428:TUQ458448 UEM458428:UEM458448 UOI458428:UOI458448 UYE458428:UYE458448 VIA458428:VIA458448 VRW458428:VRW458448 WBS458428:WBS458448 WLO458428:WLO458448 WVK458428:WVK458448 C523964:C523984 IY523964:IY523984 SU523964:SU523984 ACQ523964:ACQ523984 AMM523964:AMM523984 AWI523964:AWI523984 BGE523964:BGE523984 BQA523964:BQA523984 BZW523964:BZW523984 CJS523964:CJS523984 CTO523964:CTO523984 DDK523964:DDK523984 DNG523964:DNG523984 DXC523964:DXC523984 EGY523964:EGY523984 EQU523964:EQU523984 FAQ523964:FAQ523984 FKM523964:FKM523984 FUI523964:FUI523984 GEE523964:GEE523984 GOA523964:GOA523984 GXW523964:GXW523984 HHS523964:HHS523984 HRO523964:HRO523984 IBK523964:IBK523984 ILG523964:ILG523984 IVC523964:IVC523984 JEY523964:JEY523984 JOU523964:JOU523984 JYQ523964:JYQ523984 KIM523964:KIM523984 KSI523964:KSI523984 LCE523964:LCE523984 LMA523964:LMA523984 LVW523964:LVW523984 MFS523964:MFS523984 MPO523964:MPO523984 MZK523964:MZK523984 NJG523964:NJG523984 NTC523964:NTC523984 OCY523964:OCY523984 OMU523964:OMU523984 OWQ523964:OWQ523984 PGM523964:PGM523984 PQI523964:PQI523984 QAE523964:QAE523984 QKA523964:QKA523984 QTW523964:QTW523984 RDS523964:RDS523984 RNO523964:RNO523984 RXK523964:RXK523984 SHG523964:SHG523984 SRC523964:SRC523984 TAY523964:TAY523984 TKU523964:TKU523984 TUQ523964:TUQ523984 UEM523964:UEM523984 UOI523964:UOI523984 UYE523964:UYE523984 VIA523964:VIA523984 VRW523964:VRW523984 WBS523964:WBS523984 WLO523964:WLO523984 WVK523964:WVK523984 C589500:C589520 IY589500:IY589520 SU589500:SU589520 ACQ589500:ACQ589520 AMM589500:AMM589520 AWI589500:AWI589520 BGE589500:BGE589520 BQA589500:BQA589520 BZW589500:BZW589520 CJS589500:CJS589520 CTO589500:CTO589520 DDK589500:DDK589520 DNG589500:DNG589520 DXC589500:DXC589520 EGY589500:EGY589520 EQU589500:EQU589520 FAQ589500:FAQ589520 FKM589500:FKM589520 FUI589500:FUI589520 GEE589500:GEE589520 GOA589500:GOA589520 GXW589500:GXW589520 HHS589500:HHS589520 HRO589500:HRO589520 IBK589500:IBK589520 ILG589500:ILG589520 IVC589500:IVC589520 JEY589500:JEY589520 JOU589500:JOU589520 JYQ589500:JYQ589520 KIM589500:KIM589520 KSI589500:KSI589520 LCE589500:LCE589520 LMA589500:LMA589520 LVW589500:LVW589520 MFS589500:MFS589520 MPO589500:MPO589520 MZK589500:MZK589520 NJG589500:NJG589520 NTC589500:NTC589520 OCY589500:OCY589520 OMU589500:OMU589520 OWQ589500:OWQ589520 PGM589500:PGM589520 PQI589500:PQI589520 QAE589500:QAE589520 QKA589500:QKA589520 QTW589500:QTW589520 RDS589500:RDS589520 RNO589500:RNO589520 RXK589500:RXK589520 SHG589500:SHG589520 SRC589500:SRC589520 TAY589500:TAY589520 TKU589500:TKU589520 TUQ589500:TUQ589520 UEM589500:UEM589520 UOI589500:UOI589520 UYE589500:UYE589520 VIA589500:VIA589520 VRW589500:VRW589520 WBS589500:WBS589520 WLO589500:WLO589520 WVK589500:WVK589520 C655036:C655056 IY655036:IY655056 SU655036:SU655056 ACQ655036:ACQ655056 AMM655036:AMM655056 AWI655036:AWI655056 BGE655036:BGE655056 BQA655036:BQA655056 BZW655036:BZW655056 CJS655036:CJS655056 CTO655036:CTO655056 DDK655036:DDK655056 DNG655036:DNG655056 DXC655036:DXC655056 EGY655036:EGY655056 EQU655036:EQU655056 FAQ655036:FAQ655056 FKM655036:FKM655056 FUI655036:FUI655056 GEE655036:GEE655056 GOA655036:GOA655056 GXW655036:GXW655056 HHS655036:HHS655056 HRO655036:HRO655056 IBK655036:IBK655056 ILG655036:ILG655056 IVC655036:IVC655056 JEY655036:JEY655056 JOU655036:JOU655056 JYQ655036:JYQ655056 KIM655036:KIM655056 KSI655036:KSI655056 LCE655036:LCE655056 LMA655036:LMA655056 LVW655036:LVW655056 MFS655036:MFS655056 MPO655036:MPO655056 MZK655036:MZK655056 NJG655036:NJG655056 NTC655036:NTC655056 OCY655036:OCY655056 OMU655036:OMU655056 OWQ655036:OWQ655056 PGM655036:PGM655056 PQI655036:PQI655056 QAE655036:QAE655056 QKA655036:QKA655056 QTW655036:QTW655056 RDS655036:RDS655056 RNO655036:RNO655056 RXK655036:RXK655056 SHG655036:SHG655056 SRC655036:SRC655056 TAY655036:TAY655056 TKU655036:TKU655056 TUQ655036:TUQ655056 UEM655036:UEM655056 UOI655036:UOI655056 UYE655036:UYE655056 VIA655036:VIA655056 VRW655036:VRW655056 WBS655036:WBS655056 WLO655036:WLO655056 WVK655036:WVK655056 C720572:C720592 IY720572:IY720592 SU720572:SU720592 ACQ720572:ACQ720592 AMM720572:AMM720592 AWI720572:AWI720592 BGE720572:BGE720592 BQA720572:BQA720592 BZW720572:BZW720592 CJS720572:CJS720592 CTO720572:CTO720592 DDK720572:DDK720592 DNG720572:DNG720592 DXC720572:DXC720592 EGY720572:EGY720592 EQU720572:EQU720592 FAQ720572:FAQ720592 FKM720572:FKM720592 FUI720572:FUI720592 GEE720572:GEE720592 GOA720572:GOA720592 GXW720572:GXW720592 HHS720572:HHS720592 HRO720572:HRO720592 IBK720572:IBK720592 ILG720572:ILG720592 IVC720572:IVC720592 JEY720572:JEY720592 JOU720572:JOU720592 JYQ720572:JYQ720592 KIM720572:KIM720592 KSI720572:KSI720592 LCE720572:LCE720592 LMA720572:LMA720592 LVW720572:LVW720592 MFS720572:MFS720592 MPO720572:MPO720592 MZK720572:MZK720592 NJG720572:NJG720592 NTC720572:NTC720592 OCY720572:OCY720592 OMU720572:OMU720592 OWQ720572:OWQ720592 PGM720572:PGM720592 PQI720572:PQI720592 QAE720572:QAE720592 QKA720572:QKA720592 QTW720572:QTW720592 RDS720572:RDS720592 RNO720572:RNO720592 RXK720572:RXK720592 SHG720572:SHG720592 SRC720572:SRC720592 TAY720572:TAY720592 TKU720572:TKU720592 TUQ720572:TUQ720592 UEM720572:UEM720592 UOI720572:UOI720592 UYE720572:UYE720592 VIA720572:VIA720592 VRW720572:VRW720592 WBS720572:WBS720592 WLO720572:WLO720592 WVK720572:WVK720592 C786108:C786128 IY786108:IY786128 SU786108:SU786128 ACQ786108:ACQ786128 AMM786108:AMM786128 AWI786108:AWI786128 BGE786108:BGE786128 BQA786108:BQA786128 BZW786108:BZW786128 CJS786108:CJS786128 CTO786108:CTO786128 DDK786108:DDK786128 DNG786108:DNG786128 DXC786108:DXC786128 EGY786108:EGY786128 EQU786108:EQU786128 FAQ786108:FAQ786128 FKM786108:FKM786128 FUI786108:FUI786128 GEE786108:GEE786128 GOA786108:GOA786128 GXW786108:GXW786128 HHS786108:HHS786128 HRO786108:HRO786128 IBK786108:IBK786128 ILG786108:ILG786128 IVC786108:IVC786128 JEY786108:JEY786128 JOU786108:JOU786128 JYQ786108:JYQ786128 KIM786108:KIM786128 KSI786108:KSI786128 LCE786108:LCE786128 LMA786108:LMA786128 LVW786108:LVW786128 MFS786108:MFS786128 MPO786108:MPO786128 MZK786108:MZK786128 NJG786108:NJG786128 NTC786108:NTC786128 OCY786108:OCY786128 OMU786108:OMU786128 OWQ786108:OWQ786128 PGM786108:PGM786128 PQI786108:PQI786128 QAE786108:QAE786128 QKA786108:QKA786128 QTW786108:QTW786128 RDS786108:RDS786128 RNO786108:RNO786128 RXK786108:RXK786128 SHG786108:SHG786128 SRC786108:SRC786128 TAY786108:TAY786128 TKU786108:TKU786128 TUQ786108:TUQ786128 UEM786108:UEM786128 UOI786108:UOI786128 UYE786108:UYE786128 VIA786108:VIA786128 VRW786108:VRW786128 WBS786108:WBS786128 WLO786108:WLO786128 WVK786108:WVK786128 C851644:C851664 IY851644:IY851664 SU851644:SU851664 ACQ851644:ACQ851664 AMM851644:AMM851664 AWI851644:AWI851664 BGE851644:BGE851664 BQA851644:BQA851664 BZW851644:BZW851664 CJS851644:CJS851664 CTO851644:CTO851664 DDK851644:DDK851664 DNG851644:DNG851664 DXC851644:DXC851664 EGY851644:EGY851664 EQU851644:EQU851664 FAQ851644:FAQ851664 FKM851644:FKM851664 FUI851644:FUI851664 GEE851644:GEE851664 GOA851644:GOA851664 GXW851644:GXW851664 HHS851644:HHS851664 HRO851644:HRO851664 IBK851644:IBK851664 ILG851644:ILG851664 IVC851644:IVC851664 JEY851644:JEY851664 JOU851644:JOU851664 JYQ851644:JYQ851664 KIM851644:KIM851664 KSI851644:KSI851664 LCE851644:LCE851664 LMA851644:LMA851664 LVW851644:LVW851664 MFS851644:MFS851664 MPO851644:MPO851664 MZK851644:MZK851664 NJG851644:NJG851664 NTC851644:NTC851664 OCY851644:OCY851664 OMU851644:OMU851664 OWQ851644:OWQ851664 PGM851644:PGM851664 PQI851644:PQI851664 QAE851644:QAE851664 QKA851644:QKA851664 QTW851644:QTW851664 RDS851644:RDS851664 RNO851644:RNO851664 RXK851644:RXK851664 SHG851644:SHG851664 SRC851644:SRC851664 TAY851644:TAY851664 TKU851644:TKU851664 TUQ851644:TUQ851664 UEM851644:UEM851664 UOI851644:UOI851664 UYE851644:UYE851664 VIA851644:VIA851664 VRW851644:VRW851664 WBS851644:WBS851664 WLO851644:WLO851664 WVK851644:WVK851664 C917180:C917200 IY917180:IY917200 SU917180:SU917200 ACQ917180:ACQ917200 AMM917180:AMM917200 AWI917180:AWI917200 BGE917180:BGE917200 BQA917180:BQA917200 BZW917180:BZW917200 CJS917180:CJS917200 CTO917180:CTO917200 DDK917180:DDK917200 DNG917180:DNG917200 DXC917180:DXC917200 EGY917180:EGY917200 EQU917180:EQU917200 FAQ917180:FAQ917200 FKM917180:FKM917200 FUI917180:FUI917200 GEE917180:GEE917200 GOA917180:GOA917200 GXW917180:GXW917200 HHS917180:HHS917200 HRO917180:HRO917200 IBK917180:IBK917200 ILG917180:ILG917200 IVC917180:IVC917200 JEY917180:JEY917200 JOU917180:JOU917200 JYQ917180:JYQ917200 KIM917180:KIM917200 KSI917180:KSI917200 LCE917180:LCE917200 LMA917180:LMA917200 LVW917180:LVW917200 MFS917180:MFS917200 MPO917180:MPO917200 MZK917180:MZK917200 NJG917180:NJG917200 NTC917180:NTC917200 OCY917180:OCY917200 OMU917180:OMU917200 OWQ917180:OWQ917200 PGM917180:PGM917200 PQI917180:PQI917200 QAE917180:QAE917200 QKA917180:QKA917200 QTW917180:QTW917200 RDS917180:RDS917200 RNO917180:RNO917200 RXK917180:RXK917200 SHG917180:SHG917200 SRC917180:SRC917200 TAY917180:TAY917200 TKU917180:TKU917200 TUQ917180:TUQ917200 UEM917180:UEM917200 UOI917180:UOI917200 UYE917180:UYE917200 VIA917180:VIA917200 VRW917180:VRW917200 WBS917180:WBS917200 WLO917180:WLO917200 WVK917180:WVK917200 C982716:C982736 IY982716:IY982736 SU982716:SU982736 ACQ982716:ACQ982736 AMM982716:AMM982736 AWI982716:AWI982736 BGE982716:BGE982736 BQA982716:BQA982736 BZW982716:BZW982736 CJS982716:CJS982736 CTO982716:CTO982736 DDK982716:DDK982736 DNG982716:DNG982736 DXC982716:DXC982736 EGY982716:EGY982736 EQU982716:EQU982736 FAQ982716:FAQ982736 FKM982716:FKM982736 FUI982716:FUI982736 GEE982716:GEE982736 GOA982716:GOA982736 GXW982716:GXW982736 HHS982716:HHS982736 HRO982716:HRO982736 IBK982716:IBK982736 ILG982716:ILG982736 IVC982716:IVC982736 JEY982716:JEY982736 JOU982716:JOU982736 JYQ982716:JYQ982736 KIM982716:KIM982736 KSI982716:KSI982736 LCE982716:LCE982736 LMA982716:LMA982736 LVW982716:LVW982736 MFS982716:MFS982736 MPO982716:MPO982736 MZK982716:MZK982736 NJG982716:NJG982736 NTC982716:NTC982736 OCY982716:OCY982736 OMU982716:OMU982736 OWQ982716:OWQ982736 PGM982716:PGM982736 PQI982716:PQI982736 QAE982716:QAE982736 QKA982716:QKA982736 QTW982716:QTW982736 RDS982716:RDS982736 RNO982716:RNO982736 RXK982716:RXK982736 SHG982716:SHG982736 SRC982716:SRC982736 TAY982716:TAY982736 TKU982716:TKU982736 TUQ982716:TUQ982736 UEM982716:UEM982736 UOI982716:UOI982736 UYE982716:UYE982736 VIA982716:VIA982736 VRW982716:VRW982736 WBS982716:WBS982736 WLO982716:WLO982736 WVK982716:WVK982736 C65252:C65259 IY65252:IY65259 SU65252:SU65259 ACQ65252:ACQ65259 AMM65252:AMM65259 AWI65252:AWI65259 BGE65252:BGE65259 BQA65252:BQA65259 BZW65252:BZW65259 CJS65252:CJS65259 CTO65252:CTO65259 DDK65252:DDK65259 DNG65252:DNG65259 DXC65252:DXC65259 EGY65252:EGY65259 EQU65252:EQU65259 FAQ65252:FAQ65259 FKM65252:FKM65259 FUI65252:FUI65259 GEE65252:GEE65259 GOA65252:GOA65259 GXW65252:GXW65259 HHS65252:HHS65259 HRO65252:HRO65259 IBK65252:IBK65259 ILG65252:ILG65259 IVC65252:IVC65259 JEY65252:JEY65259 JOU65252:JOU65259 JYQ65252:JYQ65259 KIM65252:KIM65259 KSI65252:KSI65259 LCE65252:LCE65259 LMA65252:LMA65259 LVW65252:LVW65259 MFS65252:MFS65259 MPO65252:MPO65259 MZK65252:MZK65259 NJG65252:NJG65259 NTC65252:NTC65259 OCY65252:OCY65259 OMU65252:OMU65259 OWQ65252:OWQ65259 PGM65252:PGM65259 PQI65252:PQI65259 QAE65252:QAE65259 QKA65252:QKA65259 QTW65252:QTW65259 RDS65252:RDS65259 RNO65252:RNO65259 RXK65252:RXK65259 SHG65252:SHG65259 SRC65252:SRC65259 TAY65252:TAY65259 TKU65252:TKU65259 TUQ65252:TUQ65259 UEM65252:UEM65259 UOI65252:UOI65259 UYE65252:UYE65259 VIA65252:VIA65259 VRW65252:VRW65259 WBS65252:WBS65259 WLO65252:WLO65259 WVK65252:WVK65259 C130788:C130795 IY130788:IY130795 SU130788:SU130795 ACQ130788:ACQ130795 AMM130788:AMM130795 AWI130788:AWI130795 BGE130788:BGE130795 BQA130788:BQA130795 BZW130788:BZW130795 CJS130788:CJS130795 CTO130788:CTO130795 DDK130788:DDK130795 DNG130788:DNG130795 DXC130788:DXC130795 EGY130788:EGY130795 EQU130788:EQU130795 FAQ130788:FAQ130795 FKM130788:FKM130795 FUI130788:FUI130795 GEE130788:GEE130795 GOA130788:GOA130795 GXW130788:GXW130795 HHS130788:HHS130795 HRO130788:HRO130795 IBK130788:IBK130795 ILG130788:ILG130795 IVC130788:IVC130795 JEY130788:JEY130795 JOU130788:JOU130795 JYQ130788:JYQ130795 KIM130788:KIM130795 KSI130788:KSI130795 LCE130788:LCE130795 LMA130788:LMA130795 LVW130788:LVW130795 MFS130788:MFS130795 MPO130788:MPO130795 MZK130788:MZK130795 NJG130788:NJG130795 NTC130788:NTC130795 OCY130788:OCY130795 OMU130788:OMU130795 OWQ130788:OWQ130795 PGM130788:PGM130795 PQI130788:PQI130795 QAE130788:QAE130795 QKA130788:QKA130795 QTW130788:QTW130795 RDS130788:RDS130795 RNO130788:RNO130795 RXK130788:RXK130795 SHG130788:SHG130795 SRC130788:SRC130795 TAY130788:TAY130795 TKU130788:TKU130795 TUQ130788:TUQ130795 UEM130788:UEM130795 UOI130788:UOI130795 UYE130788:UYE130795 VIA130788:VIA130795 VRW130788:VRW130795 WBS130788:WBS130795 WLO130788:WLO130795 WVK130788:WVK130795 C196324:C196331 IY196324:IY196331 SU196324:SU196331 ACQ196324:ACQ196331 AMM196324:AMM196331 AWI196324:AWI196331 BGE196324:BGE196331 BQA196324:BQA196331 BZW196324:BZW196331 CJS196324:CJS196331 CTO196324:CTO196331 DDK196324:DDK196331 DNG196324:DNG196331 DXC196324:DXC196331 EGY196324:EGY196331 EQU196324:EQU196331 FAQ196324:FAQ196331 FKM196324:FKM196331 FUI196324:FUI196331 GEE196324:GEE196331 GOA196324:GOA196331 GXW196324:GXW196331 HHS196324:HHS196331 HRO196324:HRO196331 IBK196324:IBK196331 ILG196324:ILG196331 IVC196324:IVC196331 JEY196324:JEY196331 JOU196324:JOU196331 JYQ196324:JYQ196331 KIM196324:KIM196331 KSI196324:KSI196331 LCE196324:LCE196331 LMA196324:LMA196331 LVW196324:LVW196331 MFS196324:MFS196331 MPO196324:MPO196331 MZK196324:MZK196331 NJG196324:NJG196331 NTC196324:NTC196331 OCY196324:OCY196331 OMU196324:OMU196331 OWQ196324:OWQ196331 PGM196324:PGM196331 PQI196324:PQI196331 QAE196324:QAE196331 QKA196324:QKA196331 QTW196324:QTW196331 RDS196324:RDS196331 RNO196324:RNO196331 RXK196324:RXK196331 SHG196324:SHG196331 SRC196324:SRC196331 TAY196324:TAY196331 TKU196324:TKU196331 TUQ196324:TUQ196331 UEM196324:UEM196331 UOI196324:UOI196331 UYE196324:UYE196331 VIA196324:VIA196331 VRW196324:VRW196331 WBS196324:WBS196331 WLO196324:WLO196331 WVK196324:WVK196331 C261860:C261867 IY261860:IY261867 SU261860:SU261867 ACQ261860:ACQ261867 AMM261860:AMM261867 AWI261860:AWI261867 BGE261860:BGE261867 BQA261860:BQA261867 BZW261860:BZW261867 CJS261860:CJS261867 CTO261860:CTO261867 DDK261860:DDK261867 DNG261860:DNG261867 DXC261860:DXC261867 EGY261860:EGY261867 EQU261860:EQU261867 FAQ261860:FAQ261867 FKM261860:FKM261867 FUI261860:FUI261867 GEE261860:GEE261867 GOA261860:GOA261867 GXW261860:GXW261867 HHS261860:HHS261867 HRO261860:HRO261867 IBK261860:IBK261867 ILG261860:ILG261867 IVC261860:IVC261867 JEY261860:JEY261867 JOU261860:JOU261867 JYQ261860:JYQ261867 KIM261860:KIM261867 KSI261860:KSI261867 LCE261860:LCE261867 LMA261860:LMA261867 LVW261860:LVW261867 MFS261860:MFS261867 MPO261860:MPO261867 MZK261860:MZK261867 NJG261860:NJG261867 NTC261860:NTC261867 OCY261860:OCY261867 OMU261860:OMU261867 OWQ261860:OWQ261867 PGM261860:PGM261867 PQI261860:PQI261867 QAE261860:QAE261867 QKA261860:QKA261867 QTW261860:QTW261867 RDS261860:RDS261867 RNO261860:RNO261867 RXK261860:RXK261867 SHG261860:SHG261867 SRC261860:SRC261867 TAY261860:TAY261867 TKU261860:TKU261867 TUQ261860:TUQ261867 UEM261860:UEM261867 UOI261860:UOI261867 UYE261860:UYE261867 VIA261860:VIA261867 VRW261860:VRW261867 WBS261860:WBS261867 WLO261860:WLO261867 WVK261860:WVK261867 C327396:C327403 IY327396:IY327403 SU327396:SU327403 ACQ327396:ACQ327403 AMM327396:AMM327403 AWI327396:AWI327403 BGE327396:BGE327403 BQA327396:BQA327403 BZW327396:BZW327403 CJS327396:CJS327403 CTO327396:CTO327403 DDK327396:DDK327403 DNG327396:DNG327403 DXC327396:DXC327403 EGY327396:EGY327403 EQU327396:EQU327403 FAQ327396:FAQ327403 FKM327396:FKM327403 FUI327396:FUI327403 GEE327396:GEE327403 GOA327396:GOA327403 GXW327396:GXW327403 HHS327396:HHS327403 HRO327396:HRO327403 IBK327396:IBK327403 ILG327396:ILG327403 IVC327396:IVC327403 JEY327396:JEY327403 JOU327396:JOU327403 JYQ327396:JYQ327403 KIM327396:KIM327403 KSI327396:KSI327403 LCE327396:LCE327403 LMA327396:LMA327403 LVW327396:LVW327403 MFS327396:MFS327403 MPO327396:MPO327403 MZK327396:MZK327403 NJG327396:NJG327403 NTC327396:NTC327403 OCY327396:OCY327403 OMU327396:OMU327403 OWQ327396:OWQ327403 PGM327396:PGM327403 PQI327396:PQI327403 QAE327396:QAE327403 QKA327396:QKA327403 QTW327396:QTW327403 RDS327396:RDS327403 RNO327396:RNO327403 RXK327396:RXK327403 SHG327396:SHG327403 SRC327396:SRC327403 TAY327396:TAY327403 TKU327396:TKU327403 TUQ327396:TUQ327403 UEM327396:UEM327403 UOI327396:UOI327403 UYE327396:UYE327403 VIA327396:VIA327403 VRW327396:VRW327403 WBS327396:WBS327403 WLO327396:WLO327403 WVK327396:WVK327403 C392932:C392939 IY392932:IY392939 SU392932:SU392939 ACQ392932:ACQ392939 AMM392932:AMM392939 AWI392932:AWI392939 BGE392932:BGE392939 BQA392932:BQA392939 BZW392932:BZW392939 CJS392932:CJS392939 CTO392932:CTO392939 DDK392932:DDK392939 DNG392932:DNG392939 DXC392932:DXC392939 EGY392932:EGY392939 EQU392932:EQU392939 FAQ392932:FAQ392939 FKM392932:FKM392939 FUI392932:FUI392939 GEE392932:GEE392939 GOA392932:GOA392939 GXW392932:GXW392939 HHS392932:HHS392939 HRO392932:HRO392939 IBK392932:IBK392939 ILG392932:ILG392939 IVC392932:IVC392939 JEY392932:JEY392939 JOU392932:JOU392939 JYQ392932:JYQ392939 KIM392932:KIM392939 KSI392932:KSI392939 LCE392932:LCE392939 LMA392932:LMA392939 LVW392932:LVW392939 MFS392932:MFS392939 MPO392932:MPO392939 MZK392932:MZK392939 NJG392932:NJG392939 NTC392932:NTC392939 OCY392932:OCY392939 OMU392932:OMU392939 OWQ392932:OWQ392939 PGM392932:PGM392939 PQI392932:PQI392939 QAE392932:QAE392939 QKA392932:QKA392939 QTW392932:QTW392939 RDS392932:RDS392939 RNO392932:RNO392939 RXK392932:RXK392939 SHG392932:SHG392939 SRC392932:SRC392939 TAY392932:TAY392939 TKU392932:TKU392939 TUQ392932:TUQ392939 UEM392932:UEM392939 UOI392932:UOI392939 UYE392932:UYE392939 VIA392932:VIA392939 VRW392932:VRW392939 WBS392932:WBS392939 WLO392932:WLO392939 WVK392932:WVK392939 C458468:C458475 IY458468:IY458475 SU458468:SU458475 ACQ458468:ACQ458475 AMM458468:AMM458475 AWI458468:AWI458475 BGE458468:BGE458475 BQA458468:BQA458475 BZW458468:BZW458475 CJS458468:CJS458475 CTO458468:CTO458475 DDK458468:DDK458475 DNG458468:DNG458475 DXC458468:DXC458475 EGY458468:EGY458475 EQU458468:EQU458475 FAQ458468:FAQ458475 FKM458468:FKM458475 FUI458468:FUI458475 GEE458468:GEE458475 GOA458468:GOA458475 GXW458468:GXW458475 HHS458468:HHS458475 HRO458468:HRO458475 IBK458468:IBK458475 ILG458468:ILG458475 IVC458468:IVC458475 JEY458468:JEY458475 JOU458468:JOU458475 JYQ458468:JYQ458475 KIM458468:KIM458475 KSI458468:KSI458475 LCE458468:LCE458475 LMA458468:LMA458475 LVW458468:LVW458475 MFS458468:MFS458475 MPO458468:MPO458475 MZK458468:MZK458475 NJG458468:NJG458475 NTC458468:NTC458475 OCY458468:OCY458475 OMU458468:OMU458475 OWQ458468:OWQ458475 PGM458468:PGM458475 PQI458468:PQI458475 QAE458468:QAE458475 QKA458468:QKA458475 QTW458468:QTW458475 RDS458468:RDS458475 RNO458468:RNO458475 RXK458468:RXK458475 SHG458468:SHG458475 SRC458468:SRC458475 TAY458468:TAY458475 TKU458468:TKU458475 TUQ458468:TUQ458475 UEM458468:UEM458475 UOI458468:UOI458475 UYE458468:UYE458475 VIA458468:VIA458475 VRW458468:VRW458475 WBS458468:WBS458475 WLO458468:WLO458475 WVK458468:WVK458475 C524004:C524011 IY524004:IY524011 SU524004:SU524011 ACQ524004:ACQ524011 AMM524004:AMM524011 AWI524004:AWI524011 BGE524004:BGE524011 BQA524004:BQA524011 BZW524004:BZW524011 CJS524004:CJS524011 CTO524004:CTO524011 DDK524004:DDK524011 DNG524004:DNG524011 DXC524004:DXC524011 EGY524004:EGY524011 EQU524004:EQU524011 FAQ524004:FAQ524011 FKM524004:FKM524011 FUI524004:FUI524011 GEE524004:GEE524011 GOA524004:GOA524011 GXW524004:GXW524011 HHS524004:HHS524011 HRO524004:HRO524011 IBK524004:IBK524011 ILG524004:ILG524011 IVC524004:IVC524011 JEY524004:JEY524011 JOU524004:JOU524011 JYQ524004:JYQ524011 KIM524004:KIM524011 KSI524004:KSI524011 LCE524004:LCE524011 LMA524004:LMA524011 LVW524004:LVW524011 MFS524004:MFS524011 MPO524004:MPO524011 MZK524004:MZK524011 NJG524004:NJG524011 NTC524004:NTC524011 OCY524004:OCY524011 OMU524004:OMU524011 OWQ524004:OWQ524011 PGM524004:PGM524011 PQI524004:PQI524011 QAE524004:QAE524011 QKA524004:QKA524011 QTW524004:QTW524011 RDS524004:RDS524011 RNO524004:RNO524011 RXK524004:RXK524011 SHG524004:SHG524011 SRC524004:SRC524011 TAY524004:TAY524011 TKU524004:TKU524011 TUQ524004:TUQ524011 UEM524004:UEM524011 UOI524004:UOI524011 UYE524004:UYE524011 VIA524004:VIA524011 VRW524004:VRW524011 WBS524004:WBS524011 WLO524004:WLO524011 WVK524004:WVK524011 C589540:C589547 IY589540:IY589547 SU589540:SU589547 ACQ589540:ACQ589547 AMM589540:AMM589547 AWI589540:AWI589547 BGE589540:BGE589547 BQA589540:BQA589547 BZW589540:BZW589547 CJS589540:CJS589547 CTO589540:CTO589547 DDK589540:DDK589547 DNG589540:DNG589547 DXC589540:DXC589547 EGY589540:EGY589547 EQU589540:EQU589547 FAQ589540:FAQ589547 FKM589540:FKM589547 FUI589540:FUI589547 GEE589540:GEE589547 GOA589540:GOA589547 GXW589540:GXW589547 HHS589540:HHS589547 HRO589540:HRO589547 IBK589540:IBK589547 ILG589540:ILG589547 IVC589540:IVC589547 JEY589540:JEY589547 JOU589540:JOU589547 JYQ589540:JYQ589547 KIM589540:KIM589547 KSI589540:KSI589547 LCE589540:LCE589547 LMA589540:LMA589547 LVW589540:LVW589547 MFS589540:MFS589547 MPO589540:MPO589547 MZK589540:MZK589547 NJG589540:NJG589547 NTC589540:NTC589547 OCY589540:OCY589547 OMU589540:OMU589547 OWQ589540:OWQ589547 PGM589540:PGM589547 PQI589540:PQI589547 QAE589540:QAE589547 QKA589540:QKA589547 QTW589540:QTW589547 RDS589540:RDS589547 RNO589540:RNO589547 RXK589540:RXK589547 SHG589540:SHG589547 SRC589540:SRC589547 TAY589540:TAY589547 TKU589540:TKU589547 TUQ589540:TUQ589547 UEM589540:UEM589547 UOI589540:UOI589547 UYE589540:UYE589547 VIA589540:VIA589547 VRW589540:VRW589547 WBS589540:WBS589547 WLO589540:WLO589547 WVK589540:WVK589547 C655076:C655083 IY655076:IY655083 SU655076:SU655083 ACQ655076:ACQ655083 AMM655076:AMM655083 AWI655076:AWI655083 BGE655076:BGE655083 BQA655076:BQA655083 BZW655076:BZW655083 CJS655076:CJS655083 CTO655076:CTO655083 DDK655076:DDK655083 DNG655076:DNG655083 DXC655076:DXC655083 EGY655076:EGY655083 EQU655076:EQU655083 FAQ655076:FAQ655083 FKM655076:FKM655083 FUI655076:FUI655083 GEE655076:GEE655083 GOA655076:GOA655083 GXW655076:GXW655083 HHS655076:HHS655083 HRO655076:HRO655083 IBK655076:IBK655083 ILG655076:ILG655083 IVC655076:IVC655083 JEY655076:JEY655083 JOU655076:JOU655083 JYQ655076:JYQ655083 KIM655076:KIM655083 KSI655076:KSI655083 LCE655076:LCE655083 LMA655076:LMA655083 LVW655076:LVW655083 MFS655076:MFS655083 MPO655076:MPO655083 MZK655076:MZK655083 NJG655076:NJG655083 NTC655076:NTC655083 OCY655076:OCY655083 OMU655076:OMU655083 OWQ655076:OWQ655083 PGM655076:PGM655083 PQI655076:PQI655083 QAE655076:QAE655083 QKA655076:QKA655083 QTW655076:QTW655083 RDS655076:RDS655083 RNO655076:RNO655083 RXK655076:RXK655083 SHG655076:SHG655083 SRC655076:SRC655083 TAY655076:TAY655083 TKU655076:TKU655083 TUQ655076:TUQ655083 UEM655076:UEM655083 UOI655076:UOI655083 UYE655076:UYE655083 VIA655076:VIA655083 VRW655076:VRW655083 WBS655076:WBS655083 WLO655076:WLO655083 WVK655076:WVK655083 C720612:C720619 IY720612:IY720619 SU720612:SU720619 ACQ720612:ACQ720619 AMM720612:AMM720619 AWI720612:AWI720619 BGE720612:BGE720619 BQA720612:BQA720619 BZW720612:BZW720619 CJS720612:CJS720619 CTO720612:CTO720619 DDK720612:DDK720619 DNG720612:DNG720619 DXC720612:DXC720619 EGY720612:EGY720619 EQU720612:EQU720619 FAQ720612:FAQ720619 FKM720612:FKM720619 FUI720612:FUI720619 GEE720612:GEE720619 GOA720612:GOA720619 GXW720612:GXW720619 HHS720612:HHS720619 HRO720612:HRO720619 IBK720612:IBK720619 ILG720612:ILG720619 IVC720612:IVC720619 JEY720612:JEY720619 JOU720612:JOU720619 JYQ720612:JYQ720619 KIM720612:KIM720619 KSI720612:KSI720619 LCE720612:LCE720619 LMA720612:LMA720619 LVW720612:LVW720619 MFS720612:MFS720619 MPO720612:MPO720619 MZK720612:MZK720619 NJG720612:NJG720619 NTC720612:NTC720619 OCY720612:OCY720619 OMU720612:OMU720619 OWQ720612:OWQ720619 PGM720612:PGM720619 PQI720612:PQI720619 QAE720612:QAE720619 QKA720612:QKA720619 QTW720612:QTW720619 RDS720612:RDS720619 RNO720612:RNO720619 RXK720612:RXK720619 SHG720612:SHG720619 SRC720612:SRC720619 TAY720612:TAY720619 TKU720612:TKU720619 TUQ720612:TUQ720619 UEM720612:UEM720619 UOI720612:UOI720619 UYE720612:UYE720619 VIA720612:VIA720619 VRW720612:VRW720619 WBS720612:WBS720619 WLO720612:WLO720619 WVK720612:WVK720619 C786148:C786155 IY786148:IY786155 SU786148:SU786155 ACQ786148:ACQ786155 AMM786148:AMM786155 AWI786148:AWI786155 BGE786148:BGE786155 BQA786148:BQA786155 BZW786148:BZW786155 CJS786148:CJS786155 CTO786148:CTO786155 DDK786148:DDK786155 DNG786148:DNG786155 DXC786148:DXC786155 EGY786148:EGY786155 EQU786148:EQU786155 FAQ786148:FAQ786155 FKM786148:FKM786155 FUI786148:FUI786155 GEE786148:GEE786155 GOA786148:GOA786155 GXW786148:GXW786155 HHS786148:HHS786155 HRO786148:HRO786155 IBK786148:IBK786155 ILG786148:ILG786155 IVC786148:IVC786155 JEY786148:JEY786155 JOU786148:JOU786155 JYQ786148:JYQ786155 KIM786148:KIM786155 KSI786148:KSI786155 LCE786148:LCE786155 LMA786148:LMA786155 LVW786148:LVW786155 MFS786148:MFS786155 MPO786148:MPO786155 MZK786148:MZK786155 NJG786148:NJG786155 NTC786148:NTC786155 OCY786148:OCY786155 OMU786148:OMU786155 OWQ786148:OWQ786155 PGM786148:PGM786155 PQI786148:PQI786155 QAE786148:QAE786155 QKA786148:QKA786155 QTW786148:QTW786155 RDS786148:RDS786155 RNO786148:RNO786155 RXK786148:RXK786155 SHG786148:SHG786155 SRC786148:SRC786155 TAY786148:TAY786155 TKU786148:TKU786155 TUQ786148:TUQ786155 UEM786148:UEM786155 UOI786148:UOI786155 UYE786148:UYE786155 VIA786148:VIA786155 VRW786148:VRW786155 WBS786148:WBS786155 WLO786148:WLO786155 WVK786148:WVK786155 C851684:C851691 IY851684:IY851691 SU851684:SU851691 ACQ851684:ACQ851691 AMM851684:AMM851691 AWI851684:AWI851691 BGE851684:BGE851691 BQA851684:BQA851691 BZW851684:BZW851691 CJS851684:CJS851691 CTO851684:CTO851691 DDK851684:DDK851691 DNG851684:DNG851691 DXC851684:DXC851691 EGY851684:EGY851691 EQU851684:EQU851691 FAQ851684:FAQ851691 FKM851684:FKM851691 FUI851684:FUI851691 GEE851684:GEE851691 GOA851684:GOA851691 GXW851684:GXW851691 HHS851684:HHS851691 HRO851684:HRO851691 IBK851684:IBK851691 ILG851684:ILG851691 IVC851684:IVC851691 JEY851684:JEY851691 JOU851684:JOU851691 JYQ851684:JYQ851691 KIM851684:KIM851691 KSI851684:KSI851691 LCE851684:LCE851691 LMA851684:LMA851691 LVW851684:LVW851691 MFS851684:MFS851691 MPO851684:MPO851691 MZK851684:MZK851691 NJG851684:NJG851691 NTC851684:NTC851691 OCY851684:OCY851691 OMU851684:OMU851691 OWQ851684:OWQ851691 PGM851684:PGM851691 PQI851684:PQI851691 QAE851684:QAE851691 QKA851684:QKA851691 QTW851684:QTW851691 RDS851684:RDS851691 RNO851684:RNO851691 RXK851684:RXK851691 SHG851684:SHG851691 SRC851684:SRC851691 TAY851684:TAY851691 TKU851684:TKU851691 TUQ851684:TUQ851691 UEM851684:UEM851691 UOI851684:UOI851691 UYE851684:UYE851691 VIA851684:VIA851691 VRW851684:VRW851691 WBS851684:WBS851691 WLO851684:WLO851691 WVK851684:WVK851691 C917220:C917227 IY917220:IY917227 SU917220:SU917227 ACQ917220:ACQ917227 AMM917220:AMM917227 AWI917220:AWI917227 BGE917220:BGE917227 BQA917220:BQA917227 BZW917220:BZW917227 CJS917220:CJS917227 CTO917220:CTO917227 DDK917220:DDK917227 DNG917220:DNG917227 DXC917220:DXC917227 EGY917220:EGY917227 EQU917220:EQU917227 FAQ917220:FAQ917227 FKM917220:FKM917227 FUI917220:FUI917227 GEE917220:GEE917227 GOA917220:GOA917227 GXW917220:GXW917227 HHS917220:HHS917227 HRO917220:HRO917227 IBK917220:IBK917227 ILG917220:ILG917227 IVC917220:IVC917227 JEY917220:JEY917227 JOU917220:JOU917227 JYQ917220:JYQ917227 KIM917220:KIM917227 KSI917220:KSI917227 LCE917220:LCE917227 LMA917220:LMA917227 LVW917220:LVW917227 MFS917220:MFS917227 MPO917220:MPO917227 MZK917220:MZK917227 NJG917220:NJG917227 NTC917220:NTC917227 OCY917220:OCY917227 OMU917220:OMU917227 OWQ917220:OWQ917227 PGM917220:PGM917227 PQI917220:PQI917227 QAE917220:QAE917227 QKA917220:QKA917227 QTW917220:QTW917227 RDS917220:RDS917227 RNO917220:RNO917227 RXK917220:RXK917227 SHG917220:SHG917227 SRC917220:SRC917227 TAY917220:TAY917227 TKU917220:TKU917227 TUQ917220:TUQ917227 UEM917220:UEM917227 UOI917220:UOI917227 UYE917220:UYE917227 VIA917220:VIA917227 VRW917220:VRW917227 WBS917220:WBS917227 WLO917220:WLO917227 WVK917220:WVK917227 C982756:C982763 IY982756:IY982763 SU982756:SU982763 ACQ982756:ACQ982763 AMM982756:AMM982763 AWI982756:AWI982763 BGE982756:BGE982763 BQA982756:BQA982763 BZW982756:BZW982763 CJS982756:CJS982763 CTO982756:CTO982763 DDK982756:DDK982763 DNG982756:DNG982763 DXC982756:DXC982763 EGY982756:EGY982763 EQU982756:EQU982763 FAQ982756:FAQ982763 FKM982756:FKM982763 FUI982756:FUI982763 GEE982756:GEE982763 GOA982756:GOA982763 GXW982756:GXW982763 HHS982756:HHS982763 HRO982756:HRO982763 IBK982756:IBK982763 ILG982756:ILG982763 IVC982756:IVC982763 JEY982756:JEY982763 JOU982756:JOU982763 JYQ982756:JYQ982763 KIM982756:KIM982763 KSI982756:KSI982763 LCE982756:LCE982763 LMA982756:LMA982763 LVW982756:LVW982763 MFS982756:MFS982763 MPO982756:MPO982763 MZK982756:MZK982763 NJG982756:NJG982763 NTC982756:NTC982763 OCY982756:OCY982763 OMU982756:OMU982763 OWQ982756:OWQ982763 PGM982756:PGM982763 PQI982756:PQI982763 QAE982756:QAE982763 QKA982756:QKA982763 QTW982756:QTW982763 RDS982756:RDS982763 RNO982756:RNO982763 RXK982756:RXK982763 SHG982756:SHG982763 SRC982756:SRC982763 TAY982756:TAY982763 TKU982756:TKU982763 TUQ982756:TUQ982763 UEM982756:UEM982763 UOI982756:UOI982763 UYE982756:UYE982763 VIA982756:VIA982763 VRW982756:VRW982763 WBS982756:WBS982763 WLO982756:WLO982763 WVK982756:WVK982763 C65261:C65281 IY65261:IY65281 SU65261:SU65281 ACQ65261:ACQ65281 AMM65261:AMM65281 AWI65261:AWI65281 BGE65261:BGE65281 BQA65261:BQA65281 BZW65261:BZW65281 CJS65261:CJS65281 CTO65261:CTO65281 DDK65261:DDK65281 DNG65261:DNG65281 DXC65261:DXC65281 EGY65261:EGY65281 EQU65261:EQU65281 FAQ65261:FAQ65281 FKM65261:FKM65281 FUI65261:FUI65281 GEE65261:GEE65281 GOA65261:GOA65281 GXW65261:GXW65281 HHS65261:HHS65281 HRO65261:HRO65281 IBK65261:IBK65281 ILG65261:ILG65281 IVC65261:IVC65281 JEY65261:JEY65281 JOU65261:JOU65281 JYQ65261:JYQ65281 KIM65261:KIM65281 KSI65261:KSI65281 LCE65261:LCE65281 LMA65261:LMA65281 LVW65261:LVW65281 MFS65261:MFS65281 MPO65261:MPO65281 MZK65261:MZK65281 NJG65261:NJG65281 NTC65261:NTC65281 OCY65261:OCY65281 OMU65261:OMU65281 OWQ65261:OWQ65281 PGM65261:PGM65281 PQI65261:PQI65281 QAE65261:QAE65281 QKA65261:QKA65281 QTW65261:QTW65281 RDS65261:RDS65281 RNO65261:RNO65281 RXK65261:RXK65281 SHG65261:SHG65281 SRC65261:SRC65281 TAY65261:TAY65281 TKU65261:TKU65281 TUQ65261:TUQ65281 UEM65261:UEM65281 UOI65261:UOI65281 UYE65261:UYE65281 VIA65261:VIA65281 VRW65261:VRW65281 WBS65261:WBS65281 WLO65261:WLO65281 WVK65261:WVK65281 C130797:C130817 IY130797:IY130817 SU130797:SU130817 ACQ130797:ACQ130817 AMM130797:AMM130817 AWI130797:AWI130817 BGE130797:BGE130817 BQA130797:BQA130817 BZW130797:BZW130817 CJS130797:CJS130817 CTO130797:CTO130817 DDK130797:DDK130817 DNG130797:DNG130817 DXC130797:DXC130817 EGY130797:EGY130817 EQU130797:EQU130817 FAQ130797:FAQ130817 FKM130797:FKM130817 FUI130797:FUI130817 GEE130797:GEE130817 GOA130797:GOA130817 GXW130797:GXW130817 HHS130797:HHS130817 HRO130797:HRO130817 IBK130797:IBK130817 ILG130797:ILG130817 IVC130797:IVC130817 JEY130797:JEY130817 JOU130797:JOU130817 JYQ130797:JYQ130817 KIM130797:KIM130817 KSI130797:KSI130817 LCE130797:LCE130817 LMA130797:LMA130817 LVW130797:LVW130817 MFS130797:MFS130817 MPO130797:MPO130817 MZK130797:MZK130817 NJG130797:NJG130817 NTC130797:NTC130817 OCY130797:OCY130817 OMU130797:OMU130817 OWQ130797:OWQ130817 PGM130797:PGM130817 PQI130797:PQI130817 QAE130797:QAE130817 QKA130797:QKA130817 QTW130797:QTW130817 RDS130797:RDS130817 RNO130797:RNO130817 RXK130797:RXK130817 SHG130797:SHG130817 SRC130797:SRC130817 TAY130797:TAY130817 TKU130797:TKU130817 TUQ130797:TUQ130817 UEM130797:UEM130817 UOI130797:UOI130817 UYE130797:UYE130817 VIA130797:VIA130817 VRW130797:VRW130817 WBS130797:WBS130817 WLO130797:WLO130817 WVK130797:WVK130817 C196333:C196353 IY196333:IY196353 SU196333:SU196353 ACQ196333:ACQ196353 AMM196333:AMM196353 AWI196333:AWI196353 BGE196333:BGE196353 BQA196333:BQA196353 BZW196333:BZW196353 CJS196333:CJS196353 CTO196333:CTO196353 DDK196333:DDK196353 DNG196333:DNG196353 DXC196333:DXC196353 EGY196333:EGY196353 EQU196333:EQU196353 FAQ196333:FAQ196353 FKM196333:FKM196353 FUI196333:FUI196353 GEE196333:GEE196353 GOA196333:GOA196353 GXW196333:GXW196353 HHS196333:HHS196353 HRO196333:HRO196353 IBK196333:IBK196353 ILG196333:ILG196353 IVC196333:IVC196353 JEY196333:JEY196353 JOU196333:JOU196353 JYQ196333:JYQ196353 KIM196333:KIM196353 KSI196333:KSI196353 LCE196333:LCE196353 LMA196333:LMA196353 LVW196333:LVW196353 MFS196333:MFS196353 MPO196333:MPO196353 MZK196333:MZK196353 NJG196333:NJG196353 NTC196333:NTC196353 OCY196333:OCY196353 OMU196333:OMU196353 OWQ196333:OWQ196353 PGM196333:PGM196353 PQI196333:PQI196353 QAE196333:QAE196353 QKA196333:QKA196353 QTW196333:QTW196353 RDS196333:RDS196353 RNO196333:RNO196353 RXK196333:RXK196353 SHG196333:SHG196353 SRC196333:SRC196353 TAY196333:TAY196353 TKU196333:TKU196353 TUQ196333:TUQ196353 UEM196333:UEM196353 UOI196333:UOI196353 UYE196333:UYE196353 VIA196333:VIA196353 VRW196333:VRW196353 WBS196333:WBS196353 WLO196333:WLO196353 WVK196333:WVK196353 C261869:C261889 IY261869:IY261889 SU261869:SU261889 ACQ261869:ACQ261889 AMM261869:AMM261889 AWI261869:AWI261889 BGE261869:BGE261889 BQA261869:BQA261889 BZW261869:BZW261889 CJS261869:CJS261889 CTO261869:CTO261889 DDK261869:DDK261889 DNG261869:DNG261889 DXC261869:DXC261889 EGY261869:EGY261889 EQU261869:EQU261889 FAQ261869:FAQ261889 FKM261869:FKM261889 FUI261869:FUI261889 GEE261869:GEE261889 GOA261869:GOA261889 GXW261869:GXW261889 HHS261869:HHS261889 HRO261869:HRO261889 IBK261869:IBK261889 ILG261869:ILG261889 IVC261869:IVC261889 JEY261869:JEY261889 JOU261869:JOU261889 JYQ261869:JYQ261889 KIM261869:KIM261889 KSI261869:KSI261889 LCE261869:LCE261889 LMA261869:LMA261889 LVW261869:LVW261889 MFS261869:MFS261889 MPO261869:MPO261889 MZK261869:MZK261889 NJG261869:NJG261889 NTC261869:NTC261889 OCY261869:OCY261889 OMU261869:OMU261889 OWQ261869:OWQ261889 PGM261869:PGM261889 PQI261869:PQI261889 QAE261869:QAE261889 QKA261869:QKA261889 QTW261869:QTW261889 RDS261869:RDS261889 RNO261869:RNO261889 RXK261869:RXK261889 SHG261869:SHG261889 SRC261869:SRC261889 TAY261869:TAY261889 TKU261869:TKU261889 TUQ261869:TUQ261889 UEM261869:UEM261889 UOI261869:UOI261889 UYE261869:UYE261889 VIA261869:VIA261889 VRW261869:VRW261889 WBS261869:WBS261889 WLO261869:WLO261889 WVK261869:WVK261889 C327405:C327425 IY327405:IY327425 SU327405:SU327425 ACQ327405:ACQ327425 AMM327405:AMM327425 AWI327405:AWI327425 BGE327405:BGE327425 BQA327405:BQA327425 BZW327405:BZW327425 CJS327405:CJS327425 CTO327405:CTO327425 DDK327405:DDK327425 DNG327405:DNG327425 DXC327405:DXC327425 EGY327405:EGY327425 EQU327405:EQU327425 FAQ327405:FAQ327425 FKM327405:FKM327425 FUI327405:FUI327425 GEE327405:GEE327425 GOA327405:GOA327425 GXW327405:GXW327425 HHS327405:HHS327425 HRO327405:HRO327425 IBK327405:IBK327425 ILG327405:ILG327425 IVC327405:IVC327425 JEY327405:JEY327425 JOU327405:JOU327425 JYQ327405:JYQ327425 KIM327405:KIM327425 KSI327405:KSI327425 LCE327405:LCE327425 LMA327405:LMA327425 LVW327405:LVW327425 MFS327405:MFS327425 MPO327405:MPO327425 MZK327405:MZK327425 NJG327405:NJG327425 NTC327405:NTC327425 OCY327405:OCY327425 OMU327405:OMU327425 OWQ327405:OWQ327425 PGM327405:PGM327425 PQI327405:PQI327425 QAE327405:QAE327425 QKA327405:QKA327425 QTW327405:QTW327425 RDS327405:RDS327425 RNO327405:RNO327425 RXK327405:RXK327425 SHG327405:SHG327425 SRC327405:SRC327425 TAY327405:TAY327425 TKU327405:TKU327425 TUQ327405:TUQ327425 UEM327405:UEM327425 UOI327405:UOI327425 UYE327405:UYE327425 VIA327405:VIA327425 VRW327405:VRW327425 WBS327405:WBS327425 WLO327405:WLO327425 WVK327405:WVK327425 C392941:C392961 IY392941:IY392961 SU392941:SU392961 ACQ392941:ACQ392961 AMM392941:AMM392961 AWI392941:AWI392961 BGE392941:BGE392961 BQA392941:BQA392961 BZW392941:BZW392961 CJS392941:CJS392961 CTO392941:CTO392961 DDK392941:DDK392961 DNG392941:DNG392961 DXC392941:DXC392961 EGY392941:EGY392961 EQU392941:EQU392961 FAQ392941:FAQ392961 FKM392941:FKM392961 FUI392941:FUI392961 GEE392941:GEE392961 GOA392941:GOA392961 GXW392941:GXW392961 HHS392941:HHS392961 HRO392941:HRO392961 IBK392941:IBK392961 ILG392941:ILG392961 IVC392941:IVC392961 JEY392941:JEY392961 JOU392941:JOU392961 JYQ392941:JYQ392961 KIM392941:KIM392961 KSI392941:KSI392961 LCE392941:LCE392961 LMA392941:LMA392961 LVW392941:LVW392961 MFS392941:MFS392961 MPO392941:MPO392961 MZK392941:MZK392961 NJG392941:NJG392961 NTC392941:NTC392961 OCY392941:OCY392961 OMU392941:OMU392961 OWQ392941:OWQ392961 PGM392941:PGM392961 PQI392941:PQI392961 QAE392941:QAE392961 QKA392941:QKA392961 QTW392941:QTW392961 RDS392941:RDS392961 RNO392941:RNO392961 RXK392941:RXK392961 SHG392941:SHG392961 SRC392941:SRC392961 TAY392941:TAY392961 TKU392941:TKU392961 TUQ392941:TUQ392961 UEM392941:UEM392961 UOI392941:UOI392961 UYE392941:UYE392961 VIA392941:VIA392961 VRW392941:VRW392961 WBS392941:WBS392961 WLO392941:WLO392961 WVK392941:WVK392961 C458477:C458497 IY458477:IY458497 SU458477:SU458497 ACQ458477:ACQ458497 AMM458477:AMM458497 AWI458477:AWI458497 BGE458477:BGE458497 BQA458477:BQA458497 BZW458477:BZW458497 CJS458477:CJS458497 CTO458477:CTO458497 DDK458477:DDK458497 DNG458477:DNG458497 DXC458477:DXC458497 EGY458477:EGY458497 EQU458477:EQU458497 FAQ458477:FAQ458497 FKM458477:FKM458497 FUI458477:FUI458497 GEE458477:GEE458497 GOA458477:GOA458497 GXW458477:GXW458497 HHS458477:HHS458497 HRO458477:HRO458497 IBK458477:IBK458497 ILG458477:ILG458497 IVC458477:IVC458497 JEY458477:JEY458497 JOU458477:JOU458497 JYQ458477:JYQ458497 KIM458477:KIM458497 KSI458477:KSI458497 LCE458477:LCE458497 LMA458477:LMA458497 LVW458477:LVW458497 MFS458477:MFS458497 MPO458477:MPO458497 MZK458477:MZK458497 NJG458477:NJG458497 NTC458477:NTC458497 OCY458477:OCY458497 OMU458477:OMU458497 OWQ458477:OWQ458497 PGM458477:PGM458497 PQI458477:PQI458497 QAE458477:QAE458497 QKA458477:QKA458497 QTW458477:QTW458497 RDS458477:RDS458497 RNO458477:RNO458497 RXK458477:RXK458497 SHG458477:SHG458497 SRC458477:SRC458497 TAY458477:TAY458497 TKU458477:TKU458497 TUQ458477:TUQ458497 UEM458477:UEM458497 UOI458477:UOI458497 UYE458477:UYE458497 VIA458477:VIA458497 VRW458477:VRW458497 WBS458477:WBS458497 WLO458477:WLO458497 WVK458477:WVK458497 C524013:C524033 IY524013:IY524033 SU524013:SU524033 ACQ524013:ACQ524033 AMM524013:AMM524033 AWI524013:AWI524033 BGE524013:BGE524033 BQA524013:BQA524033 BZW524013:BZW524033 CJS524013:CJS524033 CTO524013:CTO524033 DDK524013:DDK524033 DNG524013:DNG524033 DXC524013:DXC524033 EGY524013:EGY524033 EQU524013:EQU524033 FAQ524013:FAQ524033 FKM524013:FKM524033 FUI524013:FUI524033 GEE524013:GEE524033 GOA524013:GOA524033 GXW524013:GXW524033 HHS524013:HHS524033 HRO524013:HRO524033 IBK524013:IBK524033 ILG524013:ILG524033 IVC524013:IVC524033 JEY524013:JEY524033 JOU524013:JOU524033 JYQ524013:JYQ524033 KIM524013:KIM524033 KSI524013:KSI524033 LCE524013:LCE524033 LMA524013:LMA524033 LVW524013:LVW524033 MFS524013:MFS524033 MPO524013:MPO524033 MZK524013:MZK524033 NJG524013:NJG524033 NTC524013:NTC524033 OCY524013:OCY524033 OMU524013:OMU524033 OWQ524013:OWQ524033 PGM524013:PGM524033 PQI524013:PQI524033 QAE524013:QAE524033 QKA524013:QKA524033 QTW524013:QTW524033 RDS524013:RDS524033 RNO524013:RNO524033 RXK524013:RXK524033 SHG524013:SHG524033 SRC524013:SRC524033 TAY524013:TAY524033 TKU524013:TKU524033 TUQ524013:TUQ524033 UEM524013:UEM524033 UOI524013:UOI524033 UYE524013:UYE524033 VIA524013:VIA524033 VRW524013:VRW524033 WBS524013:WBS524033 WLO524013:WLO524033 WVK524013:WVK524033 C589549:C589569 IY589549:IY589569 SU589549:SU589569 ACQ589549:ACQ589569 AMM589549:AMM589569 AWI589549:AWI589569 BGE589549:BGE589569 BQA589549:BQA589569 BZW589549:BZW589569 CJS589549:CJS589569 CTO589549:CTO589569 DDK589549:DDK589569 DNG589549:DNG589569 DXC589549:DXC589569 EGY589549:EGY589569 EQU589549:EQU589569 FAQ589549:FAQ589569 FKM589549:FKM589569 FUI589549:FUI589569 GEE589549:GEE589569 GOA589549:GOA589569 GXW589549:GXW589569 HHS589549:HHS589569 HRO589549:HRO589569 IBK589549:IBK589569 ILG589549:ILG589569 IVC589549:IVC589569 JEY589549:JEY589569 JOU589549:JOU589569 JYQ589549:JYQ589569 KIM589549:KIM589569 KSI589549:KSI589569 LCE589549:LCE589569 LMA589549:LMA589569 LVW589549:LVW589569 MFS589549:MFS589569 MPO589549:MPO589569 MZK589549:MZK589569 NJG589549:NJG589569 NTC589549:NTC589569 OCY589549:OCY589569 OMU589549:OMU589569 OWQ589549:OWQ589569 PGM589549:PGM589569 PQI589549:PQI589569 QAE589549:QAE589569 QKA589549:QKA589569 QTW589549:QTW589569 RDS589549:RDS589569 RNO589549:RNO589569 RXK589549:RXK589569 SHG589549:SHG589569 SRC589549:SRC589569 TAY589549:TAY589569 TKU589549:TKU589569 TUQ589549:TUQ589569 UEM589549:UEM589569 UOI589549:UOI589569 UYE589549:UYE589569 VIA589549:VIA589569 VRW589549:VRW589569 WBS589549:WBS589569 WLO589549:WLO589569 WVK589549:WVK589569 C655085:C655105 IY655085:IY655105 SU655085:SU655105 ACQ655085:ACQ655105 AMM655085:AMM655105 AWI655085:AWI655105 BGE655085:BGE655105 BQA655085:BQA655105 BZW655085:BZW655105 CJS655085:CJS655105 CTO655085:CTO655105 DDK655085:DDK655105 DNG655085:DNG655105 DXC655085:DXC655105 EGY655085:EGY655105 EQU655085:EQU655105 FAQ655085:FAQ655105 FKM655085:FKM655105 FUI655085:FUI655105 GEE655085:GEE655105 GOA655085:GOA655105 GXW655085:GXW655105 HHS655085:HHS655105 HRO655085:HRO655105 IBK655085:IBK655105 ILG655085:ILG655105 IVC655085:IVC655105 JEY655085:JEY655105 JOU655085:JOU655105 JYQ655085:JYQ655105 KIM655085:KIM655105 KSI655085:KSI655105 LCE655085:LCE655105 LMA655085:LMA655105 LVW655085:LVW655105 MFS655085:MFS655105 MPO655085:MPO655105 MZK655085:MZK655105 NJG655085:NJG655105 NTC655085:NTC655105 OCY655085:OCY655105 OMU655085:OMU655105 OWQ655085:OWQ655105 PGM655085:PGM655105 PQI655085:PQI655105 QAE655085:QAE655105 QKA655085:QKA655105 QTW655085:QTW655105 RDS655085:RDS655105 RNO655085:RNO655105 RXK655085:RXK655105 SHG655085:SHG655105 SRC655085:SRC655105 TAY655085:TAY655105 TKU655085:TKU655105 TUQ655085:TUQ655105 UEM655085:UEM655105 UOI655085:UOI655105 UYE655085:UYE655105 VIA655085:VIA655105 VRW655085:VRW655105 WBS655085:WBS655105 WLO655085:WLO655105 WVK655085:WVK655105 C720621:C720641 IY720621:IY720641 SU720621:SU720641 ACQ720621:ACQ720641 AMM720621:AMM720641 AWI720621:AWI720641 BGE720621:BGE720641 BQA720621:BQA720641 BZW720621:BZW720641 CJS720621:CJS720641 CTO720621:CTO720641 DDK720621:DDK720641 DNG720621:DNG720641 DXC720621:DXC720641 EGY720621:EGY720641 EQU720621:EQU720641 FAQ720621:FAQ720641 FKM720621:FKM720641 FUI720621:FUI720641 GEE720621:GEE720641 GOA720621:GOA720641 GXW720621:GXW720641 HHS720621:HHS720641 HRO720621:HRO720641 IBK720621:IBK720641 ILG720621:ILG720641 IVC720621:IVC720641 JEY720621:JEY720641 JOU720621:JOU720641 JYQ720621:JYQ720641 KIM720621:KIM720641 KSI720621:KSI720641 LCE720621:LCE720641 LMA720621:LMA720641 LVW720621:LVW720641 MFS720621:MFS720641 MPO720621:MPO720641 MZK720621:MZK720641 NJG720621:NJG720641 NTC720621:NTC720641 OCY720621:OCY720641 OMU720621:OMU720641 OWQ720621:OWQ720641 PGM720621:PGM720641 PQI720621:PQI720641 QAE720621:QAE720641 QKA720621:QKA720641 QTW720621:QTW720641 RDS720621:RDS720641 RNO720621:RNO720641 RXK720621:RXK720641 SHG720621:SHG720641 SRC720621:SRC720641 TAY720621:TAY720641 TKU720621:TKU720641 TUQ720621:TUQ720641 UEM720621:UEM720641 UOI720621:UOI720641 UYE720621:UYE720641 VIA720621:VIA720641 VRW720621:VRW720641 WBS720621:WBS720641 WLO720621:WLO720641 WVK720621:WVK720641 C786157:C786177 IY786157:IY786177 SU786157:SU786177 ACQ786157:ACQ786177 AMM786157:AMM786177 AWI786157:AWI786177 BGE786157:BGE786177 BQA786157:BQA786177 BZW786157:BZW786177 CJS786157:CJS786177 CTO786157:CTO786177 DDK786157:DDK786177 DNG786157:DNG786177 DXC786157:DXC786177 EGY786157:EGY786177 EQU786157:EQU786177 FAQ786157:FAQ786177 FKM786157:FKM786177 FUI786157:FUI786177 GEE786157:GEE786177 GOA786157:GOA786177 GXW786157:GXW786177 HHS786157:HHS786177 HRO786157:HRO786177 IBK786157:IBK786177 ILG786157:ILG786177 IVC786157:IVC786177 JEY786157:JEY786177 JOU786157:JOU786177 JYQ786157:JYQ786177 KIM786157:KIM786177 KSI786157:KSI786177 LCE786157:LCE786177 LMA786157:LMA786177 LVW786157:LVW786177 MFS786157:MFS786177 MPO786157:MPO786177 MZK786157:MZK786177 NJG786157:NJG786177 NTC786157:NTC786177 OCY786157:OCY786177 OMU786157:OMU786177 OWQ786157:OWQ786177 PGM786157:PGM786177 PQI786157:PQI786177 QAE786157:QAE786177 QKA786157:QKA786177 QTW786157:QTW786177 RDS786157:RDS786177 RNO786157:RNO786177 RXK786157:RXK786177 SHG786157:SHG786177 SRC786157:SRC786177 TAY786157:TAY786177 TKU786157:TKU786177 TUQ786157:TUQ786177 UEM786157:UEM786177 UOI786157:UOI786177 UYE786157:UYE786177 VIA786157:VIA786177 VRW786157:VRW786177 WBS786157:WBS786177 WLO786157:WLO786177 WVK786157:WVK786177 C851693:C851713 IY851693:IY851713 SU851693:SU851713 ACQ851693:ACQ851713 AMM851693:AMM851713 AWI851693:AWI851713 BGE851693:BGE851713 BQA851693:BQA851713 BZW851693:BZW851713 CJS851693:CJS851713 CTO851693:CTO851713 DDK851693:DDK851713 DNG851693:DNG851713 DXC851693:DXC851713 EGY851693:EGY851713 EQU851693:EQU851713 FAQ851693:FAQ851713 FKM851693:FKM851713 FUI851693:FUI851713 GEE851693:GEE851713 GOA851693:GOA851713 GXW851693:GXW851713 HHS851693:HHS851713 HRO851693:HRO851713 IBK851693:IBK851713 ILG851693:ILG851713 IVC851693:IVC851713 JEY851693:JEY851713 JOU851693:JOU851713 JYQ851693:JYQ851713 KIM851693:KIM851713 KSI851693:KSI851713 LCE851693:LCE851713 LMA851693:LMA851713 LVW851693:LVW851713 MFS851693:MFS851713 MPO851693:MPO851713 MZK851693:MZK851713 NJG851693:NJG851713 NTC851693:NTC851713 OCY851693:OCY851713 OMU851693:OMU851713 OWQ851693:OWQ851713 PGM851693:PGM851713 PQI851693:PQI851713 QAE851693:QAE851713 QKA851693:QKA851713 QTW851693:QTW851713 RDS851693:RDS851713 RNO851693:RNO851713 RXK851693:RXK851713 SHG851693:SHG851713 SRC851693:SRC851713 TAY851693:TAY851713 TKU851693:TKU851713 TUQ851693:TUQ851713 UEM851693:UEM851713 UOI851693:UOI851713 UYE851693:UYE851713 VIA851693:VIA851713 VRW851693:VRW851713 WBS851693:WBS851713 WLO851693:WLO851713 WVK851693:WVK851713 C917229:C917249 IY917229:IY917249 SU917229:SU917249 ACQ917229:ACQ917249 AMM917229:AMM917249 AWI917229:AWI917249 BGE917229:BGE917249 BQA917229:BQA917249 BZW917229:BZW917249 CJS917229:CJS917249 CTO917229:CTO917249 DDK917229:DDK917249 DNG917229:DNG917249 DXC917229:DXC917249 EGY917229:EGY917249 EQU917229:EQU917249 FAQ917229:FAQ917249 FKM917229:FKM917249 FUI917229:FUI917249 GEE917229:GEE917249 GOA917229:GOA917249 GXW917229:GXW917249 HHS917229:HHS917249 HRO917229:HRO917249 IBK917229:IBK917249 ILG917229:ILG917249 IVC917229:IVC917249 JEY917229:JEY917249 JOU917229:JOU917249 JYQ917229:JYQ917249 KIM917229:KIM917249 KSI917229:KSI917249 LCE917229:LCE917249 LMA917229:LMA917249 LVW917229:LVW917249 MFS917229:MFS917249 MPO917229:MPO917249 MZK917229:MZK917249 NJG917229:NJG917249 NTC917229:NTC917249 OCY917229:OCY917249 OMU917229:OMU917249 OWQ917229:OWQ917249 PGM917229:PGM917249 PQI917229:PQI917249 QAE917229:QAE917249 QKA917229:QKA917249 QTW917229:QTW917249 RDS917229:RDS917249 RNO917229:RNO917249 RXK917229:RXK917249 SHG917229:SHG917249 SRC917229:SRC917249 TAY917229:TAY917249 TKU917229:TKU917249 TUQ917229:TUQ917249 UEM917229:UEM917249 UOI917229:UOI917249 UYE917229:UYE917249 VIA917229:VIA917249 VRW917229:VRW917249 WBS917229:WBS917249 WLO917229:WLO917249 WVK917229:WVK917249 C982765:C982785 IY982765:IY982785 SU982765:SU982785 ACQ982765:ACQ982785 AMM982765:AMM982785 AWI982765:AWI982785 BGE982765:BGE982785 BQA982765:BQA982785 BZW982765:BZW982785 CJS982765:CJS982785 CTO982765:CTO982785 DDK982765:DDK982785 DNG982765:DNG982785 DXC982765:DXC982785 EGY982765:EGY982785 EQU982765:EQU982785 FAQ982765:FAQ982785 FKM982765:FKM982785 FUI982765:FUI982785 GEE982765:GEE982785 GOA982765:GOA982785 GXW982765:GXW982785 HHS982765:HHS982785 HRO982765:HRO982785 IBK982765:IBK982785 ILG982765:ILG982785 IVC982765:IVC982785 JEY982765:JEY982785 JOU982765:JOU982785 JYQ982765:JYQ982785 KIM982765:KIM982785 KSI982765:KSI982785 LCE982765:LCE982785 LMA982765:LMA982785 LVW982765:LVW982785 MFS982765:MFS982785 MPO982765:MPO982785 MZK982765:MZK982785 NJG982765:NJG982785 NTC982765:NTC982785 OCY982765:OCY982785 OMU982765:OMU982785 OWQ982765:OWQ982785 PGM982765:PGM982785 PQI982765:PQI982785 QAE982765:QAE982785 QKA982765:QKA982785 QTW982765:QTW982785 RDS982765:RDS982785 RNO982765:RNO982785 RXK982765:RXK982785 SHG982765:SHG982785 SRC982765:SRC982785 TAY982765:TAY982785 TKU982765:TKU982785 TUQ982765:TUQ982785 UEM982765:UEM982785 UOI982765:UOI982785 UYE982765:UYE982785 VIA982765:VIA982785 VRW982765:VRW982785 WBS982765:WBS982785 WLO982765:WLO982785 WVK982765:WVK982785 C65301:C65308 IY65301:IY65308 SU65301:SU65308 ACQ65301:ACQ65308 AMM65301:AMM65308 AWI65301:AWI65308 BGE65301:BGE65308 BQA65301:BQA65308 BZW65301:BZW65308 CJS65301:CJS65308 CTO65301:CTO65308 DDK65301:DDK65308 DNG65301:DNG65308 DXC65301:DXC65308 EGY65301:EGY65308 EQU65301:EQU65308 FAQ65301:FAQ65308 FKM65301:FKM65308 FUI65301:FUI65308 GEE65301:GEE65308 GOA65301:GOA65308 GXW65301:GXW65308 HHS65301:HHS65308 HRO65301:HRO65308 IBK65301:IBK65308 ILG65301:ILG65308 IVC65301:IVC65308 JEY65301:JEY65308 JOU65301:JOU65308 JYQ65301:JYQ65308 KIM65301:KIM65308 KSI65301:KSI65308 LCE65301:LCE65308 LMA65301:LMA65308 LVW65301:LVW65308 MFS65301:MFS65308 MPO65301:MPO65308 MZK65301:MZK65308 NJG65301:NJG65308 NTC65301:NTC65308 OCY65301:OCY65308 OMU65301:OMU65308 OWQ65301:OWQ65308 PGM65301:PGM65308 PQI65301:PQI65308 QAE65301:QAE65308 QKA65301:QKA65308 QTW65301:QTW65308 RDS65301:RDS65308 RNO65301:RNO65308 RXK65301:RXK65308 SHG65301:SHG65308 SRC65301:SRC65308 TAY65301:TAY65308 TKU65301:TKU65308 TUQ65301:TUQ65308 UEM65301:UEM65308 UOI65301:UOI65308 UYE65301:UYE65308 VIA65301:VIA65308 VRW65301:VRW65308 WBS65301:WBS65308 WLO65301:WLO65308 WVK65301:WVK65308 C130837:C130844 IY130837:IY130844 SU130837:SU130844 ACQ130837:ACQ130844 AMM130837:AMM130844 AWI130837:AWI130844 BGE130837:BGE130844 BQA130837:BQA130844 BZW130837:BZW130844 CJS130837:CJS130844 CTO130837:CTO130844 DDK130837:DDK130844 DNG130837:DNG130844 DXC130837:DXC130844 EGY130837:EGY130844 EQU130837:EQU130844 FAQ130837:FAQ130844 FKM130837:FKM130844 FUI130837:FUI130844 GEE130837:GEE130844 GOA130837:GOA130844 GXW130837:GXW130844 HHS130837:HHS130844 HRO130837:HRO130844 IBK130837:IBK130844 ILG130837:ILG130844 IVC130837:IVC130844 JEY130837:JEY130844 JOU130837:JOU130844 JYQ130837:JYQ130844 KIM130837:KIM130844 KSI130837:KSI130844 LCE130837:LCE130844 LMA130837:LMA130844 LVW130837:LVW130844 MFS130837:MFS130844 MPO130837:MPO130844 MZK130837:MZK130844 NJG130837:NJG130844 NTC130837:NTC130844 OCY130837:OCY130844 OMU130837:OMU130844 OWQ130837:OWQ130844 PGM130837:PGM130844 PQI130837:PQI130844 QAE130837:QAE130844 QKA130837:QKA130844 QTW130837:QTW130844 RDS130837:RDS130844 RNO130837:RNO130844 RXK130837:RXK130844 SHG130837:SHG130844 SRC130837:SRC130844 TAY130837:TAY130844 TKU130837:TKU130844 TUQ130837:TUQ130844 UEM130837:UEM130844 UOI130837:UOI130844 UYE130837:UYE130844 VIA130837:VIA130844 VRW130837:VRW130844 WBS130837:WBS130844 WLO130837:WLO130844 WVK130837:WVK130844 C196373:C196380 IY196373:IY196380 SU196373:SU196380 ACQ196373:ACQ196380 AMM196373:AMM196380 AWI196373:AWI196380 BGE196373:BGE196380 BQA196373:BQA196380 BZW196373:BZW196380 CJS196373:CJS196380 CTO196373:CTO196380 DDK196373:DDK196380 DNG196373:DNG196380 DXC196373:DXC196380 EGY196373:EGY196380 EQU196373:EQU196380 FAQ196373:FAQ196380 FKM196373:FKM196380 FUI196373:FUI196380 GEE196373:GEE196380 GOA196373:GOA196380 GXW196373:GXW196380 HHS196373:HHS196380 HRO196373:HRO196380 IBK196373:IBK196380 ILG196373:ILG196380 IVC196373:IVC196380 JEY196373:JEY196380 JOU196373:JOU196380 JYQ196373:JYQ196380 KIM196373:KIM196380 KSI196373:KSI196380 LCE196373:LCE196380 LMA196373:LMA196380 LVW196373:LVW196380 MFS196373:MFS196380 MPO196373:MPO196380 MZK196373:MZK196380 NJG196373:NJG196380 NTC196373:NTC196380 OCY196373:OCY196380 OMU196373:OMU196380 OWQ196373:OWQ196380 PGM196373:PGM196380 PQI196373:PQI196380 QAE196373:QAE196380 QKA196373:QKA196380 QTW196373:QTW196380 RDS196373:RDS196380 RNO196373:RNO196380 RXK196373:RXK196380 SHG196373:SHG196380 SRC196373:SRC196380 TAY196373:TAY196380 TKU196373:TKU196380 TUQ196373:TUQ196380 UEM196373:UEM196380 UOI196373:UOI196380 UYE196373:UYE196380 VIA196373:VIA196380 VRW196373:VRW196380 WBS196373:WBS196380 WLO196373:WLO196380 WVK196373:WVK196380 C261909:C261916 IY261909:IY261916 SU261909:SU261916 ACQ261909:ACQ261916 AMM261909:AMM261916 AWI261909:AWI261916 BGE261909:BGE261916 BQA261909:BQA261916 BZW261909:BZW261916 CJS261909:CJS261916 CTO261909:CTO261916 DDK261909:DDK261916 DNG261909:DNG261916 DXC261909:DXC261916 EGY261909:EGY261916 EQU261909:EQU261916 FAQ261909:FAQ261916 FKM261909:FKM261916 FUI261909:FUI261916 GEE261909:GEE261916 GOA261909:GOA261916 GXW261909:GXW261916 HHS261909:HHS261916 HRO261909:HRO261916 IBK261909:IBK261916 ILG261909:ILG261916 IVC261909:IVC261916 JEY261909:JEY261916 JOU261909:JOU261916 JYQ261909:JYQ261916 KIM261909:KIM261916 KSI261909:KSI261916 LCE261909:LCE261916 LMA261909:LMA261916 LVW261909:LVW261916 MFS261909:MFS261916 MPO261909:MPO261916 MZK261909:MZK261916 NJG261909:NJG261916 NTC261909:NTC261916 OCY261909:OCY261916 OMU261909:OMU261916 OWQ261909:OWQ261916 PGM261909:PGM261916 PQI261909:PQI261916 QAE261909:QAE261916 QKA261909:QKA261916 QTW261909:QTW261916 RDS261909:RDS261916 RNO261909:RNO261916 RXK261909:RXK261916 SHG261909:SHG261916 SRC261909:SRC261916 TAY261909:TAY261916 TKU261909:TKU261916 TUQ261909:TUQ261916 UEM261909:UEM261916 UOI261909:UOI261916 UYE261909:UYE261916 VIA261909:VIA261916 VRW261909:VRW261916 WBS261909:WBS261916 WLO261909:WLO261916 WVK261909:WVK261916 C327445:C327452 IY327445:IY327452 SU327445:SU327452 ACQ327445:ACQ327452 AMM327445:AMM327452 AWI327445:AWI327452 BGE327445:BGE327452 BQA327445:BQA327452 BZW327445:BZW327452 CJS327445:CJS327452 CTO327445:CTO327452 DDK327445:DDK327452 DNG327445:DNG327452 DXC327445:DXC327452 EGY327445:EGY327452 EQU327445:EQU327452 FAQ327445:FAQ327452 FKM327445:FKM327452 FUI327445:FUI327452 GEE327445:GEE327452 GOA327445:GOA327452 GXW327445:GXW327452 HHS327445:HHS327452 HRO327445:HRO327452 IBK327445:IBK327452 ILG327445:ILG327452 IVC327445:IVC327452 JEY327445:JEY327452 JOU327445:JOU327452 JYQ327445:JYQ327452 KIM327445:KIM327452 KSI327445:KSI327452 LCE327445:LCE327452 LMA327445:LMA327452 LVW327445:LVW327452 MFS327445:MFS327452 MPO327445:MPO327452 MZK327445:MZK327452 NJG327445:NJG327452 NTC327445:NTC327452 OCY327445:OCY327452 OMU327445:OMU327452 OWQ327445:OWQ327452 PGM327445:PGM327452 PQI327445:PQI327452 QAE327445:QAE327452 QKA327445:QKA327452 QTW327445:QTW327452 RDS327445:RDS327452 RNO327445:RNO327452 RXK327445:RXK327452 SHG327445:SHG327452 SRC327445:SRC327452 TAY327445:TAY327452 TKU327445:TKU327452 TUQ327445:TUQ327452 UEM327445:UEM327452 UOI327445:UOI327452 UYE327445:UYE327452 VIA327445:VIA327452 VRW327445:VRW327452 WBS327445:WBS327452 WLO327445:WLO327452 WVK327445:WVK327452 C392981:C392988 IY392981:IY392988 SU392981:SU392988 ACQ392981:ACQ392988 AMM392981:AMM392988 AWI392981:AWI392988 BGE392981:BGE392988 BQA392981:BQA392988 BZW392981:BZW392988 CJS392981:CJS392988 CTO392981:CTO392988 DDK392981:DDK392988 DNG392981:DNG392988 DXC392981:DXC392988 EGY392981:EGY392988 EQU392981:EQU392988 FAQ392981:FAQ392988 FKM392981:FKM392988 FUI392981:FUI392988 GEE392981:GEE392988 GOA392981:GOA392988 GXW392981:GXW392988 HHS392981:HHS392988 HRO392981:HRO392988 IBK392981:IBK392988 ILG392981:ILG392988 IVC392981:IVC392988 JEY392981:JEY392988 JOU392981:JOU392988 JYQ392981:JYQ392988 KIM392981:KIM392988 KSI392981:KSI392988 LCE392981:LCE392988 LMA392981:LMA392988 LVW392981:LVW392988 MFS392981:MFS392988 MPO392981:MPO392988 MZK392981:MZK392988 NJG392981:NJG392988 NTC392981:NTC392988 OCY392981:OCY392988 OMU392981:OMU392988 OWQ392981:OWQ392988 PGM392981:PGM392988 PQI392981:PQI392988 QAE392981:QAE392988 QKA392981:QKA392988 QTW392981:QTW392988 RDS392981:RDS392988 RNO392981:RNO392988 RXK392981:RXK392988 SHG392981:SHG392988 SRC392981:SRC392988 TAY392981:TAY392988 TKU392981:TKU392988 TUQ392981:TUQ392988 UEM392981:UEM392988 UOI392981:UOI392988 UYE392981:UYE392988 VIA392981:VIA392988 VRW392981:VRW392988 WBS392981:WBS392988 WLO392981:WLO392988 WVK392981:WVK392988 C458517:C458524 IY458517:IY458524 SU458517:SU458524 ACQ458517:ACQ458524 AMM458517:AMM458524 AWI458517:AWI458524 BGE458517:BGE458524 BQA458517:BQA458524 BZW458517:BZW458524 CJS458517:CJS458524 CTO458517:CTO458524 DDK458517:DDK458524 DNG458517:DNG458524 DXC458517:DXC458524 EGY458517:EGY458524 EQU458517:EQU458524 FAQ458517:FAQ458524 FKM458517:FKM458524 FUI458517:FUI458524 GEE458517:GEE458524 GOA458517:GOA458524 GXW458517:GXW458524 HHS458517:HHS458524 HRO458517:HRO458524 IBK458517:IBK458524 ILG458517:ILG458524 IVC458517:IVC458524 JEY458517:JEY458524 JOU458517:JOU458524 JYQ458517:JYQ458524 KIM458517:KIM458524 KSI458517:KSI458524 LCE458517:LCE458524 LMA458517:LMA458524 LVW458517:LVW458524 MFS458517:MFS458524 MPO458517:MPO458524 MZK458517:MZK458524 NJG458517:NJG458524 NTC458517:NTC458524 OCY458517:OCY458524 OMU458517:OMU458524 OWQ458517:OWQ458524 PGM458517:PGM458524 PQI458517:PQI458524 QAE458517:QAE458524 QKA458517:QKA458524 QTW458517:QTW458524 RDS458517:RDS458524 RNO458517:RNO458524 RXK458517:RXK458524 SHG458517:SHG458524 SRC458517:SRC458524 TAY458517:TAY458524 TKU458517:TKU458524 TUQ458517:TUQ458524 UEM458517:UEM458524 UOI458517:UOI458524 UYE458517:UYE458524 VIA458517:VIA458524 VRW458517:VRW458524 WBS458517:WBS458524 WLO458517:WLO458524 WVK458517:WVK458524 C524053:C524060 IY524053:IY524060 SU524053:SU524060 ACQ524053:ACQ524060 AMM524053:AMM524060 AWI524053:AWI524060 BGE524053:BGE524060 BQA524053:BQA524060 BZW524053:BZW524060 CJS524053:CJS524060 CTO524053:CTO524060 DDK524053:DDK524060 DNG524053:DNG524060 DXC524053:DXC524060 EGY524053:EGY524060 EQU524053:EQU524060 FAQ524053:FAQ524060 FKM524053:FKM524060 FUI524053:FUI524060 GEE524053:GEE524060 GOA524053:GOA524060 GXW524053:GXW524060 HHS524053:HHS524060 HRO524053:HRO524060 IBK524053:IBK524060 ILG524053:ILG524060 IVC524053:IVC524060 JEY524053:JEY524060 JOU524053:JOU524060 JYQ524053:JYQ524060 KIM524053:KIM524060 KSI524053:KSI524060 LCE524053:LCE524060 LMA524053:LMA524060 LVW524053:LVW524060 MFS524053:MFS524060 MPO524053:MPO524060 MZK524053:MZK524060 NJG524053:NJG524060 NTC524053:NTC524060 OCY524053:OCY524060 OMU524053:OMU524060 OWQ524053:OWQ524060 PGM524053:PGM524060 PQI524053:PQI524060 QAE524053:QAE524060 QKA524053:QKA524060 QTW524053:QTW524060 RDS524053:RDS524060 RNO524053:RNO524060 RXK524053:RXK524060 SHG524053:SHG524060 SRC524053:SRC524060 TAY524053:TAY524060 TKU524053:TKU524060 TUQ524053:TUQ524060 UEM524053:UEM524060 UOI524053:UOI524060 UYE524053:UYE524060 VIA524053:VIA524060 VRW524053:VRW524060 WBS524053:WBS524060 WLO524053:WLO524060 WVK524053:WVK524060 C589589:C589596 IY589589:IY589596 SU589589:SU589596 ACQ589589:ACQ589596 AMM589589:AMM589596 AWI589589:AWI589596 BGE589589:BGE589596 BQA589589:BQA589596 BZW589589:BZW589596 CJS589589:CJS589596 CTO589589:CTO589596 DDK589589:DDK589596 DNG589589:DNG589596 DXC589589:DXC589596 EGY589589:EGY589596 EQU589589:EQU589596 FAQ589589:FAQ589596 FKM589589:FKM589596 FUI589589:FUI589596 GEE589589:GEE589596 GOA589589:GOA589596 GXW589589:GXW589596 HHS589589:HHS589596 HRO589589:HRO589596 IBK589589:IBK589596 ILG589589:ILG589596 IVC589589:IVC589596 JEY589589:JEY589596 JOU589589:JOU589596 JYQ589589:JYQ589596 KIM589589:KIM589596 KSI589589:KSI589596 LCE589589:LCE589596 LMA589589:LMA589596 LVW589589:LVW589596 MFS589589:MFS589596 MPO589589:MPO589596 MZK589589:MZK589596 NJG589589:NJG589596 NTC589589:NTC589596 OCY589589:OCY589596 OMU589589:OMU589596 OWQ589589:OWQ589596 PGM589589:PGM589596 PQI589589:PQI589596 QAE589589:QAE589596 QKA589589:QKA589596 QTW589589:QTW589596 RDS589589:RDS589596 RNO589589:RNO589596 RXK589589:RXK589596 SHG589589:SHG589596 SRC589589:SRC589596 TAY589589:TAY589596 TKU589589:TKU589596 TUQ589589:TUQ589596 UEM589589:UEM589596 UOI589589:UOI589596 UYE589589:UYE589596 VIA589589:VIA589596 VRW589589:VRW589596 WBS589589:WBS589596 WLO589589:WLO589596 WVK589589:WVK589596 C655125:C655132 IY655125:IY655132 SU655125:SU655132 ACQ655125:ACQ655132 AMM655125:AMM655132 AWI655125:AWI655132 BGE655125:BGE655132 BQA655125:BQA655132 BZW655125:BZW655132 CJS655125:CJS655132 CTO655125:CTO655132 DDK655125:DDK655132 DNG655125:DNG655132 DXC655125:DXC655132 EGY655125:EGY655132 EQU655125:EQU655132 FAQ655125:FAQ655132 FKM655125:FKM655132 FUI655125:FUI655132 GEE655125:GEE655132 GOA655125:GOA655132 GXW655125:GXW655132 HHS655125:HHS655132 HRO655125:HRO655132 IBK655125:IBK655132 ILG655125:ILG655132 IVC655125:IVC655132 JEY655125:JEY655132 JOU655125:JOU655132 JYQ655125:JYQ655132 KIM655125:KIM655132 KSI655125:KSI655132 LCE655125:LCE655132 LMA655125:LMA655132 LVW655125:LVW655132 MFS655125:MFS655132 MPO655125:MPO655132 MZK655125:MZK655132 NJG655125:NJG655132 NTC655125:NTC655132 OCY655125:OCY655132 OMU655125:OMU655132 OWQ655125:OWQ655132 PGM655125:PGM655132 PQI655125:PQI655132 QAE655125:QAE655132 QKA655125:QKA655132 QTW655125:QTW655132 RDS655125:RDS655132 RNO655125:RNO655132 RXK655125:RXK655132 SHG655125:SHG655132 SRC655125:SRC655132 TAY655125:TAY655132 TKU655125:TKU655132 TUQ655125:TUQ655132 UEM655125:UEM655132 UOI655125:UOI655132 UYE655125:UYE655132 VIA655125:VIA655132 VRW655125:VRW655132 WBS655125:WBS655132 WLO655125:WLO655132 WVK655125:WVK655132 C720661:C720668 IY720661:IY720668 SU720661:SU720668 ACQ720661:ACQ720668 AMM720661:AMM720668 AWI720661:AWI720668 BGE720661:BGE720668 BQA720661:BQA720668 BZW720661:BZW720668 CJS720661:CJS720668 CTO720661:CTO720668 DDK720661:DDK720668 DNG720661:DNG720668 DXC720661:DXC720668 EGY720661:EGY720668 EQU720661:EQU720668 FAQ720661:FAQ720668 FKM720661:FKM720668 FUI720661:FUI720668 GEE720661:GEE720668 GOA720661:GOA720668 GXW720661:GXW720668 HHS720661:HHS720668 HRO720661:HRO720668 IBK720661:IBK720668 ILG720661:ILG720668 IVC720661:IVC720668 JEY720661:JEY720668 JOU720661:JOU720668 JYQ720661:JYQ720668 KIM720661:KIM720668 KSI720661:KSI720668 LCE720661:LCE720668 LMA720661:LMA720668 LVW720661:LVW720668 MFS720661:MFS720668 MPO720661:MPO720668 MZK720661:MZK720668 NJG720661:NJG720668 NTC720661:NTC720668 OCY720661:OCY720668 OMU720661:OMU720668 OWQ720661:OWQ720668 PGM720661:PGM720668 PQI720661:PQI720668 QAE720661:QAE720668 QKA720661:QKA720668 QTW720661:QTW720668 RDS720661:RDS720668 RNO720661:RNO720668 RXK720661:RXK720668 SHG720661:SHG720668 SRC720661:SRC720668 TAY720661:TAY720668 TKU720661:TKU720668 TUQ720661:TUQ720668 UEM720661:UEM720668 UOI720661:UOI720668 UYE720661:UYE720668 VIA720661:VIA720668 VRW720661:VRW720668 WBS720661:WBS720668 WLO720661:WLO720668 WVK720661:WVK720668 C786197:C786204 IY786197:IY786204 SU786197:SU786204 ACQ786197:ACQ786204 AMM786197:AMM786204 AWI786197:AWI786204 BGE786197:BGE786204 BQA786197:BQA786204 BZW786197:BZW786204 CJS786197:CJS786204 CTO786197:CTO786204 DDK786197:DDK786204 DNG786197:DNG786204 DXC786197:DXC786204 EGY786197:EGY786204 EQU786197:EQU786204 FAQ786197:FAQ786204 FKM786197:FKM786204 FUI786197:FUI786204 GEE786197:GEE786204 GOA786197:GOA786204 GXW786197:GXW786204 HHS786197:HHS786204 HRO786197:HRO786204 IBK786197:IBK786204 ILG786197:ILG786204 IVC786197:IVC786204 JEY786197:JEY786204 JOU786197:JOU786204 JYQ786197:JYQ786204 KIM786197:KIM786204 KSI786197:KSI786204 LCE786197:LCE786204 LMA786197:LMA786204 LVW786197:LVW786204 MFS786197:MFS786204 MPO786197:MPO786204 MZK786197:MZK786204 NJG786197:NJG786204 NTC786197:NTC786204 OCY786197:OCY786204 OMU786197:OMU786204 OWQ786197:OWQ786204 PGM786197:PGM786204 PQI786197:PQI786204 QAE786197:QAE786204 QKA786197:QKA786204 QTW786197:QTW786204 RDS786197:RDS786204 RNO786197:RNO786204 RXK786197:RXK786204 SHG786197:SHG786204 SRC786197:SRC786204 TAY786197:TAY786204 TKU786197:TKU786204 TUQ786197:TUQ786204 UEM786197:UEM786204 UOI786197:UOI786204 UYE786197:UYE786204 VIA786197:VIA786204 VRW786197:VRW786204 WBS786197:WBS786204 WLO786197:WLO786204 WVK786197:WVK786204 C851733:C851740 IY851733:IY851740 SU851733:SU851740 ACQ851733:ACQ851740 AMM851733:AMM851740 AWI851733:AWI851740 BGE851733:BGE851740 BQA851733:BQA851740 BZW851733:BZW851740 CJS851733:CJS851740 CTO851733:CTO851740 DDK851733:DDK851740 DNG851733:DNG851740 DXC851733:DXC851740 EGY851733:EGY851740 EQU851733:EQU851740 FAQ851733:FAQ851740 FKM851733:FKM851740 FUI851733:FUI851740 GEE851733:GEE851740 GOA851733:GOA851740 GXW851733:GXW851740 HHS851733:HHS851740 HRO851733:HRO851740 IBK851733:IBK851740 ILG851733:ILG851740 IVC851733:IVC851740 JEY851733:JEY851740 JOU851733:JOU851740 JYQ851733:JYQ851740 KIM851733:KIM851740 KSI851733:KSI851740 LCE851733:LCE851740 LMA851733:LMA851740 LVW851733:LVW851740 MFS851733:MFS851740 MPO851733:MPO851740 MZK851733:MZK851740 NJG851733:NJG851740 NTC851733:NTC851740 OCY851733:OCY851740 OMU851733:OMU851740 OWQ851733:OWQ851740 PGM851733:PGM851740 PQI851733:PQI851740 QAE851733:QAE851740 QKA851733:QKA851740 QTW851733:QTW851740 RDS851733:RDS851740 RNO851733:RNO851740 RXK851733:RXK851740 SHG851733:SHG851740 SRC851733:SRC851740 TAY851733:TAY851740 TKU851733:TKU851740 TUQ851733:TUQ851740 UEM851733:UEM851740 UOI851733:UOI851740 UYE851733:UYE851740 VIA851733:VIA851740 VRW851733:VRW851740 WBS851733:WBS851740 WLO851733:WLO851740 WVK851733:WVK851740 C917269:C917276 IY917269:IY917276 SU917269:SU917276 ACQ917269:ACQ917276 AMM917269:AMM917276 AWI917269:AWI917276 BGE917269:BGE917276 BQA917269:BQA917276 BZW917269:BZW917276 CJS917269:CJS917276 CTO917269:CTO917276 DDK917269:DDK917276 DNG917269:DNG917276 DXC917269:DXC917276 EGY917269:EGY917276 EQU917269:EQU917276 FAQ917269:FAQ917276 FKM917269:FKM917276 FUI917269:FUI917276 GEE917269:GEE917276 GOA917269:GOA917276 GXW917269:GXW917276 HHS917269:HHS917276 HRO917269:HRO917276 IBK917269:IBK917276 ILG917269:ILG917276 IVC917269:IVC917276 JEY917269:JEY917276 JOU917269:JOU917276 JYQ917269:JYQ917276 KIM917269:KIM917276 KSI917269:KSI917276 LCE917269:LCE917276 LMA917269:LMA917276 LVW917269:LVW917276 MFS917269:MFS917276 MPO917269:MPO917276 MZK917269:MZK917276 NJG917269:NJG917276 NTC917269:NTC917276 OCY917269:OCY917276 OMU917269:OMU917276 OWQ917269:OWQ917276 PGM917269:PGM917276 PQI917269:PQI917276 QAE917269:QAE917276 QKA917269:QKA917276 QTW917269:QTW917276 RDS917269:RDS917276 RNO917269:RNO917276 RXK917269:RXK917276 SHG917269:SHG917276 SRC917269:SRC917276 TAY917269:TAY917276 TKU917269:TKU917276 TUQ917269:TUQ917276 UEM917269:UEM917276 UOI917269:UOI917276 UYE917269:UYE917276 VIA917269:VIA917276 VRW917269:VRW917276 WBS917269:WBS917276 WLO917269:WLO917276 WVK917269:WVK917276 C982805:C982812 IY982805:IY982812 SU982805:SU982812 ACQ982805:ACQ982812 AMM982805:AMM982812 AWI982805:AWI982812 BGE982805:BGE982812 BQA982805:BQA982812 BZW982805:BZW982812 CJS982805:CJS982812 CTO982805:CTO982812 DDK982805:DDK982812 DNG982805:DNG982812 DXC982805:DXC982812 EGY982805:EGY982812 EQU982805:EQU982812 FAQ982805:FAQ982812 FKM982805:FKM982812 FUI982805:FUI982812 GEE982805:GEE982812 GOA982805:GOA982812 GXW982805:GXW982812 HHS982805:HHS982812 HRO982805:HRO982812 IBK982805:IBK982812 ILG982805:ILG982812 IVC982805:IVC982812 JEY982805:JEY982812 JOU982805:JOU982812 JYQ982805:JYQ982812 KIM982805:KIM982812 KSI982805:KSI982812 LCE982805:LCE982812 LMA982805:LMA982812 LVW982805:LVW982812 MFS982805:MFS982812 MPO982805:MPO982812 MZK982805:MZK982812 NJG982805:NJG982812 NTC982805:NTC982812 OCY982805:OCY982812 OMU982805:OMU982812 OWQ982805:OWQ982812 PGM982805:PGM982812 PQI982805:PQI982812 QAE982805:QAE982812 QKA982805:QKA982812 QTW982805:QTW982812 RDS982805:RDS982812 RNO982805:RNO982812 RXK982805:RXK982812 SHG982805:SHG982812 SRC982805:SRC982812 TAY982805:TAY982812 TKU982805:TKU982812 TUQ982805:TUQ982812 UEM982805:UEM982812 UOI982805:UOI982812 UYE982805:UYE982812 VIA982805:VIA982812 VRW982805:VRW982812 WBS982805:WBS982812 WLO982805:WLO982812 WVK982805:WVK982812 C65310:C65330 IY65310:IY65330 SU65310:SU65330 ACQ65310:ACQ65330 AMM65310:AMM65330 AWI65310:AWI65330 BGE65310:BGE65330 BQA65310:BQA65330 BZW65310:BZW65330 CJS65310:CJS65330 CTO65310:CTO65330 DDK65310:DDK65330 DNG65310:DNG65330 DXC65310:DXC65330 EGY65310:EGY65330 EQU65310:EQU65330 FAQ65310:FAQ65330 FKM65310:FKM65330 FUI65310:FUI65330 GEE65310:GEE65330 GOA65310:GOA65330 GXW65310:GXW65330 HHS65310:HHS65330 HRO65310:HRO65330 IBK65310:IBK65330 ILG65310:ILG65330 IVC65310:IVC65330 JEY65310:JEY65330 JOU65310:JOU65330 JYQ65310:JYQ65330 KIM65310:KIM65330 KSI65310:KSI65330 LCE65310:LCE65330 LMA65310:LMA65330 LVW65310:LVW65330 MFS65310:MFS65330 MPO65310:MPO65330 MZK65310:MZK65330 NJG65310:NJG65330 NTC65310:NTC65330 OCY65310:OCY65330 OMU65310:OMU65330 OWQ65310:OWQ65330 PGM65310:PGM65330 PQI65310:PQI65330 QAE65310:QAE65330 QKA65310:QKA65330 QTW65310:QTW65330 RDS65310:RDS65330 RNO65310:RNO65330 RXK65310:RXK65330 SHG65310:SHG65330 SRC65310:SRC65330 TAY65310:TAY65330 TKU65310:TKU65330 TUQ65310:TUQ65330 UEM65310:UEM65330 UOI65310:UOI65330 UYE65310:UYE65330 VIA65310:VIA65330 VRW65310:VRW65330 WBS65310:WBS65330 WLO65310:WLO65330 WVK65310:WVK65330 C130846:C130866 IY130846:IY130866 SU130846:SU130866 ACQ130846:ACQ130866 AMM130846:AMM130866 AWI130846:AWI130866 BGE130846:BGE130866 BQA130846:BQA130866 BZW130846:BZW130866 CJS130846:CJS130866 CTO130846:CTO130866 DDK130846:DDK130866 DNG130846:DNG130866 DXC130846:DXC130866 EGY130846:EGY130866 EQU130846:EQU130866 FAQ130846:FAQ130866 FKM130846:FKM130866 FUI130846:FUI130866 GEE130846:GEE130866 GOA130846:GOA130866 GXW130846:GXW130866 HHS130846:HHS130866 HRO130846:HRO130866 IBK130846:IBK130866 ILG130846:ILG130866 IVC130846:IVC130866 JEY130846:JEY130866 JOU130846:JOU130866 JYQ130846:JYQ130866 KIM130846:KIM130866 KSI130846:KSI130866 LCE130846:LCE130866 LMA130846:LMA130866 LVW130846:LVW130866 MFS130846:MFS130866 MPO130846:MPO130866 MZK130846:MZK130866 NJG130846:NJG130866 NTC130846:NTC130866 OCY130846:OCY130866 OMU130846:OMU130866 OWQ130846:OWQ130866 PGM130846:PGM130866 PQI130846:PQI130866 QAE130846:QAE130866 QKA130846:QKA130866 QTW130846:QTW130866 RDS130846:RDS130866 RNO130846:RNO130866 RXK130846:RXK130866 SHG130846:SHG130866 SRC130846:SRC130866 TAY130846:TAY130866 TKU130846:TKU130866 TUQ130846:TUQ130866 UEM130846:UEM130866 UOI130846:UOI130866 UYE130846:UYE130866 VIA130846:VIA130866 VRW130846:VRW130866 WBS130846:WBS130866 WLO130846:WLO130866 WVK130846:WVK130866 C196382:C196402 IY196382:IY196402 SU196382:SU196402 ACQ196382:ACQ196402 AMM196382:AMM196402 AWI196382:AWI196402 BGE196382:BGE196402 BQA196382:BQA196402 BZW196382:BZW196402 CJS196382:CJS196402 CTO196382:CTO196402 DDK196382:DDK196402 DNG196382:DNG196402 DXC196382:DXC196402 EGY196382:EGY196402 EQU196382:EQU196402 FAQ196382:FAQ196402 FKM196382:FKM196402 FUI196382:FUI196402 GEE196382:GEE196402 GOA196382:GOA196402 GXW196382:GXW196402 HHS196382:HHS196402 HRO196382:HRO196402 IBK196382:IBK196402 ILG196382:ILG196402 IVC196382:IVC196402 JEY196382:JEY196402 JOU196382:JOU196402 JYQ196382:JYQ196402 KIM196382:KIM196402 KSI196382:KSI196402 LCE196382:LCE196402 LMA196382:LMA196402 LVW196382:LVW196402 MFS196382:MFS196402 MPO196382:MPO196402 MZK196382:MZK196402 NJG196382:NJG196402 NTC196382:NTC196402 OCY196382:OCY196402 OMU196382:OMU196402 OWQ196382:OWQ196402 PGM196382:PGM196402 PQI196382:PQI196402 QAE196382:QAE196402 QKA196382:QKA196402 QTW196382:QTW196402 RDS196382:RDS196402 RNO196382:RNO196402 RXK196382:RXK196402 SHG196382:SHG196402 SRC196382:SRC196402 TAY196382:TAY196402 TKU196382:TKU196402 TUQ196382:TUQ196402 UEM196382:UEM196402 UOI196382:UOI196402 UYE196382:UYE196402 VIA196382:VIA196402 VRW196382:VRW196402 WBS196382:WBS196402 WLO196382:WLO196402 WVK196382:WVK196402 C261918:C261938 IY261918:IY261938 SU261918:SU261938 ACQ261918:ACQ261938 AMM261918:AMM261938 AWI261918:AWI261938 BGE261918:BGE261938 BQA261918:BQA261938 BZW261918:BZW261938 CJS261918:CJS261938 CTO261918:CTO261938 DDK261918:DDK261938 DNG261918:DNG261938 DXC261918:DXC261938 EGY261918:EGY261938 EQU261918:EQU261938 FAQ261918:FAQ261938 FKM261918:FKM261938 FUI261918:FUI261938 GEE261918:GEE261938 GOA261918:GOA261938 GXW261918:GXW261938 HHS261918:HHS261938 HRO261918:HRO261938 IBK261918:IBK261938 ILG261918:ILG261938 IVC261918:IVC261938 JEY261918:JEY261938 JOU261918:JOU261938 JYQ261918:JYQ261938 KIM261918:KIM261938 KSI261918:KSI261938 LCE261918:LCE261938 LMA261918:LMA261938 LVW261918:LVW261938 MFS261918:MFS261938 MPO261918:MPO261938 MZK261918:MZK261938 NJG261918:NJG261938 NTC261918:NTC261938 OCY261918:OCY261938 OMU261918:OMU261938 OWQ261918:OWQ261938 PGM261918:PGM261938 PQI261918:PQI261938 QAE261918:QAE261938 QKA261918:QKA261938 QTW261918:QTW261938 RDS261918:RDS261938 RNO261918:RNO261938 RXK261918:RXK261938 SHG261918:SHG261938 SRC261918:SRC261938 TAY261918:TAY261938 TKU261918:TKU261938 TUQ261918:TUQ261938 UEM261918:UEM261938 UOI261918:UOI261938 UYE261918:UYE261938 VIA261918:VIA261938 VRW261918:VRW261938 WBS261918:WBS261938 WLO261918:WLO261938 WVK261918:WVK261938 C327454:C327474 IY327454:IY327474 SU327454:SU327474 ACQ327454:ACQ327474 AMM327454:AMM327474 AWI327454:AWI327474 BGE327454:BGE327474 BQA327454:BQA327474 BZW327454:BZW327474 CJS327454:CJS327474 CTO327454:CTO327474 DDK327454:DDK327474 DNG327454:DNG327474 DXC327454:DXC327474 EGY327454:EGY327474 EQU327454:EQU327474 FAQ327454:FAQ327474 FKM327454:FKM327474 FUI327454:FUI327474 GEE327454:GEE327474 GOA327454:GOA327474 GXW327454:GXW327474 HHS327454:HHS327474 HRO327454:HRO327474 IBK327454:IBK327474 ILG327454:ILG327474 IVC327454:IVC327474 JEY327454:JEY327474 JOU327454:JOU327474 JYQ327454:JYQ327474 KIM327454:KIM327474 KSI327454:KSI327474 LCE327454:LCE327474 LMA327454:LMA327474 LVW327454:LVW327474 MFS327454:MFS327474 MPO327454:MPO327474 MZK327454:MZK327474 NJG327454:NJG327474 NTC327454:NTC327474 OCY327454:OCY327474 OMU327454:OMU327474 OWQ327454:OWQ327474 PGM327454:PGM327474 PQI327454:PQI327474 QAE327454:QAE327474 QKA327454:QKA327474 QTW327454:QTW327474 RDS327454:RDS327474 RNO327454:RNO327474 RXK327454:RXK327474 SHG327454:SHG327474 SRC327454:SRC327474 TAY327454:TAY327474 TKU327454:TKU327474 TUQ327454:TUQ327474 UEM327454:UEM327474 UOI327454:UOI327474 UYE327454:UYE327474 VIA327454:VIA327474 VRW327454:VRW327474 WBS327454:WBS327474 WLO327454:WLO327474 WVK327454:WVK327474 C392990:C393010 IY392990:IY393010 SU392990:SU393010 ACQ392990:ACQ393010 AMM392990:AMM393010 AWI392990:AWI393010 BGE392990:BGE393010 BQA392990:BQA393010 BZW392990:BZW393010 CJS392990:CJS393010 CTO392990:CTO393010 DDK392990:DDK393010 DNG392990:DNG393010 DXC392990:DXC393010 EGY392990:EGY393010 EQU392990:EQU393010 FAQ392990:FAQ393010 FKM392990:FKM393010 FUI392990:FUI393010 GEE392990:GEE393010 GOA392990:GOA393010 GXW392990:GXW393010 HHS392990:HHS393010 HRO392990:HRO393010 IBK392990:IBK393010 ILG392990:ILG393010 IVC392990:IVC393010 JEY392990:JEY393010 JOU392990:JOU393010 JYQ392990:JYQ393010 KIM392990:KIM393010 KSI392990:KSI393010 LCE392990:LCE393010 LMA392990:LMA393010 LVW392990:LVW393010 MFS392990:MFS393010 MPO392990:MPO393010 MZK392990:MZK393010 NJG392990:NJG393010 NTC392990:NTC393010 OCY392990:OCY393010 OMU392990:OMU393010 OWQ392990:OWQ393010 PGM392990:PGM393010 PQI392990:PQI393010 QAE392990:QAE393010 QKA392990:QKA393010 QTW392990:QTW393010 RDS392990:RDS393010 RNO392990:RNO393010 RXK392990:RXK393010 SHG392990:SHG393010 SRC392990:SRC393010 TAY392990:TAY393010 TKU392990:TKU393010 TUQ392990:TUQ393010 UEM392990:UEM393010 UOI392990:UOI393010 UYE392990:UYE393010 VIA392990:VIA393010 VRW392990:VRW393010 WBS392990:WBS393010 WLO392990:WLO393010 WVK392990:WVK393010 C458526:C458546 IY458526:IY458546 SU458526:SU458546 ACQ458526:ACQ458546 AMM458526:AMM458546 AWI458526:AWI458546 BGE458526:BGE458546 BQA458526:BQA458546 BZW458526:BZW458546 CJS458526:CJS458546 CTO458526:CTO458546 DDK458526:DDK458546 DNG458526:DNG458546 DXC458526:DXC458546 EGY458526:EGY458546 EQU458526:EQU458546 FAQ458526:FAQ458546 FKM458526:FKM458546 FUI458526:FUI458546 GEE458526:GEE458546 GOA458526:GOA458546 GXW458526:GXW458546 HHS458526:HHS458546 HRO458526:HRO458546 IBK458526:IBK458546 ILG458526:ILG458546 IVC458526:IVC458546 JEY458526:JEY458546 JOU458526:JOU458546 JYQ458526:JYQ458546 KIM458526:KIM458546 KSI458526:KSI458546 LCE458526:LCE458546 LMA458526:LMA458546 LVW458526:LVW458546 MFS458526:MFS458546 MPO458526:MPO458546 MZK458526:MZK458546 NJG458526:NJG458546 NTC458526:NTC458546 OCY458526:OCY458546 OMU458526:OMU458546 OWQ458526:OWQ458546 PGM458526:PGM458546 PQI458526:PQI458546 QAE458526:QAE458546 QKA458526:QKA458546 QTW458526:QTW458546 RDS458526:RDS458546 RNO458526:RNO458546 RXK458526:RXK458546 SHG458526:SHG458546 SRC458526:SRC458546 TAY458526:TAY458546 TKU458526:TKU458546 TUQ458526:TUQ458546 UEM458526:UEM458546 UOI458526:UOI458546 UYE458526:UYE458546 VIA458526:VIA458546 VRW458526:VRW458546 WBS458526:WBS458546 WLO458526:WLO458546 WVK458526:WVK458546 C524062:C524082 IY524062:IY524082 SU524062:SU524082 ACQ524062:ACQ524082 AMM524062:AMM524082 AWI524062:AWI524082 BGE524062:BGE524082 BQA524062:BQA524082 BZW524062:BZW524082 CJS524062:CJS524082 CTO524062:CTO524082 DDK524062:DDK524082 DNG524062:DNG524082 DXC524062:DXC524082 EGY524062:EGY524082 EQU524062:EQU524082 FAQ524062:FAQ524082 FKM524062:FKM524082 FUI524062:FUI524082 GEE524062:GEE524082 GOA524062:GOA524082 GXW524062:GXW524082 HHS524062:HHS524082 HRO524062:HRO524082 IBK524062:IBK524082 ILG524062:ILG524082 IVC524062:IVC524082 JEY524062:JEY524082 JOU524062:JOU524082 JYQ524062:JYQ524082 KIM524062:KIM524082 KSI524062:KSI524082 LCE524062:LCE524082 LMA524062:LMA524082 LVW524062:LVW524082 MFS524062:MFS524082 MPO524062:MPO524082 MZK524062:MZK524082 NJG524062:NJG524082 NTC524062:NTC524082 OCY524062:OCY524082 OMU524062:OMU524082 OWQ524062:OWQ524082 PGM524062:PGM524082 PQI524062:PQI524082 QAE524062:QAE524082 QKA524062:QKA524082 QTW524062:QTW524082 RDS524062:RDS524082 RNO524062:RNO524082 RXK524062:RXK524082 SHG524062:SHG524082 SRC524062:SRC524082 TAY524062:TAY524082 TKU524062:TKU524082 TUQ524062:TUQ524082 UEM524062:UEM524082 UOI524062:UOI524082 UYE524062:UYE524082 VIA524062:VIA524082 VRW524062:VRW524082 WBS524062:WBS524082 WLO524062:WLO524082 WVK524062:WVK524082 C589598:C589618 IY589598:IY589618 SU589598:SU589618 ACQ589598:ACQ589618 AMM589598:AMM589618 AWI589598:AWI589618 BGE589598:BGE589618 BQA589598:BQA589618 BZW589598:BZW589618 CJS589598:CJS589618 CTO589598:CTO589618 DDK589598:DDK589618 DNG589598:DNG589618 DXC589598:DXC589618 EGY589598:EGY589618 EQU589598:EQU589618 FAQ589598:FAQ589618 FKM589598:FKM589618 FUI589598:FUI589618 GEE589598:GEE589618 GOA589598:GOA589618 GXW589598:GXW589618 HHS589598:HHS589618 HRO589598:HRO589618 IBK589598:IBK589618 ILG589598:ILG589618 IVC589598:IVC589618 JEY589598:JEY589618 JOU589598:JOU589618 JYQ589598:JYQ589618 KIM589598:KIM589618 KSI589598:KSI589618 LCE589598:LCE589618 LMA589598:LMA589618 LVW589598:LVW589618 MFS589598:MFS589618 MPO589598:MPO589618 MZK589598:MZK589618 NJG589598:NJG589618 NTC589598:NTC589618 OCY589598:OCY589618 OMU589598:OMU589618 OWQ589598:OWQ589618 PGM589598:PGM589618 PQI589598:PQI589618 QAE589598:QAE589618 QKA589598:QKA589618 QTW589598:QTW589618 RDS589598:RDS589618 RNO589598:RNO589618 RXK589598:RXK589618 SHG589598:SHG589618 SRC589598:SRC589618 TAY589598:TAY589618 TKU589598:TKU589618 TUQ589598:TUQ589618 UEM589598:UEM589618 UOI589598:UOI589618 UYE589598:UYE589618 VIA589598:VIA589618 VRW589598:VRW589618 WBS589598:WBS589618 WLO589598:WLO589618 WVK589598:WVK589618 C655134:C655154 IY655134:IY655154 SU655134:SU655154 ACQ655134:ACQ655154 AMM655134:AMM655154 AWI655134:AWI655154 BGE655134:BGE655154 BQA655134:BQA655154 BZW655134:BZW655154 CJS655134:CJS655154 CTO655134:CTO655154 DDK655134:DDK655154 DNG655134:DNG655154 DXC655134:DXC655154 EGY655134:EGY655154 EQU655134:EQU655154 FAQ655134:FAQ655154 FKM655134:FKM655154 FUI655134:FUI655154 GEE655134:GEE655154 GOA655134:GOA655154 GXW655134:GXW655154 HHS655134:HHS655154 HRO655134:HRO655154 IBK655134:IBK655154 ILG655134:ILG655154 IVC655134:IVC655154 JEY655134:JEY655154 JOU655134:JOU655154 JYQ655134:JYQ655154 KIM655134:KIM655154 KSI655134:KSI655154 LCE655134:LCE655154 LMA655134:LMA655154 LVW655134:LVW655154 MFS655134:MFS655154 MPO655134:MPO655154 MZK655134:MZK655154 NJG655134:NJG655154 NTC655134:NTC655154 OCY655134:OCY655154 OMU655134:OMU655154 OWQ655134:OWQ655154 PGM655134:PGM655154 PQI655134:PQI655154 QAE655134:QAE655154 QKA655134:QKA655154 QTW655134:QTW655154 RDS655134:RDS655154 RNO655134:RNO655154 RXK655134:RXK655154 SHG655134:SHG655154 SRC655134:SRC655154 TAY655134:TAY655154 TKU655134:TKU655154 TUQ655134:TUQ655154 UEM655134:UEM655154 UOI655134:UOI655154 UYE655134:UYE655154 VIA655134:VIA655154 VRW655134:VRW655154 WBS655134:WBS655154 WLO655134:WLO655154 WVK655134:WVK655154 C720670:C720690 IY720670:IY720690 SU720670:SU720690 ACQ720670:ACQ720690 AMM720670:AMM720690 AWI720670:AWI720690 BGE720670:BGE720690 BQA720670:BQA720690 BZW720670:BZW720690 CJS720670:CJS720690 CTO720670:CTO720690 DDK720670:DDK720690 DNG720670:DNG720690 DXC720670:DXC720690 EGY720670:EGY720690 EQU720670:EQU720690 FAQ720670:FAQ720690 FKM720670:FKM720690 FUI720670:FUI720690 GEE720670:GEE720690 GOA720670:GOA720690 GXW720670:GXW720690 HHS720670:HHS720690 HRO720670:HRO720690 IBK720670:IBK720690 ILG720670:ILG720690 IVC720670:IVC720690 JEY720670:JEY720690 JOU720670:JOU720690 JYQ720670:JYQ720690 KIM720670:KIM720690 KSI720670:KSI720690 LCE720670:LCE720690 LMA720670:LMA720690 LVW720670:LVW720690 MFS720670:MFS720690 MPO720670:MPO720690 MZK720670:MZK720690 NJG720670:NJG720690 NTC720670:NTC720690 OCY720670:OCY720690 OMU720670:OMU720690 OWQ720670:OWQ720690 PGM720670:PGM720690 PQI720670:PQI720690 QAE720670:QAE720690 QKA720670:QKA720690 QTW720670:QTW720690 RDS720670:RDS720690 RNO720670:RNO720690 RXK720670:RXK720690 SHG720670:SHG720690 SRC720670:SRC720690 TAY720670:TAY720690 TKU720670:TKU720690 TUQ720670:TUQ720690 UEM720670:UEM720690 UOI720670:UOI720690 UYE720670:UYE720690 VIA720670:VIA720690 VRW720670:VRW720690 WBS720670:WBS720690 WLO720670:WLO720690 WVK720670:WVK720690 C786206:C786226 IY786206:IY786226 SU786206:SU786226 ACQ786206:ACQ786226 AMM786206:AMM786226 AWI786206:AWI786226 BGE786206:BGE786226 BQA786206:BQA786226 BZW786206:BZW786226 CJS786206:CJS786226 CTO786206:CTO786226 DDK786206:DDK786226 DNG786206:DNG786226 DXC786206:DXC786226 EGY786206:EGY786226 EQU786206:EQU786226 FAQ786206:FAQ786226 FKM786206:FKM786226 FUI786206:FUI786226 GEE786206:GEE786226 GOA786206:GOA786226 GXW786206:GXW786226 HHS786206:HHS786226 HRO786206:HRO786226 IBK786206:IBK786226 ILG786206:ILG786226 IVC786206:IVC786226 JEY786206:JEY786226 JOU786206:JOU786226 JYQ786206:JYQ786226 KIM786206:KIM786226 KSI786206:KSI786226 LCE786206:LCE786226 LMA786206:LMA786226 LVW786206:LVW786226 MFS786206:MFS786226 MPO786206:MPO786226 MZK786206:MZK786226 NJG786206:NJG786226 NTC786206:NTC786226 OCY786206:OCY786226 OMU786206:OMU786226 OWQ786206:OWQ786226 PGM786206:PGM786226 PQI786206:PQI786226 QAE786206:QAE786226 QKA786206:QKA786226 QTW786206:QTW786226 RDS786206:RDS786226 RNO786206:RNO786226 RXK786206:RXK786226 SHG786206:SHG786226 SRC786206:SRC786226 TAY786206:TAY786226 TKU786206:TKU786226 TUQ786206:TUQ786226 UEM786206:UEM786226 UOI786206:UOI786226 UYE786206:UYE786226 VIA786206:VIA786226 VRW786206:VRW786226 WBS786206:WBS786226 WLO786206:WLO786226 WVK786206:WVK786226 C851742:C851762 IY851742:IY851762 SU851742:SU851762 ACQ851742:ACQ851762 AMM851742:AMM851762 AWI851742:AWI851762 BGE851742:BGE851762 BQA851742:BQA851762 BZW851742:BZW851762 CJS851742:CJS851762 CTO851742:CTO851762 DDK851742:DDK851762 DNG851742:DNG851762 DXC851742:DXC851762 EGY851742:EGY851762 EQU851742:EQU851762 FAQ851742:FAQ851762 FKM851742:FKM851762 FUI851742:FUI851762 GEE851742:GEE851762 GOA851742:GOA851762 GXW851742:GXW851762 HHS851742:HHS851762 HRO851742:HRO851762 IBK851742:IBK851762 ILG851742:ILG851762 IVC851742:IVC851762 JEY851742:JEY851762 JOU851742:JOU851762 JYQ851742:JYQ851762 KIM851742:KIM851762 KSI851742:KSI851762 LCE851742:LCE851762 LMA851742:LMA851762 LVW851742:LVW851762 MFS851742:MFS851762 MPO851742:MPO851762 MZK851742:MZK851762 NJG851742:NJG851762 NTC851742:NTC851762 OCY851742:OCY851762 OMU851742:OMU851762 OWQ851742:OWQ851762 PGM851742:PGM851762 PQI851742:PQI851762 QAE851742:QAE851762 QKA851742:QKA851762 QTW851742:QTW851762 RDS851742:RDS851762 RNO851742:RNO851762 RXK851742:RXK851762 SHG851742:SHG851762 SRC851742:SRC851762 TAY851742:TAY851762 TKU851742:TKU851762 TUQ851742:TUQ851762 UEM851742:UEM851762 UOI851742:UOI851762 UYE851742:UYE851762 VIA851742:VIA851762 VRW851742:VRW851762 WBS851742:WBS851762 WLO851742:WLO851762 WVK851742:WVK851762 C917278:C917298 IY917278:IY917298 SU917278:SU917298 ACQ917278:ACQ917298 AMM917278:AMM917298 AWI917278:AWI917298 BGE917278:BGE917298 BQA917278:BQA917298 BZW917278:BZW917298 CJS917278:CJS917298 CTO917278:CTO917298 DDK917278:DDK917298 DNG917278:DNG917298 DXC917278:DXC917298 EGY917278:EGY917298 EQU917278:EQU917298 FAQ917278:FAQ917298 FKM917278:FKM917298 FUI917278:FUI917298 GEE917278:GEE917298 GOA917278:GOA917298 GXW917278:GXW917298 HHS917278:HHS917298 HRO917278:HRO917298 IBK917278:IBK917298 ILG917278:ILG917298 IVC917278:IVC917298 JEY917278:JEY917298 JOU917278:JOU917298 JYQ917278:JYQ917298 KIM917278:KIM917298 KSI917278:KSI917298 LCE917278:LCE917298 LMA917278:LMA917298 LVW917278:LVW917298 MFS917278:MFS917298 MPO917278:MPO917298 MZK917278:MZK917298 NJG917278:NJG917298 NTC917278:NTC917298 OCY917278:OCY917298 OMU917278:OMU917298 OWQ917278:OWQ917298 PGM917278:PGM917298 PQI917278:PQI917298 QAE917278:QAE917298 QKA917278:QKA917298 QTW917278:QTW917298 RDS917278:RDS917298 RNO917278:RNO917298 RXK917278:RXK917298 SHG917278:SHG917298 SRC917278:SRC917298 TAY917278:TAY917298 TKU917278:TKU917298 TUQ917278:TUQ917298 UEM917278:UEM917298 UOI917278:UOI917298 UYE917278:UYE917298 VIA917278:VIA917298 VRW917278:VRW917298 WBS917278:WBS917298 WLO917278:WLO917298 WVK917278:WVK917298 C982814:C982834 IY982814:IY982834 SU982814:SU982834 ACQ982814:ACQ982834 AMM982814:AMM982834 AWI982814:AWI982834 BGE982814:BGE982834 BQA982814:BQA982834 BZW982814:BZW982834 CJS982814:CJS982834 CTO982814:CTO982834 DDK982814:DDK982834 DNG982814:DNG982834 DXC982814:DXC982834 EGY982814:EGY982834 EQU982814:EQU982834 FAQ982814:FAQ982834 FKM982814:FKM982834 FUI982814:FUI982834 GEE982814:GEE982834 GOA982814:GOA982834 GXW982814:GXW982834 HHS982814:HHS982834 HRO982814:HRO982834 IBK982814:IBK982834 ILG982814:ILG982834 IVC982814:IVC982834 JEY982814:JEY982834 JOU982814:JOU982834 JYQ982814:JYQ982834 KIM982814:KIM982834 KSI982814:KSI982834 LCE982814:LCE982834 LMA982814:LMA982834 LVW982814:LVW982834 MFS982814:MFS982834 MPO982814:MPO982834 MZK982814:MZK982834 NJG982814:NJG982834 NTC982814:NTC982834 OCY982814:OCY982834 OMU982814:OMU982834 OWQ982814:OWQ982834 PGM982814:PGM982834 PQI982814:PQI982834 QAE982814:QAE982834 QKA982814:QKA982834 QTW982814:QTW982834 RDS982814:RDS982834 RNO982814:RNO982834 RXK982814:RXK982834 SHG982814:SHG982834 SRC982814:SRC982834 TAY982814:TAY982834 TKU982814:TKU982834 TUQ982814:TUQ982834 UEM982814:UEM982834 UOI982814:UOI982834 UYE982814:UYE982834 VIA982814:VIA982834 VRW982814:VRW982834 WBS982814:WBS982834 WLO982814:WLO982834 WVK982814:WVK982834 C65350:C65357 IY65350:IY65357 SU65350:SU65357 ACQ65350:ACQ65357 AMM65350:AMM65357 AWI65350:AWI65357 BGE65350:BGE65357 BQA65350:BQA65357 BZW65350:BZW65357 CJS65350:CJS65357 CTO65350:CTO65357 DDK65350:DDK65357 DNG65350:DNG65357 DXC65350:DXC65357 EGY65350:EGY65357 EQU65350:EQU65357 FAQ65350:FAQ65357 FKM65350:FKM65357 FUI65350:FUI65357 GEE65350:GEE65357 GOA65350:GOA65357 GXW65350:GXW65357 HHS65350:HHS65357 HRO65350:HRO65357 IBK65350:IBK65357 ILG65350:ILG65357 IVC65350:IVC65357 JEY65350:JEY65357 JOU65350:JOU65357 JYQ65350:JYQ65357 KIM65350:KIM65357 KSI65350:KSI65357 LCE65350:LCE65357 LMA65350:LMA65357 LVW65350:LVW65357 MFS65350:MFS65357 MPO65350:MPO65357 MZK65350:MZK65357 NJG65350:NJG65357 NTC65350:NTC65357 OCY65350:OCY65357 OMU65350:OMU65357 OWQ65350:OWQ65357 PGM65350:PGM65357 PQI65350:PQI65357 QAE65350:QAE65357 QKA65350:QKA65357 QTW65350:QTW65357 RDS65350:RDS65357 RNO65350:RNO65357 RXK65350:RXK65357 SHG65350:SHG65357 SRC65350:SRC65357 TAY65350:TAY65357 TKU65350:TKU65357 TUQ65350:TUQ65357 UEM65350:UEM65357 UOI65350:UOI65357 UYE65350:UYE65357 VIA65350:VIA65357 VRW65350:VRW65357 WBS65350:WBS65357 WLO65350:WLO65357 WVK65350:WVK65357 C130886:C130893 IY130886:IY130893 SU130886:SU130893 ACQ130886:ACQ130893 AMM130886:AMM130893 AWI130886:AWI130893 BGE130886:BGE130893 BQA130886:BQA130893 BZW130886:BZW130893 CJS130886:CJS130893 CTO130886:CTO130893 DDK130886:DDK130893 DNG130886:DNG130893 DXC130886:DXC130893 EGY130886:EGY130893 EQU130886:EQU130893 FAQ130886:FAQ130893 FKM130886:FKM130893 FUI130886:FUI130893 GEE130886:GEE130893 GOA130886:GOA130893 GXW130886:GXW130893 HHS130886:HHS130893 HRO130886:HRO130893 IBK130886:IBK130893 ILG130886:ILG130893 IVC130886:IVC130893 JEY130886:JEY130893 JOU130886:JOU130893 JYQ130886:JYQ130893 KIM130886:KIM130893 KSI130886:KSI130893 LCE130886:LCE130893 LMA130886:LMA130893 LVW130886:LVW130893 MFS130886:MFS130893 MPO130886:MPO130893 MZK130886:MZK130893 NJG130886:NJG130893 NTC130886:NTC130893 OCY130886:OCY130893 OMU130886:OMU130893 OWQ130886:OWQ130893 PGM130886:PGM130893 PQI130886:PQI130893 QAE130886:QAE130893 QKA130886:QKA130893 QTW130886:QTW130893 RDS130886:RDS130893 RNO130886:RNO130893 RXK130886:RXK130893 SHG130886:SHG130893 SRC130886:SRC130893 TAY130886:TAY130893 TKU130886:TKU130893 TUQ130886:TUQ130893 UEM130886:UEM130893 UOI130886:UOI130893 UYE130886:UYE130893 VIA130886:VIA130893 VRW130886:VRW130893 WBS130886:WBS130893 WLO130886:WLO130893 WVK130886:WVK130893 C196422:C196429 IY196422:IY196429 SU196422:SU196429 ACQ196422:ACQ196429 AMM196422:AMM196429 AWI196422:AWI196429 BGE196422:BGE196429 BQA196422:BQA196429 BZW196422:BZW196429 CJS196422:CJS196429 CTO196422:CTO196429 DDK196422:DDK196429 DNG196422:DNG196429 DXC196422:DXC196429 EGY196422:EGY196429 EQU196422:EQU196429 FAQ196422:FAQ196429 FKM196422:FKM196429 FUI196422:FUI196429 GEE196422:GEE196429 GOA196422:GOA196429 GXW196422:GXW196429 HHS196422:HHS196429 HRO196422:HRO196429 IBK196422:IBK196429 ILG196422:ILG196429 IVC196422:IVC196429 JEY196422:JEY196429 JOU196422:JOU196429 JYQ196422:JYQ196429 KIM196422:KIM196429 KSI196422:KSI196429 LCE196422:LCE196429 LMA196422:LMA196429 LVW196422:LVW196429 MFS196422:MFS196429 MPO196422:MPO196429 MZK196422:MZK196429 NJG196422:NJG196429 NTC196422:NTC196429 OCY196422:OCY196429 OMU196422:OMU196429 OWQ196422:OWQ196429 PGM196422:PGM196429 PQI196422:PQI196429 QAE196422:QAE196429 QKA196422:QKA196429 QTW196422:QTW196429 RDS196422:RDS196429 RNO196422:RNO196429 RXK196422:RXK196429 SHG196422:SHG196429 SRC196422:SRC196429 TAY196422:TAY196429 TKU196422:TKU196429 TUQ196422:TUQ196429 UEM196422:UEM196429 UOI196422:UOI196429 UYE196422:UYE196429 VIA196422:VIA196429 VRW196422:VRW196429 WBS196422:WBS196429 WLO196422:WLO196429 WVK196422:WVK196429 C261958:C261965 IY261958:IY261965 SU261958:SU261965 ACQ261958:ACQ261965 AMM261958:AMM261965 AWI261958:AWI261965 BGE261958:BGE261965 BQA261958:BQA261965 BZW261958:BZW261965 CJS261958:CJS261965 CTO261958:CTO261965 DDK261958:DDK261965 DNG261958:DNG261965 DXC261958:DXC261965 EGY261958:EGY261965 EQU261958:EQU261965 FAQ261958:FAQ261965 FKM261958:FKM261965 FUI261958:FUI261965 GEE261958:GEE261965 GOA261958:GOA261965 GXW261958:GXW261965 HHS261958:HHS261965 HRO261958:HRO261965 IBK261958:IBK261965 ILG261958:ILG261965 IVC261958:IVC261965 JEY261958:JEY261965 JOU261958:JOU261965 JYQ261958:JYQ261965 KIM261958:KIM261965 KSI261958:KSI261965 LCE261958:LCE261965 LMA261958:LMA261965 LVW261958:LVW261965 MFS261958:MFS261965 MPO261958:MPO261965 MZK261958:MZK261965 NJG261958:NJG261965 NTC261958:NTC261965 OCY261958:OCY261965 OMU261958:OMU261965 OWQ261958:OWQ261965 PGM261958:PGM261965 PQI261958:PQI261965 QAE261958:QAE261965 QKA261958:QKA261965 QTW261958:QTW261965 RDS261958:RDS261965 RNO261958:RNO261965 RXK261958:RXK261965 SHG261958:SHG261965 SRC261958:SRC261965 TAY261958:TAY261965 TKU261958:TKU261965 TUQ261958:TUQ261965 UEM261958:UEM261965 UOI261958:UOI261965 UYE261958:UYE261965 VIA261958:VIA261965 VRW261958:VRW261965 WBS261958:WBS261965 WLO261958:WLO261965 WVK261958:WVK261965 C327494:C327501 IY327494:IY327501 SU327494:SU327501 ACQ327494:ACQ327501 AMM327494:AMM327501 AWI327494:AWI327501 BGE327494:BGE327501 BQA327494:BQA327501 BZW327494:BZW327501 CJS327494:CJS327501 CTO327494:CTO327501 DDK327494:DDK327501 DNG327494:DNG327501 DXC327494:DXC327501 EGY327494:EGY327501 EQU327494:EQU327501 FAQ327494:FAQ327501 FKM327494:FKM327501 FUI327494:FUI327501 GEE327494:GEE327501 GOA327494:GOA327501 GXW327494:GXW327501 HHS327494:HHS327501 HRO327494:HRO327501 IBK327494:IBK327501 ILG327494:ILG327501 IVC327494:IVC327501 JEY327494:JEY327501 JOU327494:JOU327501 JYQ327494:JYQ327501 KIM327494:KIM327501 KSI327494:KSI327501 LCE327494:LCE327501 LMA327494:LMA327501 LVW327494:LVW327501 MFS327494:MFS327501 MPO327494:MPO327501 MZK327494:MZK327501 NJG327494:NJG327501 NTC327494:NTC327501 OCY327494:OCY327501 OMU327494:OMU327501 OWQ327494:OWQ327501 PGM327494:PGM327501 PQI327494:PQI327501 QAE327494:QAE327501 QKA327494:QKA327501 QTW327494:QTW327501 RDS327494:RDS327501 RNO327494:RNO327501 RXK327494:RXK327501 SHG327494:SHG327501 SRC327494:SRC327501 TAY327494:TAY327501 TKU327494:TKU327501 TUQ327494:TUQ327501 UEM327494:UEM327501 UOI327494:UOI327501 UYE327494:UYE327501 VIA327494:VIA327501 VRW327494:VRW327501 WBS327494:WBS327501 WLO327494:WLO327501 WVK327494:WVK327501 C393030:C393037 IY393030:IY393037 SU393030:SU393037 ACQ393030:ACQ393037 AMM393030:AMM393037 AWI393030:AWI393037 BGE393030:BGE393037 BQA393030:BQA393037 BZW393030:BZW393037 CJS393030:CJS393037 CTO393030:CTO393037 DDK393030:DDK393037 DNG393030:DNG393037 DXC393030:DXC393037 EGY393030:EGY393037 EQU393030:EQU393037 FAQ393030:FAQ393037 FKM393030:FKM393037 FUI393030:FUI393037 GEE393030:GEE393037 GOA393030:GOA393037 GXW393030:GXW393037 HHS393030:HHS393037 HRO393030:HRO393037 IBK393030:IBK393037 ILG393030:ILG393037 IVC393030:IVC393037 JEY393030:JEY393037 JOU393030:JOU393037 JYQ393030:JYQ393037 KIM393030:KIM393037 KSI393030:KSI393037 LCE393030:LCE393037 LMA393030:LMA393037 LVW393030:LVW393037 MFS393030:MFS393037 MPO393030:MPO393037 MZK393030:MZK393037 NJG393030:NJG393037 NTC393030:NTC393037 OCY393030:OCY393037 OMU393030:OMU393037 OWQ393030:OWQ393037 PGM393030:PGM393037 PQI393030:PQI393037 QAE393030:QAE393037 QKA393030:QKA393037 QTW393030:QTW393037 RDS393030:RDS393037 RNO393030:RNO393037 RXK393030:RXK393037 SHG393030:SHG393037 SRC393030:SRC393037 TAY393030:TAY393037 TKU393030:TKU393037 TUQ393030:TUQ393037 UEM393030:UEM393037 UOI393030:UOI393037 UYE393030:UYE393037 VIA393030:VIA393037 VRW393030:VRW393037 WBS393030:WBS393037 WLO393030:WLO393037 WVK393030:WVK393037 C458566:C458573 IY458566:IY458573 SU458566:SU458573 ACQ458566:ACQ458573 AMM458566:AMM458573 AWI458566:AWI458573 BGE458566:BGE458573 BQA458566:BQA458573 BZW458566:BZW458573 CJS458566:CJS458573 CTO458566:CTO458573 DDK458566:DDK458573 DNG458566:DNG458573 DXC458566:DXC458573 EGY458566:EGY458573 EQU458566:EQU458573 FAQ458566:FAQ458573 FKM458566:FKM458573 FUI458566:FUI458573 GEE458566:GEE458573 GOA458566:GOA458573 GXW458566:GXW458573 HHS458566:HHS458573 HRO458566:HRO458573 IBK458566:IBK458573 ILG458566:ILG458573 IVC458566:IVC458573 JEY458566:JEY458573 JOU458566:JOU458573 JYQ458566:JYQ458573 KIM458566:KIM458573 KSI458566:KSI458573 LCE458566:LCE458573 LMA458566:LMA458573 LVW458566:LVW458573 MFS458566:MFS458573 MPO458566:MPO458573 MZK458566:MZK458573 NJG458566:NJG458573 NTC458566:NTC458573 OCY458566:OCY458573 OMU458566:OMU458573 OWQ458566:OWQ458573 PGM458566:PGM458573 PQI458566:PQI458573 QAE458566:QAE458573 QKA458566:QKA458573 QTW458566:QTW458573 RDS458566:RDS458573 RNO458566:RNO458573 RXK458566:RXK458573 SHG458566:SHG458573 SRC458566:SRC458573 TAY458566:TAY458573 TKU458566:TKU458573 TUQ458566:TUQ458573 UEM458566:UEM458573 UOI458566:UOI458573 UYE458566:UYE458573 VIA458566:VIA458573 VRW458566:VRW458573 WBS458566:WBS458573 WLO458566:WLO458573 WVK458566:WVK458573 C524102:C524109 IY524102:IY524109 SU524102:SU524109 ACQ524102:ACQ524109 AMM524102:AMM524109 AWI524102:AWI524109 BGE524102:BGE524109 BQA524102:BQA524109 BZW524102:BZW524109 CJS524102:CJS524109 CTO524102:CTO524109 DDK524102:DDK524109 DNG524102:DNG524109 DXC524102:DXC524109 EGY524102:EGY524109 EQU524102:EQU524109 FAQ524102:FAQ524109 FKM524102:FKM524109 FUI524102:FUI524109 GEE524102:GEE524109 GOA524102:GOA524109 GXW524102:GXW524109 HHS524102:HHS524109 HRO524102:HRO524109 IBK524102:IBK524109 ILG524102:ILG524109 IVC524102:IVC524109 JEY524102:JEY524109 JOU524102:JOU524109 JYQ524102:JYQ524109 KIM524102:KIM524109 KSI524102:KSI524109 LCE524102:LCE524109 LMA524102:LMA524109 LVW524102:LVW524109 MFS524102:MFS524109 MPO524102:MPO524109 MZK524102:MZK524109 NJG524102:NJG524109 NTC524102:NTC524109 OCY524102:OCY524109 OMU524102:OMU524109 OWQ524102:OWQ524109 PGM524102:PGM524109 PQI524102:PQI524109 QAE524102:QAE524109 QKA524102:QKA524109 QTW524102:QTW524109 RDS524102:RDS524109 RNO524102:RNO524109 RXK524102:RXK524109 SHG524102:SHG524109 SRC524102:SRC524109 TAY524102:TAY524109 TKU524102:TKU524109 TUQ524102:TUQ524109 UEM524102:UEM524109 UOI524102:UOI524109 UYE524102:UYE524109 VIA524102:VIA524109 VRW524102:VRW524109 WBS524102:WBS524109 WLO524102:WLO524109 WVK524102:WVK524109 C589638:C589645 IY589638:IY589645 SU589638:SU589645 ACQ589638:ACQ589645 AMM589638:AMM589645 AWI589638:AWI589645 BGE589638:BGE589645 BQA589638:BQA589645 BZW589638:BZW589645 CJS589638:CJS589645 CTO589638:CTO589645 DDK589638:DDK589645 DNG589638:DNG589645 DXC589638:DXC589645 EGY589638:EGY589645 EQU589638:EQU589645 FAQ589638:FAQ589645 FKM589638:FKM589645 FUI589638:FUI589645 GEE589638:GEE589645 GOA589638:GOA589645 GXW589638:GXW589645 HHS589638:HHS589645 HRO589638:HRO589645 IBK589638:IBK589645 ILG589638:ILG589645 IVC589638:IVC589645 JEY589638:JEY589645 JOU589638:JOU589645 JYQ589638:JYQ589645 KIM589638:KIM589645 KSI589638:KSI589645 LCE589638:LCE589645 LMA589638:LMA589645 LVW589638:LVW589645 MFS589638:MFS589645 MPO589638:MPO589645 MZK589638:MZK589645 NJG589638:NJG589645 NTC589638:NTC589645 OCY589638:OCY589645 OMU589638:OMU589645 OWQ589638:OWQ589645 PGM589638:PGM589645 PQI589638:PQI589645 QAE589638:QAE589645 QKA589638:QKA589645 QTW589638:QTW589645 RDS589638:RDS589645 RNO589638:RNO589645 RXK589638:RXK589645 SHG589638:SHG589645 SRC589638:SRC589645 TAY589638:TAY589645 TKU589638:TKU589645 TUQ589638:TUQ589645 UEM589638:UEM589645 UOI589638:UOI589645 UYE589638:UYE589645 VIA589638:VIA589645 VRW589638:VRW589645 WBS589638:WBS589645 WLO589638:WLO589645 WVK589638:WVK589645 C655174:C655181 IY655174:IY655181 SU655174:SU655181 ACQ655174:ACQ655181 AMM655174:AMM655181 AWI655174:AWI655181 BGE655174:BGE655181 BQA655174:BQA655181 BZW655174:BZW655181 CJS655174:CJS655181 CTO655174:CTO655181 DDK655174:DDK655181 DNG655174:DNG655181 DXC655174:DXC655181 EGY655174:EGY655181 EQU655174:EQU655181 FAQ655174:FAQ655181 FKM655174:FKM655181 FUI655174:FUI655181 GEE655174:GEE655181 GOA655174:GOA655181 GXW655174:GXW655181 HHS655174:HHS655181 HRO655174:HRO655181 IBK655174:IBK655181 ILG655174:ILG655181 IVC655174:IVC655181 JEY655174:JEY655181 JOU655174:JOU655181 JYQ655174:JYQ655181 KIM655174:KIM655181 KSI655174:KSI655181 LCE655174:LCE655181 LMA655174:LMA655181 LVW655174:LVW655181 MFS655174:MFS655181 MPO655174:MPO655181 MZK655174:MZK655181 NJG655174:NJG655181 NTC655174:NTC655181 OCY655174:OCY655181 OMU655174:OMU655181 OWQ655174:OWQ655181 PGM655174:PGM655181 PQI655174:PQI655181 QAE655174:QAE655181 QKA655174:QKA655181 QTW655174:QTW655181 RDS655174:RDS655181 RNO655174:RNO655181 RXK655174:RXK655181 SHG655174:SHG655181 SRC655174:SRC655181 TAY655174:TAY655181 TKU655174:TKU655181 TUQ655174:TUQ655181 UEM655174:UEM655181 UOI655174:UOI655181 UYE655174:UYE655181 VIA655174:VIA655181 VRW655174:VRW655181 WBS655174:WBS655181 WLO655174:WLO655181 WVK655174:WVK655181 C720710:C720717 IY720710:IY720717 SU720710:SU720717 ACQ720710:ACQ720717 AMM720710:AMM720717 AWI720710:AWI720717 BGE720710:BGE720717 BQA720710:BQA720717 BZW720710:BZW720717 CJS720710:CJS720717 CTO720710:CTO720717 DDK720710:DDK720717 DNG720710:DNG720717 DXC720710:DXC720717 EGY720710:EGY720717 EQU720710:EQU720717 FAQ720710:FAQ720717 FKM720710:FKM720717 FUI720710:FUI720717 GEE720710:GEE720717 GOA720710:GOA720717 GXW720710:GXW720717 HHS720710:HHS720717 HRO720710:HRO720717 IBK720710:IBK720717 ILG720710:ILG720717 IVC720710:IVC720717 JEY720710:JEY720717 JOU720710:JOU720717 JYQ720710:JYQ720717 KIM720710:KIM720717 KSI720710:KSI720717 LCE720710:LCE720717 LMA720710:LMA720717 LVW720710:LVW720717 MFS720710:MFS720717 MPO720710:MPO720717 MZK720710:MZK720717 NJG720710:NJG720717 NTC720710:NTC720717 OCY720710:OCY720717 OMU720710:OMU720717 OWQ720710:OWQ720717 PGM720710:PGM720717 PQI720710:PQI720717 QAE720710:QAE720717 QKA720710:QKA720717 QTW720710:QTW720717 RDS720710:RDS720717 RNO720710:RNO720717 RXK720710:RXK720717 SHG720710:SHG720717 SRC720710:SRC720717 TAY720710:TAY720717 TKU720710:TKU720717 TUQ720710:TUQ720717 UEM720710:UEM720717 UOI720710:UOI720717 UYE720710:UYE720717 VIA720710:VIA720717 VRW720710:VRW720717 WBS720710:WBS720717 WLO720710:WLO720717 WVK720710:WVK720717 C786246:C786253 IY786246:IY786253 SU786246:SU786253 ACQ786246:ACQ786253 AMM786246:AMM786253 AWI786246:AWI786253 BGE786246:BGE786253 BQA786246:BQA786253 BZW786246:BZW786253 CJS786246:CJS786253 CTO786246:CTO786253 DDK786246:DDK786253 DNG786246:DNG786253 DXC786246:DXC786253 EGY786246:EGY786253 EQU786246:EQU786253 FAQ786246:FAQ786253 FKM786246:FKM786253 FUI786246:FUI786253 GEE786246:GEE786253 GOA786246:GOA786253 GXW786246:GXW786253 HHS786246:HHS786253 HRO786246:HRO786253 IBK786246:IBK786253 ILG786246:ILG786253 IVC786246:IVC786253 JEY786246:JEY786253 JOU786246:JOU786253 JYQ786246:JYQ786253 KIM786246:KIM786253 KSI786246:KSI786253 LCE786246:LCE786253 LMA786246:LMA786253 LVW786246:LVW786253 MFS786246:MFS786253 MPO786246:MPO786253 MZK786246:MZK786253 NJG786246:NJG786253 NTC786246:NTC786253 OCY786246:OCY786253 OMU786246:OMU786253 OWQ786246:OWQ786253 PGM786246:PGM786253 PQI786246:PQI786253 QAE786246:QAE786253 QKA786246:QKA786253 QTW786246:QTW786253 RDS786246:RDS786253 RNO786246:RNO786253 RXK786246:RXK786253 SHG786246:SHG786253 SRC786246:SRC786253 TAY786246:TAY786253 TKU786246:TKU786253 TUQ786246:TUQ786253 UEM786246:UEM786253 UOI786246:UOI786253 UYE786246:UYE786253 VIA786246:VIA786253 VRW786246:VRW786253 WBS786246:WBS786253 WLO786246:WLO786253 WVK786246:WVK786253 C851782:C851789 IY851782:IY851789 SU851782:SU851789 ACQ851782:ACQ851789 AMM851782:AMM851789 AWI851782:AWI851789 BGE851782:BGE851789 BQA851782:BQA851789 BZW851782:BZW851789 CJS851782:CJS851789 CTO851782:CTO851789 DDK851782:DDK851789 DNG851782:DNG851789 DXC851782:DXC851789 EGY851782:EGY851789 EQU851782:EQU851789 FAQ851782:FAQ851789 FKM851782:FKM851789 FUI851782:FUI851789 GEE851782:GEE851789 GOA851782:GOA851789 GXW851782:GXW851789 HHS851782:HHS851789 HRO851782:HRO851789 IBK851782:IBK851789 ILG851782:ILG851789 IVC851782:IVC851789 JEY851782:JEY851789 JOU851782:JOU851789 JYQ851782:JYQ851789 KIM851782:KIM851789 KSI851782:KSI851789 LCE851782:LCE851789 LMA851782:LMA851789 LVW851782:LVW851789 MFS851782:MFS851789 MPO851782:MPO851789 MZK851782:MZK851789 NJG851782:NJG851789 NTC851782:NTC851789 OCY851782:OCY851789 OMU851782:OMU851789 OWQ851782:OWQ851789 PGM851782:PGM851789 PQI851782:PQI851789 QAE851782:QAE851789 QKA851782:QKA851789 QTW851782:QTW851789 RDS851782:RDS851789 RNO851782:RNO851789 RXK851782:RXK851789 SHG851782:SHG851789 SRC851782:SRC851789 TAY851782:TAY851789 TKU851782:TKU851789 TUQ851782:TUQ851789 UEM851782:UEM851789 UOI851782:UOI851789 UYE851782:UYE851789 VIA851782:VIA851789 VRW851782:VRW851789 WBS851782:WBS851789 WLO851782:WLO851789 WVK851782:WVK851789 C917318:C917325 IY917318:IY917325 SU917318:SU917325 ACQ917318:ACQ917325 AMM917318:AMM917325 AWI917318:AWI917325 BGE917318:BGE917325 BQA917318:BQA917325 BZW917318:BZW917325 CJS917318:CJS917325 CTO917318:CTO917325 DDK917318:DDK917325 DNG917318:DNG917325 DXC917318:DXC917325 EGY917318:EGY917325 EQU917318:EQU917325 FAQ917318:FAQ917325 FKM917318:FKM917325 FUI917318:FUI917325 GEE917318:GEE917325 GOA917318:GOA917325 GXW917318:GXW917325 HHS917318:HHS917325 HRO917318:HRO917325 IBK917318:IBK917325 ILG917318:ILG917325 IVC917318:IVC917325 JEY917318:JEY917325 JOU917318:JOU917325 JYQ917318:JYQ917325 KIM917318:KIM917325 KSI917318:KSI917325 LCE917318:LCE917325 LMA917318:LMA917325 LVW917318:LVW917325 MFS917318:MFS917325 MPO917318:MPO917325 MZK917318:MZK917325 NJG917318:NJG917325 NTC917318:NTC917325 OCY917318:OCY917325 OMU917318:OMU917325 OWQ917318:OWQ917325 PGM917318:PGM917325 PQI917318:PQI917325 QAE917318:QAE917325 QKA917318:QKA917325 QTW917318:QTW917325 RDS917318:RDS917325 RNO917318:RNO917325 RXK917318:RXK917325 SHG917318:SHG917325 SRC917318:SRC917325 TAY917318:TAY917325 TKU917318:TKU917325 TUQ917318:TUQ917325 UEM917318:UEM917325 UOI917318:UOI917325 UYE917318:UYE917325 VIA917318:VIA917325 VRW917318:VRW917325 WBS917318:WBS917325 WLO917318:WLO917325 WVK917318:WVK917325 C982854:C982861 IY982854:IY982861 SU982854:SU982861 ACQ982854:ACQ982861 AMM982854:AMM982861 AWI982854:AWI982861 BGE982854:BGE982861 BQA982854:BQA982861 BZW982854:BZW982861 CJS982854:CJS982861 CTO982854:CTO982861 DDK982854:DDK982861 DNG982854:DNG982861 DXC982854:DXC982861 EGY982854:EGY982861 EQU982854:EQU982861 FAQ982854:FAQ982861 FKM982854:FKM982861 FUI982854:FUI982861 GEE982854:GEE982861 GOA982854:GOA982861 GXW982854:GXW982861 HHS982854:HHS982861 HRO982854:HRO982861 IBK982854:IBK982861 ILG982854:ILG982861 IVC982854:IVC982861 JEY982854:JEY982861 JOU982854:JOU982861 JYQ982854:JYQ982861 KIM982854:KIM982861 KSI982854:KSI982861 LCE982854:LCE982861 LMA982854:LMA982861 LVW982854:LVW982861 MFS982854:MFS982861 MPO982854:MPO982861 MZK982854:MZK982861 NJG982854:NJG982861 NTC982854:NTC982861 OCY982854:OCY982861 OMU982854:OMU982861 OWQ982854:OWQ982861 PGM982854:PGM982861 PQI982854:PQI982861 QAE982854:QAE982861 QKA982854:QKA982861 QTW982854:QTW982861 RDS982854:RDS982861 RNO982854:RNO982861 RXK982854:RXK982861 SHG982854:SHG982861 SRC982854:SRC982861 TAY982854:TAY982861 TKU982854:TKU982861 TUQ982854:TUQ982861 UEM982854:UEM982861 UOI982854:UOI982861 UYE982854:UYE982861 VIA982854:VIA982861 VRW982854:VRW982861 WBS982854:WBS982861 WLO982854:WLO982861 WVK982854:WVK982861 C65359:C65379 IY65359:IY65379 SU65359:SU65379 ACQ65359:ACQ65379 AMM65359:AMM65379 AWI65359:AWI65379 BGE65359:BGE65379 BQA65359:BQA65379 BZW65359:BZW65379 CJS65359:CJS65379 CTO65359:CTO65379 DDK65359:DDK65379 DNG65359:DNG65379 DXC65359:DXC65379 EGY65359:EGY65379 EQU65359:EQU65379 FAQ65359:FAQ65379 FKM65359:FKM65379 FUI65359:FUI65379 GEE65359:GEE65379 GOA65359:GOA65379 GXW65359:GXW65379 HHS65359:HHS65379 HRO65359:HRO65379 IBK65359:IBK65379 ILG65359:ILG65379 IVC65359:IVC65379 JEY65359:JEY65379 JOU65359:JOU65379 JYQ65359:JYQ65379 KIM65359:KIM65379 KSI65359:KSI65379 LCE65359:LCE65379 LMA65359:LMA65379 LVW65359:LVW65379 MFS65359:MFS65379 MPO65359:MPO65379 MZK65359:MZK65379 NJG65359:NJG65379 NTC65359:NTC65379 OCY65359:OCY65379 OMU65359:OMU65379 OWQ65359:OWQ65379 PGM65359:PGM65379 PQI65359:PQI65379 QAE65359:QAE65379 QKA65359:QKA65379 QTW65359:QTW65379 RDS65359:RDS65379 RNO65359:RNO65379 RXK65359:RXK65379 SHG65359:SHG65379 SRC65359:SRC65379 TAY65359:TAY65379 TKU65359:TKU65379 TUQ65359:TUQ65379 UEM65359:UEM65379 UOI65359:UOI65379 UYE65359:UYE65379 VIA65359:VIA65379 VRW65359:VRW65379 WBS65359:WBS65379 WLO65359:WLO65379 WVK65359:WVK65379 C130895:C130915 IY130895:IY130915 SU130895:SU130915 ACQ130895:ACQ130915 AMM130895:AMM130915 AWI130895:AWI130915 BGE130895:BGE130915 BQA130895:BQA130915 BZW130895:BZW130915 CJS130895:CJS130915 CTO130895:CTO130915 DDK130895:DDK130915 DNG130895:DNG130915 DXC130895:DXC130915 EGY130895:EGY130915 EQU130895:EQU130915 FAQ130895:FAQ130915 FKM130895:FKM130915 FUI130895:FUI130915 GEE130895:GEE130915 GOA130895:GOA130915 GXW130895:GXW130915 HHS130895:HHS130915 HRO130895:HRO130915 IBK130895:IBK130915 ILG130895:ILG130915 IVC130895:IVC130915 JEY130895:JEY130915 JOU130895:JOU130915 JYQ130895:JYQ130915 KIM130895:KIM130915 KSI130895:KSI130915 LCE130895:LCE130915 LMA130895:LMA130915 LVW130895:LVW130915 MFS130895:MFS130915 MPO130895:MPO130915 MZK130895:MZK130915 NJG130895:NJG130915 NTC130895:NTC130915 OCY130895:OCY130915 OMU130895:OMU130915 OWQ130895:OWQ130915 PGM130895:PGM130915 PQI130895:PQI130915 QAE130895:QAE130915 QKA130895:QKA130915 QTW130895:QTW130915 RDS130895:RDS130915 RNO130895:RNO130915 RXK130895:RXK130915 SHG130895:SHG130915 SRC130895:SRC130915 TAY130895:TAY130915 TKU130895:TKU130915 TUQ130895:TUQ130915 UEM130895:UEM130915 UOI130895:UOI130915 UYE130895:UYE130915 VIA130895:VIA130915 VRW130895:VRW130915 WBS130895:WBS130915 WLO130895:WLO130915 WVK130895:WVK130915 C196431:C196451 IY196431:IY196451 SU196431:SU196451 ACQ196431:ACQ196451 AMM196431:AMM196451 AWI196431:AWI196451 BGE196431:BGE196451 BQA196431:BQA196451 BZW196431:BZW196451 CJS196431:CJS196451 CTO196431:CTO196451 DDK196431:DDK196451 DNG196431:DNG196451 DXC196431:DXC196451 EGY196431:EGY196451 EQU196431:EQU196451 FAQ196431:FAQ196451 FKM196431:FKM196451 FUI196431:FUI196451 GEE196431:GEE196451 GOA196431:GOA196451 GXW196431:GXW196451 HHS196431:HHS196451 HRO196431:HRO196451 IBK196431:IBK196451 ILG196431:ILG196451 IVC196431:IVC196451 JEY196431:JEY196451 JOU196431:JOU196451 JYQ196431:JYQ196451 KIM196431:KIM196451 KSI196431:KSI196451 LCE196431:LCE196451 LMA196431:LMA196451 LVW196431:LVW196451 MFS196431:MFS196451 MPO196431:MPO196451 MZK196431:MZK196451 NJG196431:NJG196451 NTC196431:NTC196451 OCY196431:OCY196451 OMU196431:OMU196451 OWQ196431:OWQ196451 PGM196431:PGM196451 PQI196431:PQI196451 QAE196431:QAE196451 QKA196431:QKA196451 QTW196431:QTW196451 RDS196431:RDS196451 RNO196431:RNO196451 RXK196431:RXK196451 SHG196431:SHG196451 SRC196431:SRC196451 TAY196431:TAY196451 TKU196431:TKU196451 TUQ196431:TUQ196451 UEM196431:UEM196451 UOI196431:UOI196451 UYE196431:UYE196451 VIA196431:VIA196451 VRW196431:VRW196451 WBS196431:WBS196451 WLO196431:WLO196451 WVK196431:WVK196451 C261967:C261987 IY261967:IY261987 SU261967:SU261987 ACQ261967:ACQ261987 AMM261967:AMM261987 AWI261967:AWI261987 BGE261967:BGE261987 BQA261967:BQA261987 BZW261967:BZW261987 CJS261967:CJS261987 CTO261967:CTO261987 DDK261967:DDK261987 DNG261967:DNG261987 DXC261967:DXC261987 EGY261967:EGY261987 EQU261967:EQU261987 FAQ261967:FAQ261987 FKM261967:FKM261987 FUI261967:FUI261987 GEE261967:GEE261987 GOA261967:GOA261987 GXW261967:GXW261987 HHS261967:HHS261987 HRO261967:HRO261987 IBK261967:IBK261987 ILG261967:ILG261987 IVC261967:IVC261987 JEY261967:JEY261987 JOU261967:JOU261987 JYQ261967:JYQ261987 KIM261967:KIM261987 KSI261967:KSI261987 LCE261967:LCE261987 LMA261967:LMA261987 LVW261967:LVW261987 MFS261967:MFS261987 MPO261967:MPO261987 MZK261967:MZK261987 NJG261967:NJG261987 NTC261967:NTC261987 OCY261967:OCY261987 OMU261967:OMU261987 OWQ261967:OWQ261987 PGM261967:PGM261987 PQI261967:PQI261987 QAE261967:QAE261987 QKA261967:QKA261987 QTW261967:QTW261987 RDS261967:RDS261987 RNO261967:RNO261987 RXK261967:RXK261987 SHG261967:SHG261987 SRC261967:SRC261987 TAY261967:TAY261987 TKU261967:TKU261987 TUQ261967:TUQ261987 UEM261967:UEM261987 UOI261967:UOI261987 UYE261967:UYE261987 VIA261967:VIA261987 VRW261967:VRW261987 WBS261967:WBS261987 WLO261967:WLO261987 WVK261967:WVK261987 C327503:C327523 IY327503:IY327523 SU327503:SU327523 ACQ327503:ACQ327523 AMM327503:AMM327523 AWI327503:AWI327523 BGE327503:BGE327523 BQA327503:BQA327523 BZW327503:BZW327523 CJS327503:CJS327523 CTO327503:CTO327523 DDK327503:DDK327523 DNG327503:DNG327523 DXC327503:DXC327523 EGY327503:EGY327523 EQU327503:EQU327523 FAQ327503:FAQ327523 FKM327503:FKM327523 FUI327503:FUI327523 GEE327503:GEE327523 GOA327503:GOA327523 GXW327503:GXW327523 HHS327503:HHS327523 HRO327503:HRO327523 IBK327503:IBK327523 ILG327503:ILG327523 IVC327503:IVC327523 JEY327503:JEY327523 JOU327503:JOU327523 JYQ327503:JYQ327523 KIM327503:KIM327523 KSI327503:KSI327523 LCE327503:LCE327523 LMA327503:LMA327523 LVW327503:LVW327523 MFS327503:MFS327523 MPO327503:MPO327523 MZK327503:MZK327523 NJG327503:NJG327523 NTC327503:NTC327523 OCY327503:OCY327523 OMU327503:OMU327523 OWQ327503:OWQ327523 PGM327503:PGM327523 PQI327503:PQI327523 QAE327503:QAE327523 QKA327503:QKA327523 QTW327503:QTW327523 RDS327503:RDS327523 RNO327503:RNO327523 RXK327503:RXK327523 SHG327503:SHG327523 SRC327503:SRC327523 TAY327503:TAY327523 TKU327503:TKU327523 TUQ327503:TUQ327523 UEM327503:UEM327523 UOI327503:UOI327523 UYE327503:UYE327523 VIA327503:VIA327523 VRW327503:VRW327523 WBS327503:WBS327523 WLO327503:WLO327523 WVK327503:WVK327523 C393039:C393059 IY393039:IY393059 SU393039:SU393059 ACQ393039:ACQ393059 AMM393039:AMM393059 AWI393039:AWI393059 BGE393039:BGE393059 BQA393039:BQA393059 BZW393039:BZW393059 CJS393039:CJS393059 CTO393039:CTO393059 DDK393039:DDK393059 DNG393039:DNG393059 DXC393039:DXC393059 EGY393039:EGY393059 EQU393039:EQU393059 FAQ393039:FAQ393059 FKM393039:FKM393059 FUI393039:FUI393059 GEE393039:GEE393059 GOA393039:GOA393059 GXW393039:GXW393059 HHS393039:HHS393059 HRO393039:HRO393059 IBK393039:IBK393059 ILG393039:ILG393059 IVC393039:IVC393059 JEY393039:JEY393059 JOU393039:JOU393059 JYQ393039:JYQ393059 KIM393039:KIM393059 KSI393039:KSI393059 LCE393039:LCE393059 LMA393039:LMA393059 LVW393039:LVW393059 MFS393039:MFS393059 MPO393039:MPO393059 MZK393039:MZK393059 NJG393039:NJG393059 NTC393039:NTC393059 OCY393039:OCY393059 OMU393039:OMU393059 OWQ393039:OWQ393059 PGM393039:PGM393059 PQI393039:PQI393059 QAE393039:QAE393059 QKA393039:QKA393059 QTW393039:QTW393059 RDS393039:RDS393059 RNO393039:RNO393059 RXK393039:RXK393059 SHG393039:SHG393059 SRC393039:SRC393059 TAY393039:TAY393059 TKU393039:TKU393059 TUQ393039:TUQ393059 UEM393039:UEM393059 UOI393039:UOI393059 UYE393039:UYE393059 VIA393039:VIA393059 VRW393039:VRW393059 WBS393039:WBS393059 WLO393039:WLO393059 WVK393039:WVK393059 C458575:C458595 IY458575:IY458595 SU458575:SU458595 ACQ458575:ACQ458595 AMM458575:AMM458595 AWI458575:AWI458595 BGE458575:BGE458595 BQA458575:BQA458595 BZW458575:BZW458595 CJS458575:CJS458595 CTO458575:CTO458595 DDK458575:DDK458595 DNG458575:DNG458595 DXC458575:DXC458595 EGY458575:EGY458595 EQU458575:EQU458595 FAQ458575:FAQ458595 FKM458575:FKM458595 FUI458575:FUI458595 GEE458575:GEE458595 GOA458575:GOA458595 GXW458575:GXW458595 HHS458575:HHS458595 HRO458575:HRO458595 IBK458575:IBK458595 ILG458575:ILG458595 IVC458575:IVC458595 JEY458575:JEY458595 JOU458575:JOU458595 JYQ458575:JYQ458595 KIM458575:KIM458595 KSI458575:KSI458595 LCE458575:LCE458595 LMA458575:LMA458595 LVW458575:LVW458595 MFS458575:MFS458595 MPO458575:MPO458595 MZK458575:MZK458595 NJG458575:NJG458595 NTC458575:NTC458595 OCY458575:OCY458595 OMU458575:OMU458595 OWQ458575:OWQ458595 PGM458575:PGM458595 PQI458575:PQI458595 QAE458575:QAE458595 QKA458575:QKA458595 QTW458575:QTW458595 RDS458575:RDS458595 RNO458575:RNO458595 RXK458575:RXK458595 SHG458575:SHG458595 SRC458575:SRC458595 TAY458575:TAY458595 TKU458575:TKU458595 TUQ458575:TUQ458595 UEM458575:UEM458595 UOI458575:UOI458595 UYE458575:UYE458595 VIA458575:VIA458595 VRW458575:VRW458595 WBS458575:WBS458595 WLO458575:WLO458595 WVK458575:WVK458595 C524111:C524131 IY524111:IY524131 SU524111:SU524131 ACQ524111:ACQ524131 AMM524111:AMM524131 AWI524111:AWI524131 BGE524111:BGE524131 BQA524111:BQA524131 BZW524111:BZW524131 CJS524111:CJS524131 CTO524111:CTO524131 DDK524111:DDK524131 DNG524111:DNG524131 DXC524111:DXC524131 EGY524111:EGY524131 EQU524111:EQU524131 FAQ524111:FAQ524131 FKM524111:FKM524131 FUI524111:FUI524131 GEE524111:GEE524131 GOA524111:GOA524131 GXW524111:GXW524131 HHS524111:HHS524131 HRO524111:HRO524131 IBK524111:IBK524131 ILG524111:ILG524131 IVC524111:IVC524131 JEY524111:JEY524131 JOU524111:JOU524131 JYQ524111:JYQ524131 KIM524111:KIM524131 KSI524111:KSI524131 LCE524111:LCE524131 LMA524111:LMA524131 LVW524111:LVW524131 MFS524111:MFS524131 MPO524111:MPO524131 MZK524111:MZK524131 NJG524111:NJG524131 NTC524111:NTC524131 OCY524111:OCY524131 OMU524111:OMU524131 OWQ524111:OWQ524131 PGM524111:PGM524131 PQI524111:PQI524131 QAE524111:QAE524131 QKA524111:QKA524131 QTW524111:QTW524131 RDS524111:RDS524131 RNO524111:RNO524131 RXK524111:RXK524131 SHG524111:SHG524131 SRC524111:SRC524131 TAY524111:TAY524131 TKU524111:TKU524131 TUQ524111:TUQ524131 UEM524111:UEM524131 UOI524111:UOI524131 UYE524111:UYE524131 VIA524111:VIA524131 VRW524111:VRW524131 WBS524111:WBS524131 WLO524111:WLO524131 WVK524111:WVK524131 C589647:C589667 IY589647:IY589667 SU589647:SU589667 ACQ589647:ACQ589667 AMM589647:AMM589667 AWI589647:AWI589667 BGE589647:BGE589667 BQA589647:BQA589667 BZW589647:BZW589667 CJS589647:CJS589667 CTO589647:CTO589667 DDK589647:DDK589667 DNG589647:DNG589667 DXC589647:DXC589667 EGY589647:EGY589667 EQU589647:EQU589667 FAQ589647:FAQ589667 FKM589647:FKM589667 FUI589647:FUI589667 GEE589647:GEE589667 GOA589647:GOA589667 GXW589647:GXW589667 HHS589647:HHS589667 HRO589647:HRO589667 IBK589647:IBK589667 ILG589647:ILG589667 IVC589647:IVC589667 JEY589647:JEY589667 JOU589647:JOU589667 JYQ589647:JYQ589667 KIM589647:KIM589667 KSI589647:KSI589667 LCE589647:LCE589667 LMA589647:LMA589667 LVW589647:LVW589667 MFS589647:MFS589667 MPO589647:MPO589667 MZK589647:MZK589667 NJG589647:NJG589667 NTC589647:NTC589667 OCY589647:OCY589667 OMU589647:OMU589667 OWQ589647:OWQ589667 PGM589647:PGM589667 PQI589647:PQI589667 QAE589647:QAE589667 QKA589647:QKA589667 QTW589647:QTW589667 RDS589647:RDS589667 RNO589647:RNO589667 RXK589647:RXK589667 SHG589647:SHG589667 SRC589647:SRC589667 TAY589647:TAY589667 TKU589647:TKU589667 TUQ589647:TUQ589667 UEM589647:UEM589667 UOI589647:UOI589667 UYE589647:UYE589667 VIA589647:VIA589667 VRW589647:VRW589667 WBS589647:WBS589667 WLO589647:WLO589667 WVK589647:WVK589667 C655183:C655203 IY655183:IY655203 SU655183:SU655203 ACQ655183:ACQ655203 AMM655183:AMM655203 AWI655183:AWI655203 BGE655183:BGE655203 BQA655183:BQA655203 BZW655183:BZW655203 CJS655183:CJS655203 CTO655183:CTO655203 DDK655183:DDK655203 DNG655183:DNG655203 DXC655183:DXC655203 EGY655183:EGY655203 EQU655183:EQU655203 FAQ655183:FAQ655203 FKM655183:FKM655203 FUI655183:FUI655203 GEE655183:GEE655203 GOA655183:GOA655203 GXW655183:GXW655203 HHS655183:HHS655203 HRO655183:HRO655203 IBK655183:IBK655203 ILG655183:ILG655203 IVC655183:IVC655203 JEY655183:JEY655203 JOU655183:JOU655203 JYQ655183:JYQ655203 KIM655183:KIM655203 KSI655183:KSI655203 LCE655183:LCE655203 LMA655183:LMA655203 LVW655183:LVW655203 MFS655183:MFS655203 MPO655183:MPO655203 MZK655183:MZK655203 NJG655183:NJG655203 NTC655183:NTC655203 OCY655183:OCY655203 OMU655183:OMU655203 OWQ655183:OWQ655203 PGM655183:PGM655203 PQI655183:PQI655203 QAE655183:QAE655203 QKA655183:QKA655203 QTW655183:QTW655203 RDS655183:RDS655203 RNO655183:RNO655203 RXK655183:RXK655203 SHG655183:SHG655203 SRC655183:SRC655203 TAY655183:TAY655203 TKU655183:TKU655203 TUQ655183:TUQ655203 UEM655183:UEM655203 UOI655183:UOI655203 UYE655183:UYE655203 VIA655183:VIA655203 VRW655183:VRW655203 WBS655183:WBS655203 WLO655183:WLO655203 WVK655183:WVK655203 C720719:C720739 IY720719:IY720739 SU720719:SU720739 ACQ720719:ACQ720739 AMM720719:AMM720739 AWI720719:AWI720739 BGE720719:BGE720739 BQA720719:BQA720739 BZW720719:BZW720739 CJS720719:CJS720739 CTO720719:CTO720739 DDK720719:DDK720739 DNG720719:DNG720739 DXC720719:DXC720739 EGY720719:EGY720739 EQU720719:EQU720739 FAQ720719:FAQ720739 FKM720719:FKM720739 FUI720719:FUI720739 GEE720719:GEE720739 GOA720719:GOA720739 GXW720719:GXW720739 HHS720719:HHS720739 HRO720719:HRO720739 IBK720719:IBK720739 ILG720719:ILG720739 IVC720719:IVC720739 JEY720719:JEY720739 JOU720719:JOU720739 JYQ720719:JYQ720739 KIM720719:KIM720739 KSI720719:KSI720739 LCE720719:LCE720739 LMA720719:LMA720739 LVW720719:LVW720739 MFS720719:MFS720739 MPO720719:MPO720739 MZK720719:MZK720739 NJG720719:NJG720739 NTC720719:NTC720739 OCY720719:OCY720739 OMU720719:OMU720739 OWQ720719:OWQ720739 PGM720719:PGM720739 PQI720719:PQI720739 QAE720719:QAE720739 QKA720719:QKA720739 QTW720719:QTW720739 RDS720719:RDS720739 RNO720719:RNO720739 RXK720719:RXK720739 SHG720719:SHG720739 SRC720719:SRC720739 TAY720719:TAY720739 TKU720719:TKU720739 TUQ720719:TUQ720739 UEM720719:UEM720739 UOI720719:UOI720739 UYE720719:UYE720739 VIA720719:VIA720739 VRW720719:VRW720739 WBS720719:WBS720739 WLO720719:WLO720739 WVK720719:WVK720739 C786255:C786275 IY786255:IY786275 SU786255:SU786275 ACQ786255:ACQ786275 AMM786255:AMM786275 AWI786255:AWI786275 BGE786255:BGE786275 BQA786255:BQA786275 BZW786255:BZW786275 CJS786255:CJS786275 CTO786255:CTO786275 DDK786255:DDK786275 DNG786255:DNG786275 DXC786255:DXC786275 EGY786255:EGY786275 EQU786255:EQU786275 FAQ786255:FAQ786275 FKM786255:FKM786275 FUI786255:FUI786275 GEE786255:GEE786275 GOA786255:GOA786275 GXW786255:GXW786275 HHS786255:HHS786275 HRO786255:HRO786275 IBK786255:IBK786275 ILG786255:ILG786275 IVC786255:IVC786275 JEY786255:JEY786275 JOU786255:JOU786275 JYQ786255:JYQ786275 KIM786255:KIM786275 KSI786255:KSI786275 LCE786255:LCE786275 LMA786255:LMA786275 LVW786255:LVW786275 MFS786255:MFS786275 MPO786255:MPO786275 MZK786255:MZK786275 NJG786255:NJG786275 NTC786255:NTC786275 OCY786255:OCY786275 OMU786255:OMU786275 OWQ786255:OWQ786275 PGM786255:PGM786275 PQI786255:PQI786275 QAE786255:QAE786275 QKA786255:QKA786275 QTW786255:QTW786275 RDS786255:RDS786275 RNO786255:RNO786275 RXK786255:RXK786275 SHG786255:SHG786275 SRC786255:SRC786275 TAY786255:TAY786275 TKU786255:TKU786275 TUQ786255:TUQ786275 UEM786255:UEM786275 UOI786255:UOI786275 UYE786255:UYE786275 VIA786255:VIA786275 VRW786255:VRW786275 WBS786255:WBS786275 WLO786255:WLO786275 WVK786255:WVK786275 C851791:C851811 IY851791:IY851811 SU851791:SU851811 ACQ851791:ACQ851811 AMM851791:AMM851811 AWI851791:AWI851811 BGE851791:BGE851811 BQA851791:BQA851811 BZW851791:BZW851811 CJS851791:CJS851811 CTO851791:CTO851811 DDK851791:DDK851811 DNG851791:DNG851811 DXC851791:DXC851811 EGY851791:EGY851811 EQU851791:EQU851811 FAQ851791:FAQ851811 FKM851791:FKM851811 FUI851791:FUI851811 GEE851791:GEE851811 GOA851791:GOA851811 GXW851791:GXW851811 HHS851791:HHS851811 HRO851791:HRO851811 IBK851791:IBK851811 ILG851791:ILG851811 IVC851791:IVC851811 JEY851791:JEY851811 JOU851791:JOU851811 JYQ851791:JYQ851811 KIM851791:KIM851811 KSI851791:KSI851811 LCE851791:LCE851811 LMA851791:LMA851811 LVW851791:LVW851811 MFS851791:MFS851811 MPO851791:MPO851811 MZK851791:MZK851811 NJG851791:NJG851811 NTC851791:NTC851811 OCY851791:OCY851811 OMU851791:OMU851811 OWQ851791:OWQ851811 PGM851791:PGM851811 PQI851791:PQI851811 QAE851791:QAE851811 QKA851791:QKA851811 QTW851791:QTW851811 RDS851791:RDS851811 RNO851791:RNO851811 RXK851791:RXK851811 SHG851791:SHG851811 SRC851791:SRC851811 TAY851791:TAY851811 TKU851791:TKU851811 TUQ851791:TUQ851811 UEM851791:UEM851811 UOI851791:UOI851811 UYE851791:UYE851811 VIA851791:VIA851811 VRW851791:VRW851811 WBS851791:WBS851811 WLO851791:WLO851811 WVK851791:WVK851811 C917327:C917347 IY917327:IY917347 SU917327:SU917347 ACQ917327:ACQ917347 AMM917327:AMM917347 AWI917327:AWI917347 BGE917327:BGE917347 BQA917327:BQA917347 BZW917327:BZW917347 CJS917327:CJS917347 CTO917327:CTO917347 DDK917327:DDK917347 DNG917327:DNG917347 DXC917327:DXC917347 EGY917327:EGY917347 EQU917327:EQU917347 FAQ917327:FAQ917347 FKM917327:FKM917347 FUI917327:FUI917347 GEE917327:GEE917347 GOA917327:GOA917347 GXW917327:GXW917347 HHS917327:HHS917347 HRO917327:HRO917347 IBK917327:IBK917347 ILG917327:ILG917347 IVC917327:IVC917347 JEY917327:JEY917347 JOU917327:JOU917347 JYQ917327:JYQ917347 KIM917327:KIM917347 KSI917327:KSI917347 LCE917327:LCE917347 LMA917327:LMA917347 LVW917327:LVW917347 MFS917327:MFS917347 MPO917327:MPO917347 MZK917327:MZK917347 NJG917327:NJG917347 NTC917327:NTC917347 OCY917327:OCY917347 OMU917327:OMU917347 OWQ917327:OWQ917347 PGM917327:PGM917347 PQI917327:PQI917347 QAE917327:QAE917347 QKA917327:QKA917347 QTW917327:QTW917347 RDS917327:RDS917347 RNO917327:RNO917347 RXK917327:RXK917347 SHG917327:SHG917347 SRC917327:SRC917347 TAY917327:TAY917347 TKU917327:TKU917347 TUQ917327:TUQ917347 UEM917327:UEM917347 UOI917327:UOI917347 UYE917327:UYE917347 VIA917327:VIA917347 VRW917327:VRW917347 WBS917327:WBS917347 WLO917327:WLO917347 WVK917327:WVK917347 C982863:C982883 IY982863:IY982883 SU982863:SU982883 ACQ982863:ACQ982883 AMM982863:AMM982883 AWI982863:AWI982883 BGE982863:BGE982883 BQA982863:BQA982883 BZW982863:BZW982883 CJS982863:CJS982883 CTO982863:CTO982883 DDK982863:DDK982883 DNG982863:DNG982883 DXC982863:DXC982883 EGY982863:EGY982883 EQU982863:EQU982883 FAQ982863:FAQ982883 FKM982863:FKM982883 FUI982863:FUI982883 GEE982863:GEE982883 GOA982863:GOA982883 GXW982863:GXW982883 HHS982863:HHS982883 HRO982863:HRO982883 IBK982863:IBK982883 ILG982863:ILG982883 IVC982863:IVC982883 JEY982863:JEY982883 JOU982863:JOU982883 JYQ982863:JYQ982883 KIM982863:KIM982883 KSI982863:KSI982883 LCE982863:LCE982883 LMA982863:LMA982883 LVW982863:LVW982883 MFS982863:MFS982883 MPO982863:MPO982883 MZK982863:MZK982883 NJG982863:NJG982883 NTC982863:NTC982883 OCY982863:OCY982883 OMU982863:OMU982883 OWQ982863:OWQ982883 PGM982863:PGM982883 PQI982863:PQI982883 QAE982863:QAE982883 QKA982863:QKA982883 QTW982863:QTW982883 RDS982863:RDS982883 RNO982863:RNO982883 RXK982863:RXK982883 SHG982863:SHG982883 SRC982863:SRC982883 TAY982863:TAY982883 TKU982863:TKU982883 TUQ982863:TUQ982883 UEM982863:UEM982883 UOI982863:UOI982883 UYE982863:UYE982883 VIA982863:VIA982883 VRW982863:VRW982883 WBS982863:WBS982883 WLO982863:WLO982883 WVK982863:WVK982883 C65400:C65407 IY65400:IY65407 SU65400:SU65407 ACQ65400:ACQ65407 AMM65400:AMM65407 AWI65400:AWI65407 BGE65400:BGE65407 BQA65400:BQA65407 BZW65400:BZW65407 CJS65400:CJS65407 CTO65400:CTO65407 DDK65400:DDK65407 DNG65400:DNG65407 DXC65400:DXC65407 EGY65400:EGY65407 EQU65400:EQU65407 FAQ65400:FAQ65407 FKM65400:FKM65407 FUI65400:FUI65407 GEE65400:GEE65407 GOA65400:GOA65407 GXW65400:GXW65407 HHS65400:HHS65407 HRO65400:HRO65407 IBK65400:IBK65407 ILG65400:ILG65407 IVC65400:IVC65407 JEY65400:JEY65407 JOU65400:JOU65407 JYQ65400:JYQ65407 KIM65400:KIM65407 KSI65400:KSI65407 LCE65400:LCE65407 LMA65400:LMA65407 LVW65400:LVW65407 MFS65400:MFS65407 MPO65400:MPO65407 MZK65400:MZK65407 NJG65400:NJG65407 NTC65400:NTC65407 OCY65400:OCY65407 OMU65400:OMU65407 OWQ65400:OWQ65407 PGM65400:PGM65407 PQI65400:PQI65407 QAE65400:QAE65407 QKA65400:QKA65407 QTW65400:QTW65407 RDS65400:RDS65407 RNO65400:RNO65407 RXK65400:RXK65407 SHG65400:SHG65407 SRC65400:SRC65407 TAY65400:TAY65407 TKU65400:TKU65407 TUQ65400:TUQ65407 UEM65400:UEM65407 UOI65400:UOI65407 UYE65400:UYE65407 VIA65400:VIA65407 VRW65400:VRW65407 WBS65400:WBS65407 WLO65400:WLO65407 WVK65400:WVK65407 C130936:C130943 IY130936:IY130943 SU130936:SU130943 ACQ130936:ACQ130943 AMM130936:AMM130943 AWI130936:AWI130943 BGE130936:BGE130943 BQA130936:BQA130943 BZW130936:BZW130943 CJS130936:CJS130943 CTO130936:CTO130943 DDK130936:DDK130943 DNG130936:DNG130943 DXC130936:DXC130943 EGY130936:EGY130943 EQU130936:EQU130943 FAQ130936:FAQ130943 FKM130936:FKM130943 FUI130936:FUI130943 GEE130936:GEE130943 GOA130936:GOA130943 GXW130936:GXW130943 HHS130936:HHS130943 HRO130936:HRO130943 IBK130936:IBK130943 ILG130936:ILG130943 IVC130936:IVC130943 JEY130936:JEY130943 JOU130936:JOU130943 JYQ130936:JYQ130943 KIM130936:KIM130943 KSI130936:KSI130943 LCE130936:LCE130943 LMA130936:LMA130943 LVW130936:LVW130943 MFS130936:MFS130943 MPO130936:MPO130943 MZK130936:MZK130943 NJG130936:NJG130943 NTC130936:NTC130943 OCY130936:OCY130943 OMU130936:OMU130943 OWQ130936:OWQ130943 PGM130936:PGM130943 PQI130936:PQI130943 QAE130936:QAE130943 QKA130936:QKA130943 QTW130936:QTW130943 RDS130936:RDS130943 RNO130936:RNO130943 RXK130936:RXK130943 SHG130936:SHG130943 SRC130936:SRC130943 TAY130936:TAY130943 TKU130936:TKU130943 TUQ130936:TUQ130943 UEM130936:UEM130943 UOI130936:UOI130943 UYE130936:UYE130943 VIA130936:VIA130943 VRW130936:VRW130943 WBS130936:WBS130943 WLO130936:WLO130943 WVK130936:WVK130943 C196472:C196479 IY196472:IY196479 SU196472:SU196479 ACQ196472:ACQ196479 AMM196472:AMM196479 AWI196472:AWI196479 BGE196472:BGE196479 BQA196472:BQA196479 BZW196472:BZW196479 CJS196472:CJS196479 CTO196472:CTO196479 DDK196472:DDK196479 DNG196472:DNG196479 DXC196472:DXC196479 EGY196472:EGY196479 EQU196472:EQU196479 FAQ196472:FAQ196479 FKM196472:FKM196479 FUI196472:FUI196479 GEE196472:GEE196479 GOA196472:GOA196479 GXW196472:GXW196479 HHS196472:HHS196479 HRO196472:HRO196479 IBK196472:IBK196479 ILG196472:ILG196479 IVC196472:IVC196479 JEY196472:JEY196479 JOU196472:JOU196479 JYQ196472:JYQ196479 KIM196472:KIM196479 KSI196472:KSI196479 LCE196472:LCE196479 LMA196472:LMA196479 LVW196472:LVW196479 MFS196472:MFS196479 MPO196472:MPO196479 MZK196472:MZK196479 NJG196472:NJG196479 NTC196472:NTC196479 OCY196472:OCY196479 OMU196472:OMU196479 OWQ196472:OWQ196479 PGM196472:PGM196479 PQI196472:PQI196479 QAE196472:QAE196479 QKA196472:QKA196479 QTW196472:QTW196479 RDS196472:RDS196479 RNO196472:RNO196479 RXK196472:RXK196479 SHG196472:SHG196479 SRC196472:SRC196479 TAY196472:TAY196479 TKU196472:TKU196479 TUQ196472:TUQ196479 UEM196472:UEM196479 UOI196472:UOI196479 UYE196472:UYE196479 VIA196472:VIA196479 VRW196472:VRW196479 WBS196472:WBS196479 WLO196472:WLO196479 WVK196472:WVK196479 C262008:C262015 IY262008:IY262015 SU262008:SU262015 ACQ262008:ACQ262015 AMM262008:AMM262015 AWI262008:AWI262015 BGE262008:BGE262015 BQA262008:BQA262015 BZW262008:BZW262015 CJS262008:CJS262015 CTO262008:CTO262015 DDK262008:DDK262015 DNG262008:DNG262015 DXC262008:DXC262015 EGY262008:EGY262015 EQU262008:EQU262015 FAQ262008:FAQ262015 FKM262008:FKM262015 FUI262008:FUI262015 GEE262008:GEE262015 GOA262008:GOA262015 GXW262008:GXW262015 HHS262008:HHS262015 HRO262008:HRO262015 IBK262008:IBK262015 ILG262008:ILG262015 IVC262008:IVC262015 JEY262008:JEY262015 JOU262008:JOU262015 JYQ262008:JYQ262015 KIM262008:KIM262015 KSI262008:KSI262015 LCE262008:LCE262015 LMA262008:LMA262015 LVW262008:LVW262015 MFS262008:MFS262015 MPO262008:MPO262015 MZK262008:MZK262015 NJG262008:NJG262015 NTC262008:NTC262015 OCY262008:OCY262015 OMU262008:OMU262015 OWQ262008:OWQ262015 PGM262008:PGM262015 PQI262008:PQI262015 QAE262008:QAE262015 QKA262008:QKA262015 QTW262008:QTW262015 RDS262008:RDS262015 RNO262008:RNO262015 RXK262008:RXK262015 SHG262008:SHG262015 SRC262008:SRC262015 TAY262008:TAY262015 TKU262008:TKU262015 TUQ262008:TUQ262015 UEM262008:UEM262015 UOI262008:UOI262015 UYE262008:UYE262015 VIA262008:VIA262015 VRW262008:VRW262015 WBS262008:WBS262015 WLO262008:WLO262015 WVK262008:WVK262015 C327544:C327551 IY327544:IY327551 SU327544:SU327551 ACQ327544:ACQ327551 AMM327544:AMM327551 AWI327544:AWI327551 BGE327544:BGE327551 BQA327544:BQA327551 BZW327544:BZW327551 CJS327544:CJS327551 CTO327544:CTO327551 DDK327544:DDK327551 DNG327544:DNG327551 DXC327544:DXC327551 EGY327544:EGY327551 EQU327544:EQU327551 FAQ327544:FAQ327551 FKM327544:FKM327551 FUI327544:FUI327551 GEE327544:GEE327551 GOA327544:GOA327551 GXW327544:GXW327551 HHS327544:HHS327551 HRO327544:HRO327551 IBK327544:IBK327551 ILG327544:ILG327551 IVC327544:IVC327551 JEY327544:JEY327551 JOU327544:JOU327551 JYQ327544:JYQ327551 KIM327544:KIM327551 KSI327544:KSI327551 LCE327544:LCE327551 LMA327544:LMA327551 LVW327544:LVW327551 MFS327544:MFS327551 MPO327544:MPO327551 MZK327544:MZK327551 NJG327544:NJG327551 NTC327544:NTC327551 OCY327544:OCY327551 OMU327544:OMU327551 OWQ327544:OWQ327551 PGM327544:PGM327551 PQI327544:PQI327551 QAE327544:QAE327551 QKA327544:QKA327551 QTW327544:QTW327551 RDS327544:RDS327551 RNO327544:RNO327551 RXK327544:RXK327551 SHG327544:SHG327551 SRC327544:SRC327551 TAY327544:TAY327551 TKU327544:TKU327551 TUQ327544:TUQ327551 UEM327544:UEM327551 UOI327544:UOI327551 UYE327544:UYE327551 VIA327544:VIA327551 VRW327544:VRW327551 WBS327544:WBS327551 WLO327544:WLO327551 WVK327544:WVK327551 C393080:C393087 IY393080:IY393087 SU393080:SU393087 ACQ393080:ACQ393087 AMM393080:AMM393087 AWI393080:AWI393087 BGE393080:BGE393087 BQA393080:BQA393087 BZW393080:BZW393087 CJS393080:CJS393087 CTO393080:CTO393087 DDK393080:DDK393087 DNG393080:DNG393087 DXC393080:DXC393087 EGY393080:EGY393087 EQU393080:EQU393087 FAQ393080:FAQ393087 FKM393080:FKM393087 FUI393080:FUI393087 GEE393080:GEE393087 GOA393080:GOA393087 GXW393080:GXW393087 HHS393080:HHS393087 HRO393080:HRO393087 IBK393080:IBK393087 ILG393080:ILG393087 IVC393080:IVC393087 JEY393080:JEY393087 JOU393080:JOU393087 JYQ393080:JYQ393087 KIM393080:KIM393087 KSI393080:KSI393087 LCE393080:LCE393087 LMA393080:LMA393087 LVW393080:LVW393087 MFS393080:MFS393087 MPO393080:MPO393087 MZK393080:MZK393087 NJG393080:NJG393087 NTC393080:NTC393087 OCY393080:OCY393087 OMU393080:OMU393087 OWQ393080:OWQ393087 PGM393080:PGM393087 PQI393080:PQI393087 QAE393080:QAE393087 QKA393080:QKA393087 QTW393080:QTW393087 RDS393080:RDS393087 RNO393080:RNO393087 RXK393080:RXK393087 SHG393080:SHG393087 SRC393080:SRC393087 TAY393080:TAY393087 TKU393080:TKU393087 TUQ393080:TUQ393087 UEM393080:UEM393087 UOI393080:UOI393087 UYE393080:UYE393087 VIA393080:VIA393087 VRW393080:VRW393087 WBS393080:WBS393087 WLO393080:WLO393087 WVK393080:WVK393087 C458616:C458623 IY458616:IY458623 SU458616:SU458623 ACQ458616:ACQ458623 AMM458616:AMM458623 AWI458616:AWI458623 BGE458616:BGE458623 BQA458616:BQA458623 BZW458616:BZW458623 CJS458616:CJS458623 CTO458616:CTO458623 DDK458616:DDK458623 DNG458616:DNG458623 DXC458616:DXC458623 EGY458616:EGY458623 EQU458616:EQU458623 FAQ458616:FAQ458623 FKM458616:FKM458623 FUI458616:FUI458623 GEE458616:GEE458623 GOA458616:GOA458623 GXW458616:GXW458623 HHS458616:HHS458623 HRO458616:HRO458623 IBK458616:IBK458623 ILG458616:ILG458623 IVC458616:IVC458623 JEY458616:JEY458623 JOU458616:JOU458623 JYQ458616:JYQ458623 KIM458616:KIM458623 KSI458616:KSI458623 LCE458616:LCE458623 LMA458616:LMA458623 LVW458616:LVW458623 MFS458616:MFS458623 MPO458616:MPO458623 MZK458616:MZK458623 NJG458616:NJG458623 NTC458616:NTC458623 OCY458616:OCY458623 OMU458616:OMU458623 OWQ458616:OWQ458623 PGM458616:PGM458623 PQI458616:PQI458623 QAE458616:QAE458623 QKA458616:QKA458623 QTW458616:QTW458623 RDS458616:RDS458623 RNO458616:RNO458623 RXK458616:RXK458623 SHG458616:SHG458623 SRC458616:SRC458623 TAY458616:TAY458623 TKU458616:TKU458623 TUQ458616:TUQ458623 UEM458616:UEM458623 UOI458616:UOI458623 UYE458616:UYE458623 VIA458616:VIA458623 VRW458616:VRW458623 WBS458616:WBS458623 WLO458616:WLO458623 WVK458616:WVK458623 C524152:C524159 IY524152:IY524159 SU524152:SU524159 ACQ524152:ACQ524159 AMM524152:AMM524159 AWI524152:AWI524159 BGE524152:BGE524159 BQA524152:BQA524159 BZW524152:BZW524159 CJS524152:CJS524159 CTO524152:CTO524159 DDK524152:DDK524159 DNG524152:DNG524159 DXC524152:DXC524159 EGY524152:EGY524159 EQU524152:EQU524159 FAQ524152:FAQ524159 FKM524152:FKM524159 FUI524152:FUI524159 GEE524152:GEE524159 GOA524152:GOA524159 GXW524152:GXW524159 HHS524152:HHS524159 HRO524152:HRO524159 IBK524152:IBK524159 ILG524152:ILG524159 IVC524152:IVC524159 JEY524152:JEY524159 JOU524152:JOU524159 JYQ524152:JYQ524159 KIM524152:KIM524159 KSI524152:KSI524159 LCE524152:LCE524159 LMA524152:LMA524159 LVW524152:LVW524159 MFS524152:MFS524159 MPO524152:MPO524159 MZK524152:MZK524159 NJG524152:NJG524159 NTC524152:NTC524159 OCY524152:OCY524159 OMU524152:OMU524159 OWQ524152:OWQ524159 PGM524152:PGM524159 PQI524152:PQI524159 QAE524152:QAE524159 QKA524152:QKA524159 QTW524152:QTW524159 RDS524152:RDS524159 RNO524152:RNO524159 RXK524152:RXK524159 SHG524152:SHG524159 SRC524152:SRC524159 TAY524152:TAY524159 TKU524152:TKU524159 TUQ524152:TUQ524159 UEM524152:UEM524159 UOI524152:UOI524159 UYE524152:UYE524159 VIA524152:VIA524159 VRW524152:VRW524159 WBS524152:WBS524159 WLO524152:WLO524159 WVK524152:WVK524159 C589688:C589695 IY589688:IY589695 SU589688:SU589695 ACQ589688:ACQ589695 AMM589688:AMM589695 AWI589688:AWI589695 BGE589688:BGE589695 BQA589688:BQA589695 BZW589688:BZW589695 CJS589688:CJS589695 CTO589688:CTO589695 DDK589688:DDK589695 DNG589688:DNG589695 DXC589688:DXC589695 EGY589688:EGY589695 EQU589688:EQU589695 FAQ589688:FAQ589695 FKM589688:FKM589695 FUI589688:FUI589695 GEE589688:GEE589695 GOA589688:GOA589695 GXW589688:GXW589695 HHS589688:HHS589695 HRO589688:HRO589695 IBK589688:IBK589695 ILG589688:ILG589695 IVC589688:IVC589695 JEY589688:JEY589695 JOU589688:JOU589695 JYQ589688:JYQ589695 KIM589688:KIM589695 KSI589688:KSI589695 LCE589688:LCE589695 LMA589688:LMA589695 LVW589688:LVW589695 MFS589688:MFS589695 MPO589688:MPO589695 MZK589688:MZK589695 NJG589688:NJG589695 NTC589688:NTC589695 OCY589688:OCY589695 OMU589688:OMU589695 OWQ589688:OWQ589695 PGM589688:PGM589695 PQI589688:PQI589695 QAE589688:QAE589695 QKA589688:QKA589695 QTW589688:QTW589695 RDS589688:RDS589695 RNO589688:RNO589695 RXK589688:RXK589695 SHG589688:SHG589695 SRC589688:SRC589695 TAY589688:TAY589695 TKU589688:TKU589695 TUQ589688:TUQ589695 UEM589688:UEM589695 UOI589688:UOI589695 UYE589688:UYE589695 VIA589688:VIA589695 VRW589688:VRW589695 WBS589688:WBS589695 WLO589688:WLO589695 WVK589688:WVK589695 C655224:C655231 IY655224:IY655231 SU655224:SU655231 ACQ655224:ACQ655231 AMM655224:AMM655231 AWI655224:AWI655231 BGE655224:BGE655231 BQA655224:BQA655231 BZW655224:BZW655231 CJS655224:CJS655231 CTO655224:CTO655231 DDK655224:DDK655231 DNG655224:DNG655231 DXC655224:DXC655231 EGY655224:EGY655231 EQU655224:EQU655231 FAQ655224:FAQ655231 FKM655224:FKM655231 FUI655224:FUI655231 GEE655224:GEE655231 GOA655224:GOA655231 GXW655224:GXW655231 HHS655224:HHS655231 HRO655224:HRO655231 IBK655224:IBK655231 ILG655224:ILG655231 IVC655224:IVC655231 JEY655224:JEY655231 JOU655224:JOU655231 JYQ655224:JYQ655231 KIM655224:KIM655231 KSI655224:KSI655231 LCE655224:LCE655231 LMA655224:LMA655231 LVW655224:LVW655231 MFS655224:MFS655231 MPO655224:MPO655231 MZK655224:MZK655231 NJG655224:NJG655231 NTC655224:NTC655231 OCY655224:OCY655231 OMU655224:OMU655231 OWQ655224:OWQ655231 PGM655224:PGM655231 PQI655224:PQI655231 QAE655224:QAE655231 QKA655224:QKA655231 QTW655224:QTW655231 RDS655224:RDS655231 RNO655224:RNO655231 RXK655224:RXK655231 SHG655224:SHG655231 SRC655224:SRC655231 TAY655224:TAY655231 TKU655224:TKU655231 TUQ655224:TUQ655231 UEM655224:UEM655231 UOI655224:UOI655231 UYE655224:UYE655231 VIA655224:VIA655231 VRW655224:VRW655231 WBS655224:WBS655231 WLO655224:WLO655231 WVK655224:WVK655231 C720760:C720767 IY720760:IY720767 SU720760:SU720767 ACQ720760:ACQ720767 AMM720760:AMM720767 AWI720760:AWI720767 BGE720760:BGE720767 BQA720760:BQA720767 BZW720760:BZW720767 CJS720760:CJS720767 CTO720760:CTO720767 DDK720760:DDK720767 DNG720760:DNG720767 DXC720760:DXC720767 EGY720760:EGY720767 EQU720760:EQU720767 FAQ720760:FAQ720767 FKM720760:FKM720767 FUI720760:FUI720767 GEE720760:GEE720767 GOA720760:GOA720767 GXW720760:GXW720767 HHS720760:HHS720767 HRO720760:HRO720767 IBK720760:IBK720767 ILG720760:ILG720767 IVC720760:IVC720767 JEY720760:JEY720767 JOU720760:JOU720767 JYQ720760:JYQ720767 KIM720760:KIM720767 KSI720760:KSI720767 LCE720760:LCE720767 LMA720760:LMA720767 LVW720760:LVW720767 MFS720760:MFS720767 MPO720760:MPO720767 MZK720760:MZK720767 NJG720760:NJG720767 NTC720760:NTC720767 OCY720760:OCY720767 OMU720760:OMU720767 OWQ720760:OWQ720767 PGM720760:PGM720767 PQI720760:PQI720767 QAE720760:QAE720767 QKA720760:QKA720767 QTW720760:QTW720767 RDS720760:RDS720767 RNO720760:RNO720767 RXK720760:RXK720767 SHG720760:SHG720767 SRC720760:SRC720767 TAY720760:TAY720767 TKU720760:TKU720767 TUQ720760:TUQ720767 UEM720760:UEM720767 UOI720760:UOI720767 UYE720760:UYE720767 VIA720760:VIA720767 VRW720760:VRW720767 WBS720760:WBS720767 WLO720760:WLO720767 WVK720760:WVK720767 C786296:C786303 IY786296:IY786303 SU786296:SU786303 ACQ786296:ACQ786303 AMM786296:AMM786303 AWI786296:AWI786303 BGE786296:BGE786303 BQA786296:BQA786303 BZW786296:BZW786303 CJS786296:CJS786303 CTO786296:CTO786303 DDK786296:DDK786303 DNG786296:DNG786303 DXC786296:DXC786303 EGY786296:EGY786303 EQU786296:EQU786303 FAQ786296:FAQ786303 FKM786296:FKM786303 FUI786296:FUI786303 GEE786296:GEE786303 GOA786296:GOA786303 GXW786296:GXW786303 HHS786296:HHS786303 HRO786296:HRO786303 IBK786296:IBK786303 ILG786296:ILG786303 IVC786296:IVC786303 JEY786296:JEY786303 JOU786296:JOU786303 JYQ786296:JYQ786303 KIM786296:KIM786303 KSI786296:KSI786303 LCE786296:LCE786303 LMA786296:LMA786303 LVW786296:LVW786303 MFS786296:MFS786303 MPO786296:MPO786303 MZK786296:MZK786303 NJG786296:NJG786303 NTC786296:NTC786303 OCY786296:OCY786303 OMU786296:OMU786303 OWQ786296:OWQ786303 PGM786296:PGM786303 PQI786296:PQI786303 QAE786296:QAE786303 QKA786296:QKA786303 QTW786296:QTW786303 RDS786296:RDS786303 RNO786296:RNO786303 RXK786296:RXK786303 SHG786296:SHG786303 SRC786296:SRC786303 TAY786296:TAY786303 TKU786296:TKU786303 TUQ786296:TUQ786303 UEM786296:UEM786303 UOI786296:UOI786303 UYE786296:UYE786303 VIA786296:VIA786303 VRW786296:VRW786303 WBS786296:WBS786303 WLO786296:WLO786303 WVK786296:WVK786303 C851832:C851839 IY851832:IY851839 SU851832:SU851839 ACQ851832:ACQ851839 AMM851832:AMM851839 AWI851832:AWI851839 BGE851832:BGE851839 BQA851832:BQA851839 BZW851832:BZW851839 CJS851832:CJS851839 CTO851832:CTO851839 DDK851832:DDK851839 DNG851832:DNG851839 DXC851832:DXC851839 EGY851832:EGY851839 EQU851832:EQU851839 FAQ851832:FAQ851839 FKM851832:FKM851839 FUI851832:FUI851839 GEE851832:GEE851839 GOA851832:GOA851839 GXW851832:GXW851839 HHS851832:HHS851839 HRO851832:HRO851839 IBK851832:IBK851839 ILG851832:ILG851839 IVC851832:IVC851839 JEY851832:JEY851839 JOU851832:JOU851839 JYQ851832:JYQ851839 KIM851832:KIM851839 KSI851832:KSI851839 LCE851832:LCE851839 LMA851832:LMA851839 LVW851832:LVW851839 MFS851832:MFS851839 MPO851832:MPO851839 MZK851832:MZK851839 NJG851832:NJG851839 NTC851832:NTC851839 OCY851832:OCY851839 OMU851832:OMU851839 OWQ851832:OWQ851839 PGM851832:PGM851839 PQI851832:PQI851839 QAE851832:QAE851839 QKA851832:QKA851839 QTW851832:QTW851839 RDS851832:RDS851839 RNO851832:RNO851839 RXK851832:RXK851839 SHG851832:SHG851839 SRC851832:SRC851839 TAY851832:TAY851839 TKU851832:TKU851839 TUQ851832:TUQ851839 UEM851832:UEM851839 UOI851832:UOI851839 UYE851832:UYE851839 VIA851832:VIA851839 VRW851832:VRW851839 WBS851832:WBS851839 WLO851832:WLO851839 WVK851832:WVK851839 C917368:C917375 IY917368:IY917375 SU917368:SU917375 ACQ917368:ACQ917375 AMM917368:AMM917375 AWI917368:AWI917375 BGE917368:BGE917375 BQA917368:BQA917375 BZW917368:BZW917375 CJS917368:CJS917375 CTO917368:CTO917375 DDK917368:DDK917375 DNG917368:DNG917375 DXC917368:DXC917375 EGY917368:EGY917375 EQU917368:EQU917375 FAQ917368:FAQ917375 FKM917368:FKM917375 FUI917368:FUI917375 GEE917368:GEE917375 GOA917368:GOA917375 GXW917368:GXW917375 HHS917368:HHS917375 HRO917368:HRO917375 IBK917368:IBK917375 ILG917368:ILG917375 IVC917368:IVC917375 JEY917368:JEY917375 JOU917368:JOU917375 JYQ917368:JYQ917375 KIM917368:KIM917375 KSI917368:KSI917375 LCE917368:LCE917375 LMA917368:LMA917375 LVW917368:LVW917375 MFS917368:MFS917375 MPO917368:MPO917375 MZK917368:MZK917375 NJG917368:NJG917375 NTC917368:NTC917375 OCY917368:OCY917375 OMU917368:OMU917375 OWQ917368:OWQ917375 PGM917368:PGM917375 PQI917368:PQI917375 QAE917368:QAE917375 QKA917368:QKA917375 QTW917368:QTW917375 RDS917368:RDS917375 RNO917368:RNO917375 RXK917368:RXK917375 SHG917368:SHG917375 SRC917368:SRC917375 TAY917368:TAY917375 TKU917368:TKU917375 TUQ917368:TUQ917375 UEM917368:UEM917375 UOI917368:UOI917375 UYE917368:UYE917375 VIA917368:VIA917375 VRW917368:VRW917375 WBS917368:WBS917375 WLO917368:WLO917375 WVK917368:WVK917375 C982904:C982911 IY982904:IY982911 SU982904:SU982911 ACQ982904:ACQ982911 AMM982904:AMM982911 AWI982904:AWI982911 BGE982904:BGE982911 BQA982904:BQA982911 BZW982904:BZW982911 CJS982904:CJS982911 CTO982904:CTO982911 DDK982904:DDK982911 DNG982904:DNG982911 DXC982904:DXC982911 EGY982904:EGY982911 EQU982904:EQU982911 FAQ982904:FAQ982911 FKM982904:FKM982911 FUI982904:FUI982911 GEE982904:GEE982911 GOA982904:GOA982911 GXW982904:GXW982911 HHS982904:HHS982911 HRO982904:HRO982911 IBK982904:IBK982911 ILG982904:ILG982911 IVC982904:IVC982911 JEY982904:JEY982911 JOU982904:JOU982911 JYQ982904:JYQ982911 KIM982904:KIM982911 KSI982904:KSI982911 LCE982904:LCE982911 LMA982904:LMA982911 LVW982904:LVW982911 MFS982904:MFS982911 MPO982904:MPO982911 MZK982904:MZK982911 NJG982904:NJG982911 NTC982904:NTC982911 OCY982904:OCY982911 OMU982904:OMU982911 OWQ982904:OWQ982911 PGM982904:PGM982911 PQI982904:PQI982911 QAE982904:QAE982911 QKA982904:QKA982911 QTW982904:QTW982911 RDS982904:RDS982911 RNO982904:RNO982911 RXK982904:RXK982911 SHG982904:SHG982911 SRC982904:SRC982911 TAY982904:TAY982911 TKU982904:TKU982911 TUQ982904:TUQ982911 UEM982904:UEM982911 UOI982904:UOI982911 UYE982904:UYE982911 VIA982904:VIA982911 VRW982904:VRW982911 WBS982904:WBS982911 WLO982904:WLO982911 WVK982904:WVK982911 C65409:C65429 IY65409:IY65429 SU65409:SU65429 ACQ65409:ACQ65429 AMM65409:AMM65429 AWI65409:AWI65429 BGE65409:BGE65429 BQA65409:BQA65429 BZW65409:BZW65429 CJS65409:CJS65429 CTO65409:CTO65429 DDK65409:DDK65429 DNG65409:DNG65429 DXC65409:DXC65429 EGY65409:EGY65429 EQU65409:EQU65429 FAQ65409:FAQ65429 FKM65409:FKM65429 FUI65409:FUI65429 GEE65409:GEE65429 GOA65409:GOA65429 GXW65409:GXW65429 HHS65409:HHS65429 HRO65409:HRO65429 IBK65409:IBK65429 ILG65409:ILG65429 IVC65409:IVC65429 JEY65409:JEY65429 JOU65409:JOU65429 JYQ65409:JYQ65429 KIM65409:KIM65429 KSI65409:KSI65429 LCE65409:LCE65429 LMA65409:LMA65429 LVW65409:LVW65429 MFS65409:MFS65429 MPO65409:MPO65429 MZK65409:MZK65429 NJG65409:NJG65429 NTC65409:NTC65429 OCY65409:OCY65429 OMU65409:OMU65429 OWQ65409:OWQ65429 PGM65409:PGM65429 PQI65409:PQI65429 QAE65409:QAE65429 QKA65409:QKA65429 QTW65409:QTW65429 RDS65409:RDS65429 RNO65409:RNO65429 RXK65409:RXK65429 SHG65409:SHG65429 SRC65409:SRC65429 TAY65409:TAY65429 TKU65409:TKU65429 TUQ65409:TUQ65429 UEM65409:UEM65429 UOI65409:UOI65429 UYE65409:UYE65429 VIA65409:VIA65429 VRW65409:VRW65429 WBS65409:WBS65429 WLO65409:WLO65429 WVK65409:WVK65429 C130945:C130965 IY130945:IY130965 SU130945:SU130965 ACQ130945:ACQ130965 AMM130945:AMM130965 AWI130945:AWI130965 BGE130945:BGE130965 BQA130945:BQA130965 BZW130945:BZW130965 CJS130945:CJS130965 CTO130945:CTO130965 DDK130945:DDK130965 DNG130945:DNG130965 DXC130945:DXC130965 EGY130945:EGY130965 EQU130945:EQU130965 FAQ130945:FAQ130965 FKM130945:FKM130965 FUI130945:FUI130965 GEE130945:GEE130965 GOA130945:GOA130965 GXW130945:GXW130965 HHS130945:HHS130965 HRO130945:HRO130965 IBK130945:IBK130965 ILG130945:ILG130965 IVC130945:IVC130965 JEY130945:JEY130965 JOU130945:JOU130965 JYQ130945:JYQ130965 KIM130945:KIM130965 KSI130945:KSI130965 LCE130945:LCE130965 LMA130945:LMA130965 LVW130945:LVW130965 MFS130945:MFS130965 MPO130945:MPO130965 MZK130945:MZK130965 NJG130945:NJG130965 NTC130945:NTC130965 OCY130945:OCY130965 OMU130945:OMU130965 OWQ130945:OWQ130965 PGM130945:PGM130965 PQI130945:PQI130965 QAE130945:QAE130965 QKA130945:QKA130965 QTW130945:QTW130965 RDS130945:RDS130965 RNO130945:RNO130965 RXK130945:RXK130965 SHG130945:SHG130965 SRC130945:SRC130965 TAY130945:TAY130965 TKU130945:TKU130965 TUQ130945:TUQ130965 UEM130945:UEM130965 UOI130945:UOI130965 UYE130945:UYE130965 VIA130945:VIA130965 VRW130945:VRW130965 WBS130945:WBS130965 WLO130945:WLO130965 WVK130945:WVK130965 C196481:C196501 IY196481:IY196501 SU196481:SU196501 ACQ196481:ACQ196501 AMM196481:AMM196501 AWI196481:AWI196501 BGE196481:BGE196501 BQA196481:BQA196501 BZW196481:BZW196501 CJS196481:CJS196501 CTO196481:CTO196501 DDK196481:DDK196501 DNG196481:DNG196501 DXC196481:DXC196501 EGY196481:EGY196501 EQU196481:EQU196501 FAQ196481:FAQ196501 FKM196481:FKM196501 FUI196481:FUI196501 GEE196481:GEE196501 GOA196481:GOA196501 GXW196481:GXW196501 HHS196481:HHS196501 HRO196481:HRO196501 IBK196481:IBK196501 ILG196481:ILG196501 IVC196481:IVC196501 JEY196481:JEY196501 JOU196481:JOU196501 JYQ196481:JYQ196501 KIM196481:KIM196501 KSI196481:KSI196501 LCE196481:LCE196501 LMA196481:LMA196501 LVW196481:LVW196501 MFS196481:MFS196501 MPO196481:MPO196501 MZK196481:MZK196501 NJG196481:NJG196501 NTC196481:NTC196501 OCY196481:OCY196501 OMU196481:OMU196501 OWQ196481:OWQ196501 PGM196481:PGM196501 PQI196481:PQI196501 QAE196481:QAE196501 QKA196481:QKA196501 QTW196481:QTW196501 RDS196481:RDS196501 RNO196481:RNO196501 RXK196481:RXK196501 SHG196481:SHG196501 SRC196481:SRC196501 TAY196481:TAY196501 TKU196481:TKU196501 TUQ196481:TUQ196501 UEM196481:UEM196501 UOI196481:UOI196501 UYE196481:UYE196501 VIA196481:VIA196501 VRW196481:VRW196501 WBS196481:WBS196501 WLO196481:WLO196501 WVK196481:WVK196501 C262017:C262037 IY262017:IY262037 SU262017:SU262037 ACQ262017:ACQ262037 AMM262017:AMM262037 AWI262017:AWI262037 BGE262017:BGE262037 BQA262017:BQA262037 BZW262017:BZW262037 CJS262017:CJS262037 CTO262017:CTO262037 DDK262017:DDK262037 DNG262017:DNG262037 DXC262017:DXC262037 EGY262017:EGY262037 EQU262017:EQU262037 FAQ262017:FAQ262037 FKM262017:FKM262037 FUI262017:FUI262037 GEE262017:GEE262037 GOA262017:GOA262037 GXW262017:GXW262037 HHS262017:HHS262037 HRO262017:HRO262037 IBK262017:IBK262037 ILG262017:ILG262037 IVC262017:IVC262037 JEY262017:JEY262037 JOU262017:JOU262037 JYQ262017:JYQ262037 KIM262017:KIM262037 KSI262017:KSI262037 LCE262017:LCE262037 LMA262017:LMA262037 LVW262017:LVW262037 MFS262017:MFS262037 MPO262017:MPO262037 MZK262017:MZK262037 NJG262017:NJG262037 NTC262017:NTC262037 OCY262017:OCY262037 OMU262017:OMU262037 OWQ262017:OWQ262037 PGM262017:PGM262037 PQI262017:PQI262037 QAE262017:QAE262037 QKA262017:QKA262037 QTW262017:QTW262037 RDS262017:RDS262037 RNO262017:RNO262037 RXK262017:RXK262037 SHG262017:SHG262037 SRC262017:SRC262037 TAY262017:TAY262037 TKU262017:TKU262037 TUQ262017:TUQ262037 UEM262017:UEM262037 UOI262017:UOI262037 UYE262017:UYE262037 VIA262017:VIA262037 VRW262017:VRW262037 WBS262017:WBS262037 WLO262017:WLO262037 WVK262017:WVK262037 C327553:C327573 IY327553:IY327573 SU327553:SU327573 ACQ327553:ACQ327573 AMM327553:AMM327573 AWI327553:AWI327573 BGE327553:BGE327573 BQA327553:BQA327573 BZW327553:BZW327573 CJS327553:CJS327573 CTO327553:CTO327573 DDK327553:DDK327573 DNG327553:DNG327573 DXC327553:DXC327573 EGY327553:EGY327573 EQU327553:EQU327573 FAQ327553:FAQ327573 FKM327553:FKM327573 FUI327553:FUI327573 GEE327553:GEE327573 GOA327553:GOA327573 GXW327553:GXW327573 HHS327553:HHS327573 HRO327553:HRO327573 IBK327553:IBK327573 ILG327553:ILG327573 IVC327553:IVC327573 JEY327553:JEY327573 JOU327553:JOU327573 JYQ327553:JYQ327573 KIM327553:KIM327573 KSI327553:KSI327573 LCE327553:LCE327573 LMA327553:LMA327573 LVW327553:LVW327573 MFS327553:MFS327573 MPO327553:MPO327573 MZK327553:MZK327573 NJG327553:NJG327573 NTC327553:NTC327573 OCY327553:OCY327573 OMU327553:OMU327573 OWQ327553:OWQ327573 PGM327553:PGM327573 PQI327553:PQI327573 QAE327553:QAE327573 QKA327553:QKA327573 QTW327553:QTW327573 RDS327553:RDS327573 RNO327553:RNO327573 RXK327553:RXK327573 SHG327553:SHG327573 SRC327553:SRC327573 TAY327553:TAY327573 TKU327553:TKU327573 TUQ327553:TUQ327573 UEM327553:UEM327573 UOI327553:UOI327573 UYE327553:UYE327573 VIA327553:VIA327573 VRW327553:VRW327573 WBS327553:WBS327573 WLO327553:WLO327573 WVK327553:WVK327573 C393089:C393109 IY393089:IY393109 SU393089:SU393109 ACQ393089:ACQ393109 AMM393089:AMM393109 AWI393089:AWI393109 BGE393089:BGE393109 BQA393089:BQA393109 BZW393089:BZW393109 CJS393089:CJS393109 CTO393089:CTO393109 DDK393089:DDK393109 DNG393089:DNG393109 DXC393089:DXC393109 EGY393089:EGY393109 EQU393089:EQU393109 FAQ393089:FAQ393109 FKM393089:FKM393109 FUI393089:FUI393109 GEE393089:GEE393109 GOA393089:GOA393109 GXW393089:GXW393109 HHS393089:HHS393109 HRO393089:HRO393109 IBK393089:IBK393109 ILG393089:ILG393109 IVC393089:IVC393109 JEY393089:JEY393109 JOU393089:JOU393109 JYQ393089:JYQ393109 KIM393089:KIM393109 KSI393089:KSI393109 LCE393089:LCE393109 LMA393089:LMA393109 LVW393089:LVW393109 MFS393089:MFS393109 MPO393089:MPO393109 MZK393089:MZK393109 NJG393089:NJG393109 NTC393089:NTC393109 OCY393089:OCY393109 OMU393089:OMU393109 OWQ393089:OWQ393109 PGM393089:PGM393109 PQI393089:PQI393109 QAE393089:QAE393109 QKA393089:QKA393109 QTW393089:QTW393109 RDS393089:RDS393109 RNO393089:RNO393109 RXK393089:RXK393109 SHG393089:SHG393109 SRC393089:SRC393109 TAY393089:TAY393109 TKU393089:TKU393109 TUQ393089:TUQ393109 UEM393089:UEM393109 UOI393089:UOI393109 UYE393089:UYE393109 VIA393089:VIA393109 VRW393089:VRW393109 WBS393089:WBS393109 WLO393089:WLO393109 WVK393089:WVK393109 C458625:C458645 IY458625:IY458645 SU458625:SU458645 ACQ458625:ACQ458645 AMM458625:AMM458645 AWI458625:AWI458645 BGE458625:BGE458645 BQA458625:BQA458645 BZW458625:BZW458645 CJS458625:CJS458645 CTO458625:CTO458645 DDK458625:DDK458645 DNG458625:DNG458645 DXC458625:DXC458645 EGY458625:EGY458645 EQU458625:EQU458645 FAQ458625:FAQ458645 FKM458625:FKM458645 FUI458625:FUI458645 GEE458625:GEE458645 GOA458625:GOA458645 GXW458625:GXW458645 HHS458625:HHS458645 HRO458625:HRO458645 IBK458625:IBK458645 ILG458625:ILG458645 IVC458625:IVC458645 JEY458625:JEY458645 JOU458625:JOU458645 JYQ458625:JYQ458645 KIM458625:KIM458645 KSI458625:KSI458645 LCE458625:LCE458645 LMA458625:LMA458645 LVW458625:LVW458645 MFS458625:MFS458645 MPO458625:MPO458645 MZK458625:MZK458645 NJG458625:NJG458645 NTC458625:NTC458645 OCY458625:OCY458645 OMU458625:OMU458645 OWQ458625:OWQ458645 PGM458625:PGM458645 PQI458625:PQI458645 QAE458625:QAE458645 QKA458625:QKA458645 QTW458625:QTW458645 RDS458625:RDS458645 RNO458625:RNO458645 RXK458625:RXK458645 SHG458625:SHG458645 SRC458625:SRC458645 TAY458625:TAY458645 TKU458625:TKU458645 TUQ458625:TUQ458645 UEM458625:UEM458645 UOI458625:UOI458645 UYE458625:UYE458645 VIA458625:VIA458645 VRW458625:VRW458645 WBS458625:WBS458645 WLO458625:WLO458645 WVK458625:WVK458645 C524161:C524181 IY524161:IY524181 SU524161:SU524181 ACQ524161:ACQ524181 AMM524161:AMM524181 AWI524161:AWI524181 BGE524161:BGE524181 BQA524161:BQA524181 BZW524161:BZW524181 CJS524161:CJS524181 CTO524161:CTO524181 DDK524161:DDK524181 DNG524161:DNG524181 DXC524161:DXC524181 EGY524161:EGY524181 EQU524161:EQU524181 FAQ524161:FAQ524181 FKM524161:FKM524181 FUI524161:FUI524181 GEE524161:GEE524181 GOA524161:GOA524181 GXW524161:GXW524181 HHS524161:HHS524181 HRO524161:HRO524181 IBK524161:IBK524181 ILG524161:ILG524181 IVC524161:IVC524181 JEY524161:JEY524181 JOU524161:JOU524181 JYQ524161:JYQ524181 KIM524161:KIM524181 KSI524161:KSI524181 LCE524161:LCE524181 LMA524161:LMA524181 LVW524161:LVW524181 MFS524161:MFS524181 MPO524161:MPO524181 MZK524161:MZK524181 NJG524161:NJG524181 NTC524161:NTC524181 OCY524161:OCY524181 OMU524161:OMU524181 OWQ524161:OWQ524181 PGM524161:PGM524181 PQI524161:PQI524181 QAE524161:QAE524181 QKA524161:QKA524181 QTW524161:QTW524181 RDS524161:RDS524181 RNO524161:RNO524181 RXK524161:RXK524181 SHG524161:SHG524181 SRC524161:SRC524181 TAY524161:TAY524181 TKU524161:TKU524181 TUQ524161:TUQ524181 UEM524161:UEM524181 UOI524161:UOI524181 UYE524161:UYE524181 VIA524161:VIA524181 VRW524161:VRW524181 WBS524161:WBS524181 WLO524161:WLO524181 WVK524161:WVK524181 C589697:C589717 IY589697:IY589717 SU589697:SU589717 ACQ589697:ACQ589717 AMM589697:AMM589717 AWI589697:AWI589717 BGE589697:BGE589717 BQA589697:BQA589717 BZW589697:BZW589717 CJS589697:CJS589717 CTO589697:CTO589717 DDK589697:DDK589717 DNG589697:DNG589717 DXC589697:DXC589717 EGY589697:EGY589717 EQU589697:EQU589717 FAQ589697:FAQ589717 FKM589697:FKM589717 FUI589697:FUI589717 GEE589697:GEE589717 GOA589697:GOA589717 GXW589697:GXW589717 HHS589697:HHS589717 HRO589697:HRO589717 IBK589697:IBK589717 ILG589697:ILG589717 IVC589697:IVC589717 JEY589697:JEY589717 JOU589697:JOU589717 JYQ589697:JYQ589717 KIM589697:KIM589717 KSI589697:KSI589717 LCE589697:LCE589717 LMA589697:LMA589717 LVW589697:LVW589717 MFS589697:MFS589717 MPO589697:MPO589717 MZK589697:MZK589717 NJG589697:NJG589717 NTC589697:NTC589717 OCY589697:OCY589717 OMU589697:OMU589717 OWQ589697:OWQ589717 PGM589697:PGM589717 PQI589697:PQI589717 QAE589697:QAE589717 QKA589697:QKA589717 QTW589697:QTW589717 RDS589697:RDS589717 RNO589697:RNO589717 RXK589697:RXK589717 SHG589697:SHG589717 SRC589697:SRC589717 TAY589697:TAY589717 TKU589697:TKU589717 TUQ589697:TUQ589717 UEM589697:UEM589717 UOI589697:UOI589717 UYE589697:UYE589717 VIA589697:VIA589717 VRW589697:VRW589717 WBS589697:WBS589717 WLO589697:WLO589717 WVK589697:WVK589717 C655233:C655253 IY655233:IY655253 SU655233:SU655253 ACQ655233:ACQ655253 AMM655233:AMM655253 AWI655233:AWI655253 BGE655233:BGE655253 BQA655233:BQA655253 BZW655233:BZW655253 CJS655233:CJS655253 CTO655233:CTO655253 DDK655233:DDK655253 DNG655233:DNG655253 DXC655233:DXC655253 EGY655233:EGY655253 EQU655233:EQU655253 FAQ655233:FAQ655253 FKM655233:FKM655253 FUI655233:FUI655253 GEE655233:GEE655253 GOA655233:GOA655253 GXW655233:GXW655253 HHS655233:HHS655253 HRO655233:HRO655253 IBK655233:IBK655253 ILG655233:ILG655253 IVC655233:IVC655253 JEY655233:JEY655253 JOU655233:JOU655253 JYQ655233:JYQ655253 KIM655233:KIM655253 KSI655233:KSI655253 LCE655233:LCE655253 LMA655233:LMA655253 LVW655233:LVW655253 MFS655233:MFS655253 MPO655233:MPO655253 MZK655233:MZK655253 NJG655233:NJG655253 NTC655233:NTC655253 OCY655233:OCY655253 OMU655233:OMU655253 OWQ655233:OWQ655253 PGM655233:PGM655253 PQI655233:PQI655253 QAE655233:QAE655253 QKA655233:QKA655253 QTW655233:QTW655253 RDS655233:RDS655253 RNO655233:RNO655253 RXK655233:RXK655253 SHG655233:SHG655253 SRC655233:SRC655253 TAY655233:TAY655253 TKU655233:TKU655253 TUQ655233:TUQ655253 UEM655233:UEM655253 UOI655233:UOI655253 UYE655233:UYE655253 VIA655233:VIA655253 VRW655233:VRW655253 WBS655233:WBS655253 WLO655233:WLO655253 WVK655233:WVK655253 C720769:C720789 IY720769:IY720789 SU720769:SU720789 ACQ720769:ACQ720789 AMM720769:AMM720789 AWI720769:AWI720789 BGE720769:BGE720789 BQA720769:BQA720789 BZW720769:BZW720789 CJS720769:CJS720789 CTO720769:CTO720789 DDK720769:DDK720789 DNG720769:DNG720789 DXC720769:DXC720789 EGY720769:EGY720789 EQU720769:EQU720789 FAQ720769:FAQ720789 FKM720769:FKM720789 FUI720769:FUI720789 GEE720769:GEE720789 GOA720769:GOA720789 GXW720769:GXW720789 HHS720769:HHS720789 HRO720769:HRO720789 IBK720769:IBK720789 ILG720769:ILG720789 IVC720769:IVC720789 JEY720769:JEY720789 JOU720769:JOU720789 JYQ720769:JYQ720789 KIM720769:KIM720789 KSI720769:KSI720789 LCE720769:LCE720789 LMA720769:LMA720789 LVW720769:LVW720789 MFS720769:MFS720789 MPO720769:MPO720789 MZK720769:MZK720789 NJG720769:NJG720789 NTC720769:NTC720789 OCY720769:OCY720789 OMU720769:OMU720789 OWQ720769:OWQ720789 PGM720769:PGM720789 PQI720769:PQI720789 QAE720769:QAE720789 QKA720769:QKA720789 QTW720769:QTW720789 RDS720769:RDS720789 RNO720769:RNO720789 RXK720769:RXK720789 SHG720769:SHG720789 SRC720769:SRC720789 TAY720769:TAY720789 TKU720769:TKU720789 TUQ720769:TUQ720789 UEM720769:UEM720789 UOI720769:UOI720789 UYE720769:UYE720789 VIA720769:VIA720789 VRW720769:VRW720789 WBS720769:WBS720789 WLO720769:WLO720789 WVK720769:WVK720789 C786305:C786325 IY786305:IY786325 SU786305:SU786325 ACQ786305:ACQ786325 AMM786305:AMM786325 AWI786305:AWI786325 BGE786305:BGE786325 BQA786305:BQA786325 BZW786305:BZW786325 CJS786305:CJS786325 CTO786305:CTO786325 DDK786305:DDK786325 DNG786305:DNG786325 DXC786305:DXC786325 EGY786305:EGY786325 EQU786305:EQU786325 FAQ786305:FAQ786325 FKM786305:FKM786325 FUI786305:FUI786325 GEE786305:GEE786325 GOA786305:GOA786325 GXW786305:GXW786325 HHS786305:HHS786325 HRO786305:HRO786325 IBK786305:IBK786325 ILG786305:ILG786325 IVC786305:IVC786325 JEY786305:JEY786325 JOU786305:JOU786325 JYQ786305:JYQ786325 KIM786305:KIM786325 KSI786305:KSI786325 LCE786305:LCE786325 LMA786305:LMA786325 LVW786305:LVW786325 MFS786305:MFS786325 MPO786305:MPO786325 MZK786305:MZK786325 NJG786305:NJG786325 NTC786305:NTC786325 OCY786305:OCY786325 OMU786305:OMU786325 OWQ786305:OWQ786325 PGM786305:PGM786325 PQI786305:PQI786325 QAE786305:QAE786325 QKA786305:QKA786325 QTW786305:QTW786325 RDS786305:RDS786325 RNO786305:RNO786325 RXK786305:RXK786325 SHG786305:SHG786325 SRC786305:SRC786325 TAY786305:TAY786325 TKU786305:TKU786325 TUQ786305:TUQ786325 UEM786305:UEM786325 UOI786305:UOI786325 UYE786305:UYE786325 VIA786305:VIA786325 VRW786305:VRW786325 WBS786305:WBS786325 WLO786305:WLO786325 WVK786305:WVK786325 C851841:C851861 IY851841:IY851861 SU851841:SU851861 ACQ851841:ACQ851861 AMM851841:AMM851861 AWI851841:AWI851861 BGE851841:BGE851861 BQA851841:BQA851861 BZW851841:BZW851861 CJS851841:CJS851861 CTO851841:CTO851861 DDK851841:DDK851861 DNG851841:DNG851861 DXC851841:DXC851861 EGY851841:EGY851861 EQU851841:EQU851861 FAQ851841:FAQ851861 FKM851841:FKM851861 FUI851841:FUI851861 GEE851841:GEE851861 GOA851841:GOA851861 GXW851841:GXW851861 HHS851841:HHS851861 HRO851841:HRO851861 IBK851841:IBK851861 ILG851841:ILG851861 IVC851841:IVC851861 JEY851841:JEY851861 JOU851841:JOU851861 JYQ851841:JYQ851861 KIM851841:KIM851861 KSI851841:KSI851861 LCE851841:LCE851861 LMA851841:LMA851861 LVW851841:LVW851861 MFS851841:MFS851861 MPO851841:MPO851861 MZK851841:MZK851861 NJG851841:NJG851861 NTC851841:NTC851861 OCY851841:OCY851861 OMU851841:OMU851861 OWQ851841:OWQ851861 PGM851841:PGM851861 PQI851841:PQI851861 QAE851841:QAE851861 QKA851841:QKA851861 QTW851841:QTW851861 RDS851841:RDS851861 RNO851841:RNO851861 RXK851841:RXK851861 SHG851841:SHG851861 SRC851841:SRC851861 TAY851841:TAY851861 TKU851841:TKU851861 TUQ851841:TUQ851861 UEM851841:UEM851861 UOI851841:UOI851861 UYE851841:UYE851861 VIA851841:VIA851861 VRW851841:VRW851861 WBS851841:WBS851861 WLO851841:WLO851861 WVK851841:WVK851861 C917377:C917397 IY917377:IY917397 SU917377:SU917397 ACQ917377:ACQ917397 AMM917377:AMM917397 AWI917377:AWI917397 BGE917377:BGE917397 BQA917377:BQA917397 BZW917377:BZW917397 CJS917377:CJS917397 CTO917377:CTO917397 DDK917377:DDK917397 DNG917377:DNG917397 DXC917377:DXC917397 EGY917377:EGY917397 EQU917377:EQU917397 FAQ917377:FAQ917397 FKM917377:FKM917397 FUI917377:FUI917397 GEE917377:GEE917397 GOA917377:GOA917397 GXW917377:GXW917397 HHS917377:HHS917397 HRO917377:HRO917397 IBK917377:IBK917397 ILG917377:ILG917397 IVC917377:IVC917397 JEY917377:JEY917397 JOU917377:JOU917397 JYQ917377:JYQ917397 KIM917377:KIM917397 KSI917377:KSI917397 LCE917377:LCE917397 LMA917377:LMA917397 LVW917377:LVW917397 MFS917377:MFS917397 MPO917377:MPO917397 MZK917377:MZK917397 NJG917377:NJG917397 NTC917377:NTC917397 OCY917377:OCY917397 OMU917377:OMU917397 OWQ917377:OWQ917397 PGM917377:PGM917397 PQI917377:PQI917397 QAE917377:QAE917397 QKA917377:QKA917397 QTW917377:QTW917397 RDS917377:RDS917397 RNO917377:RNO917397 RXK917377:RXK917397 SHG917377:SHG917397 SRC917377:SRC917397 TAY917377:TAY917397 TKU917377:TKU917397 TUQ917377:TUQ917397 UEM917377:UEM917397 UOI917377:UOI917397 UYE917377:UYE917397 VIA917377:VIA917397 VRW917377:VRW917397 WBS917377:WBS917397 WLO917377:WLO917397 WVK917377:WVK917397 C982913:C982933 IY982913:IY982933 SU982913:SU982933 ACQ982913:ACQ982933 AMM982913:AMM982933 AWI982913:AWI982933 BGE982913:BGE982933 BQA982913:BQA982933 BZW982913:BZW982933 CJS982913:CJS982933 CTO982913:CTO982933 DDK982913:DDK982933 DNG982913:DNG982933 DXC982913:DXC982933 EGY982913:EGY982933 EQU982913:EQU982933 FAQ982913:FAQ982933 FKM982913:FKM982933 FUI982913:FUI982933 GEE982913:GEE982933 GOA982913:GOA982933 GXW982913:GXW982933 HHS982913:HHS982933 HRO982913:HRO982933 IBK982913:IBK982933 ILG982913:ILG982933 IVC982913:IVC982933 JEY982913:JEY982933 JOU982913:JOU982933 JYQ982913:JYQ982933 KIM982913:KIM982933 KSI982913:KSI982933 LCE982913:LCE982933 LMA982913:LMA982933 LVW982913:LVW982933 MFS982913:MFS982933 MPO982913:MPO982933 MZK982913:MZK982933 NJG982913:NJG982933 NTC982913:NTC982933 OCY982913:OCY982933 OMU982913:OMU982933 OWQ982913:OWQ982933 PGM982913:PGM982933 PQI982913:PQI982933 QAE982913:QAE982933 QKA982913:QKA982933 QTW982913:QTW982933 RDS982913:RDS982933 RNO982913:RNO982933 RXK982913:RXK982933 SHG982913:SHG982933 SRC982913:SRC982933 TAY982913:TAY982933 TKU982913:TKU982933 TUQ982913:TUQ982933 UEM982913:UEM982933 UOI982913:UOI982933 UYE982913:UYE982933 VIA982913:VIA982933 VRW982913:VRW982933 WBS982913:WBS982933 WLO982913:WLO982933 WVK982913:WVK982933 C65449:C65456 IY65449:IY65456 SU65449:SU65456 ACQ65449:ACQ65456 AMM65449:AMM65456 AWI65449:AWI65456 BGE65449:BGE65456 BQA65449:BQA65456 BZW65449:BZW65456 CJS65449:CJS65456 CTO65449:CTO65456 DDK65449:DDK65456 DNG65449:DNG65456 DXC65449:DXC65456 EGY65449:EGY65456 EQU65449:EQU65456 FAQ65449:FAQ65456 FKM65449:FKM65456 FUI65449:FUI65456 GEE65449:GEE65456 GOA65449:GOA65456 GXW65449:GXW65456 HHS65449:HHS65456 HRO65449:HRO65456 IBK65449:IBK65456 ILG65449:ILG65456 IVC65449:IVC65456 JEY65449:JEY65456 JOU65449:JOU65456 JYQ65449:JYQ65456 KIM65449:KIM65456 KSI65449:KSI65456 LCE65449:LCE65456 LMA65449:LMA65456 LVW65449:LVW65456 MFS65449:MFS65456 MPO65449:MPO65456 MZK65449:MZK65456 NJG65449:NJG65456 NTC65449:NTC65456 OCY65449:OCY65456 OMU65449:OMU65456 OWQ65449:OWQ65456 PGM65449:PGM65456 PQI65449:PQI65456 QAE65449:QAE65456 QKA65449:QKA65456 QTW65449:QTW65456 RDS65449:RDS65456 RNO65449:RNO65456 RXK65449:RXK65456 SHG65449:SHG65456 SRC65449:SRC65456 TAY65449:TAY65456 TKU65449:TKU65456 TUQ65449:TUQ65456 UEM65449:UEM65456 UOI65449:UOI65456 UYE65449:UYE65456 VIA65449:VIA65456 VRW65449:VRW65456 WBS65449:WBS65456 WLO65449:WLO65456 WVK65449:WVK65456 C130985:C130992 IY130985:IY130992 SU130985:SU130992 ACQ130985:ACQ130992 AMM130985:AMM130992 AWI130985:AWI130992 BGE130985:BGE130992 BQA130985:BQA130992 BZW130985:BZW130992 CJS130985:CJS130992 CTO130985:CTO130992 DDK130985:DDK130992 DNG130985:DNG130992 DXC130985:DXC130992 EGY130985:EGY130992 EQU130985:EQU130992 FAQ130985:FAQ130992 FKM130985:FKM130992 FUI130985:FUI130992 GEE130985:GEE130992 GOA130985:GOA130992 GXW130985:GXW130992 HHS130985:HHS130992 HRO130985:HRO130992 IBK130985:IBK130992 ILG130985:ILG130992 IVC130985:IVC130992 JEY130985:JEY130992 JOU130985:JOU130992 JYQ130985:JYQ130992 KIM130985:KIM130992 KSI130985:KSI130992 LCE130985:LCE130992 LMA130985:LMA130992 LVW130985:LVW130992 MFS130985:MFS130992 MPO130985:MPO130992 MZK130985:MZK130992 NJG130985:NJG130992 NTC130985:NTC130992 OCY130985:OCY130992 OMU130985:OMU130992 OWQ130985:OWQ130992 PGM130985:PGM130992 PQI130985:PQI130992 QAE130985:QAE130992 QKA130985:QKA130992 QTW130985:QTW130992 RDS130985:RDS130992 RNO130985:RNO130992 RXK130985:RXK130992 SHG130985:SHG130992 SRC130985:SRC130992 TAY130985:TAY130992 TKU130985:TKU130992 TUQ130985:TUQ130992 UEM130985:UEM130992 UOI130985:UOI130992 UYE130985:UYE130992 VIA130985:VIA130992 VRW130985:VRW130992 WBS130985:WBS130992 WLO130985:WLO130992 WVK130985:WVK130992 C196521:C196528 IY196521:IY196528 SU196521:SU196528 ACQ196521:ACQ196528 AMM196521:AMM196528 AWI196521:AWI196528 BGE196521:BGE196528 BQA196521:BQA196528 BZW196521:BZW196528 CJS196521:CJS196528 CTO196521:CTO196528 DDK196521:DDK196528 DNG196521:DNG196528 DXC196521:DXC196528 EGY196521:EGY196528 EQU196521:EQU196528 FAQ196521:FAQ196528 FKM196521:FKM196528 FUI196521:FUI196528 GEE196521:GEE196528 GOA196521:GOA196528 GXW196521:GXW196528 HHS196521:HHS196528 HRO196521:HRO196528 IBK196521:IBK196528 ILG196521:ILG196528 IVC196521:IVC196528 JEY196521:JEY196528 JOU196521:JOU196528 JYQ196521:JYQ196528 KIM196521:KIM196528 KSI196521:KSI196528 LCE196521:LCE196528 LMA196521:LMA196528 LVW196521:LVW196528 MFS196521:MFS196528 MPO196521:MPO196528 MZK196521:MZK196528 NJG196521:NJG196528 NTC196521:NTC196528 OCY196521:OCY196528 OMU196521:OMU196528 OWQ196521:OWQ196528 PGM196521:PGM196528 PQI196521:PQI196528 QAE196521:QAE196528 QKA196521:QKA196528 QTW196521:QTW196528 RDS196521:RDS196528 RNO196521:RNO196528 RXK196521:RXK196528 SHG196521:SHG196528 SRC196521:SRC196528 TAY196521:TAY196528 TKU196521:TKU196528 TUQ196521:TUQ196528 UEM196521:UEM196528 UOI196521:UOI196528 UYE196521:UYE196528 VIA196521:VIA196528 VRW196521:VRW196528 WBS196521:WBS196528 WLO196521:WLO196528 WVK196521:WVK196528 C262057:C262064 IY262057:IY262064 SU262057:SU262064 ACQ262057:ACQ262064 AMM262057:AMM262064 AWI262057:AWI262064 BGE262057:BGE262064 BQA262057:BQA262064 BZW262057:BZW262064 CJS262057:CJS262064 CTO262057:CTO262064 DDK262057:DDK262064 DNG262057:DNG262064 DXC262057:DXC262064 EGY262057:EGY262064 EQU262057:EQU262064 FAQ262057:FAQ262064 FKM262057:FKM262064 FUI262057:FUI262064 GEE262057:GEE262064 GOA262057:GOA262064 GXW262057:GXW262064 HHS262057:HHS262064 HRO262057:HRO262064 IBK262057:IBK262064 ILG262057:ILG262064 IVC262057:IVC262064 JEY262057:JEY262064 JOU262057:JOU262064 JYQ262057:JYQ262064 KIM262057:KIM262064 KSI262057:KSI262064 LCE262057:LCE262064 LMA262057:LMA262064 LVW262057:LVW262064 MFS262057:MFS262064 MPO262057:MPO262064 MZK262057:MZK262064 NJG262057:NJG262064 NTC262057:NTC262064 OCY262057:OCY262064 OMU262057:OMU262064 OWQ262057:OWQ262064 PGM262057:PGM262064 PQI262057:PQI262064 QAE262057:QAE262064 QKA262057:QKA262064 QTW262057:QTW262064 RDS262057:RDS262064 RNO262057:RNO262064 RXK262057:RXK262064 SHG262057:SHG262064 SRC262057:SRC262064 TAY262057:TAY262064 TKU262057:TKU262064 TUQ262057:TUQ262064 UEM262057:UEM262064 UOI262057:UOI262064 UYE262057:UYE262064 VIA262057:VIA262064 VRW262057:VRW262064 WBS262057:WBS262064 WLO262057:WLO262064 WVK262057:WVK262064 C327593:C327600 IY327593:IY327600 SU327593:SU327600 ACQ327593:ACQ327600 AMM327593:AMM327600 AWI327593:AWI327600 BGE327593:BGE327600 BQA327593:BQA327600 BZW327593:BZW327600 CJS327593:CJS327600 CTO327593:CTO327600 DDK327593:DDK327600 DNG327593:DNG327600 DXC327593:DXC327600 EGY327593:EGY327600 EQU327593:EQU327600 FAQ327593:FAQ327600 FKM327593:FKM327600 FUI327593:FUI327600 GEE327593:GEE327600 GOA327593:GOA327600 GXW327593:GXW327600 HHS327593:HHS327600 HRO327593:HRO327600 IBK327593:IBK327600 ILG327593:ILG327600 IVC327593:IVC327600 JEY327593:JEY327600 JOU327593:JOU327600 JYQ327593:JYQ327600 KIM327593:KIM327600 KSI327593:KSI327600 LCE327593:LCE327600 LMA327593:LMA327600 LVW327593:LVW327600 MFS327593:MFS327600 MPO327593:MPO327600 MZK327593:MZK327600 NJG327593:NJG327600 NTC327593:NTC327600 OCY327593:OCY327600 OMU327593:OMU327600 OWQ327593:OWQ327600 PGM327593:PGM327600 PQI327593:PQI327600 QAE327593:QAE327600 QKA327593:QKA327600 QTW327593:QTW327600 RDS327593:RDS327600 RNO327593:RNO327600 RXK327593:RXK327600 SHG327593:SHG327600 SRC327593:SRC327600 TAY327593:TAY327600 TKU327593:TKU327600 TUQ327593:TUQ327600 UEM327593:UEM327600 UOI327593:UOI327600 UYE327593:UYE327600 VIA327593:VIA327600 VRW327593:VRW327600 WBS327593:WBS327600 WLO327593:WLO327600 WVK327593:WVK327600 C393129:C393136 IY393129:IY393136 SU393129:SU393136 ACQ393129:ACQ393136 AMM393129:AMM393136 AWI393129:AWI393136 BGE393129:BGE393136 BQA393129:BQA393136 BZW393129:BZW393136 CJS393129:CJS393136 CTO393129:CTO393136 DDK393129:DDK393136 DNG393129:DNG393136 DXC393129:DXC393136 EGY393129:EGY393136 EQU393129:EQU393136 FAQ393129:FAQ393136 FKM393129:FKM393136 FUI393129:FUI393136 GEE393129:GEE393136 GOA393129:GOA393136 GXW393129:GXW393136 HHS393129:HHS393136 HRO393129:HRO393136 IBK393129:IBK393136 ILG393129:ILG393136 IVC393129:IVC393136 JEY393129:JEY393136 JOU393129:JOU393136 JYQ393129:JYQ393136 KIM393129:KIM393136 KSI393129:KSI393136 LCE393129:LCE393136 LMA393129:LMA393136 LVW393129:LVW393136 MFS393129:MFS393136 MPO393129:MPO393136 MZK393129:MZK393136 NJG393129:NJG393136 NTC393129:NTC393136 OCY393129:OCY393136 OMU393129:OMU393136 OWQ393129:OWQ393136 PGM393129:PGM393136 PQI393129:PQI393136 QAE393129:QAE393136 QKA393129:QKA393136 QTW393129:QTW393136 RDS393129:RDS393136 RNO393129:RNO393136 RXK393129:RXK393136 SHG393129:SHG393136 SRC393129:SRC393136 TAY393129:TAY393136 TKU393129:TKU393136 TUQ393129:TUQ393136 UEM393129:UEM393136 UOI393129:UOI393136 UYE393129:UYE393136 VIA393129:VIA393136 VRW393129:VRW393136 WBS393129:WBS393136 WLO393129:WLO393136 WVK393129:WVK393136 C458665:C458672 IY458665:IY458672 SU458665:SU458672 ACQ458665:ACQ458672 AMM458665:AMM458672 AWI458665:AWI458672 BGE458665:BGE458672 BQA458665:BQA458672 BZW458665:BZW458672 CJS458665:CJS458672 CTO458665:CTO458672 DDK458665:DDK458672 DNG458665:DNG458672 DXC458665:DXC458672 EGY458665:EGY458672 EQU458665:EQU458672 FAQ458665:FAQ458672 FKM458665:FKM458672 FUI458665:FUI458672 GEE458665:GEE458672 GOA458665:GOA458672 GXW458665:GXW458672 HHS458665:HHS458672 HRO458665:HRO458672 IBK458665:IBK458672 ILG458665:ILG458672 IVC458665:IVC458672 JEY458665:JEY458672 JOU458665:JOU458672 JYQ458665:JYQ458672 KIM458665:KIM458672 KSI458665:KSI458672 LCE458665:LCE458672 LMA458665:LMA458672 LVW458665:LVW458672 MFS458665:MFS458672 MPO458665:MPO458672 MZK458665:MZK458672 NJG458665:NJG458672 NTC458665:NTC458672 OCY458665:OCY458672 OMU458665:OMU458672 OWQ458665:OWQ458672 PGM458665:PGM458672 PQI458665:PQI458672 QAE458665:QAE458672 QKA458665:QKA458672 QTW458665:QTW458672 RDS458665:RDS458672 RNO458665:RNO458672 RXK458665:RXK458672 SHG458665:SHG458672 SRC458665:SRC458672 TAY458665:TAY458672 TKU458665:TKU458672 TUQ458665:TUQ458672 UEM458665:UEM458672 UOI458665:UOI458672 UYE458665:UYE458672 VIA458665:VIA458672 VRW458665:VRW458672 WBS458665:WBS458672 WLO458665:WLO458672 WVK458665:WVK458672 C524201:C524208 IY524201:IY524208 SU524201:SU524208 ACQ524201:ACQ524208 AMM524201:AMM524208 AWI524201:AWI524208 BGE524201:BGE524208 BQA524201:BQA524208 BZW524201:BZW524208 CJS524201:CJS524208 CTO524201:CTO524208 DDK524201:DDK524208 DNG524201:DNG524208 DXC524201:DXC524208 EGY524201:EGY524208 EQU524201:EQU524208 FAQ524201:FAQ524208 FKM524201:FKM524208 FUI524201:FUI524208 GEE524201:GEE524208 GOA524201:GOA524208 GXW524201:GXW524208 HHS524201:HHS524208 HRO524201:HRO524208 IBK524201:IBK524208 ILG524201:ILG524208 IVC524201:IVC524208 JEY524201:JEY524208 JOU524201:JOU524208 JYQ524201:JYQ524208 KIM524201:KIM524208 KSI524201:KSI524208 LCE524201:LCE524208 LMA524201:LMA524208 LVW524201:LVW524208 MFS524201:MFS524208 MPO524201:MPO524208 MZK524201:MZK524208 NJG524201:NJG524208 NTC524201:NTC524208 OCY524201:OCY524208 OMU524201:OMU524208 OWQ524201:OWQ524208 PGM524201:PGM524208 PQI524201:PQI524208 QAE524201:QAE524208 QKA524201:QKA524208 QTW524201:QTW524208 RDS524201:RDS524208 RNO524201:RNO524208 RXK524201:RXK524208 SHG524201:SHG524208 SRC524201:SRC524208 TAY524201:TAY524208 TKU524201:TKU524208 TUQ524201:TUQ524208 UEM524201:UEM524208 UOI524201:UOI524208 UYE524201:UYE524208 VIA524201:VIA524208 VRW524201:VRW524208 WBS524201:WBS524208 WLO524201:WLO524208 WVK524201:WVK524208 C589737:C589744 IY589737:IY589744 SU589737:SU589744 ACQ589737:ACQ589744 AMM589737:AMM589744 AWI589737:AWI589744 BGE589737:BGE589744 BQA589737:BQA589744 BZW589737:BZW589744 CJS589737:CJS589744 CTO589737:CTO589744 DDK589737:DDK589744 DNG589737:DNG589744 DXC589737:DXC589744 EGY589737:EGY589744 EQU589737:EQU589744 FAQ589737:FAQ589744 FKM589737:FKM589744 FUI589737:FUI589744 GEE589737:GEE589744 GOA589737:GOA589744 GXW589737:GXW589744 HHS589737:HHS589744 HRO589737:HRO589744 IBK589737:IBK589744 ILG589737:ILG589744 IVC589737:IVC589744 JEY589737:JEY589744 JOU589737:JOU589744 JYQ589737:JYQ589744 KIM589737:KIM589744 KSI589737:KSI589744 LCE589737:LCE589744 LMA589737:LMA589744 LVW589737:LVW589744 MFS589737:MFS589744 MPO589737:MPO589744 MZK589737:MZK589744 NJG589737:NJG589744 NTC589737:NTC589744 OCY589737:OCY589744 OMU589737:OMU589744 OWQ589737:OWQ589744 PGM589737:PGM589744 PQI589737:PQI589744 QAE589737:QAE589744 QKA589737:QKA589744 QTW589737:QTW589744 RDS589737:RDS589744 RNO589737:RNO589744 RXK589737:RXK589744 SHG589737:SHG589744 SRC589737:SRC589744 TAY589737:TAY589744 TKU589737:TKU589744 TUQ589737:TUQ589744 UEM589737:UEM589744 UOI589737:UOI589744 UYE589737:UYE589744 VIA589737:VIA589744 VRW589737:VRW589744 WBS589737:WBS589744 WLO589737:WLO589744 WVK589737:WVK589744 C655273:C655280 IY655273:IY655280 SU655273:SU655280 ACQ655273:ACQ655280 AMM655273:AMM655280 AWI655273:AWI655280 BGE655273:BGE655280 BQA655273:BQA655280 BZW655273:BZW655280 CJS655273:CJS655280 CTO655273:CTO655280 DDK655273:DDK655280 DNG655273:DNG655280 DXC655273:DXC655280 EGY655273:EGY655280 EQU655273:EQU655280 FAQ655273:FAQ655280 FKM655273:FKM655280 FUI655273:FUI655280 GEE655273:GEE655280 GOA655273:GOA655280 GXW655273:GXW655280 HHS655273:HHS655280 HRO655273:HRO655280 IBK655273:IBK655280 ILG655273:ILG655280 IVC655273:IVC655280 JEY655273:JEY655280 JOU655273:JOU655280 JYQ655273:JYQ655280 KIM655273:KIM655280 KSI655273:KSI655280 LCE655273:LCE655280 LMA655273:LMA655280 LVW655273:LVW655280 MFS655273:MFS655280 MPO655273:MPO655280 MZK655273:MZK655280 NJG655273:NJG655280 NTC655273:NTC655280 OCY655273:OCY655280 OMU655273:OMU655280 OWQ655273:OWQ655280 PGM655273:PGM655280 PQI655273:PQI655280 QAE655273:QAE655280 QKA655273:QKA655280 QTW655273:QTW655280 RDS655273:RDS655280 RNO655273:RNO655280 RXK655273:RXK655280 SHG655273:SHG655280 SRC655273:SRC655280 TAY655273:TAY655280 TKU655273:TKU655280 TUQ655273:TUQ655280 UEM655273:UEM655280 UOI655273:UOI655280 UYE655273:UYE655280 VIA655273:VIA655280 VRW655273:VRW655280 WBS655273:WBS655280 WLO655273:WLO655280 WVK655273:WVK655280 C720809:C720816 IY720809:IY720816 SU720809:SU720816 ACQ720809:ACQ720816 AMM720809:AMM720816 AWI720809:AWI720816 BGE720809:BGE720816 BQA720809:BQA720816 BZW720809:BZW720816 CJS720809:CJS720816 CTO720809:CTO720816 DDK720809:DDK720816 DNG720809:DNG720816 DXC720809:DXC720816 EGY720809:EGY720816 EQU720809:EQU720816 FAQ720809:FAQ720816 FKM720809:FKM720816 FUI720809:FUI720816 GEE720809:GEE720816 GOA720809:GOA720816 GXW720809:GXW720816 HHS720809:HHS720816 HRO720809:HRO720816 IBK720809:IBK720816 ILG720809:ILG720816 IVC720809:IVC720816 JEY720809:JEY720816 JOU720809:JOU720816 JYQ720809:JYQ720816 KIM720809:KIM720816 KSI720809:KSI720816 LCE720809:LCE720816 LMA720809:LMA720816 LVW720809:LVW720816 MFS720809:MFS720816 MPO720809:MPO720816 MZK720809:MZK720816 NJG720809:NJG720816 NTC720809:NTC720816 OCY720809:OCY720816 OMU720809:OMU720816 OWQ720809:OWQ720816 PGM720809:PGM720816 PQI720809:PQI720816 QAE720809:QAE720816 QKA720809:QKA720816 QTW720809:QTW720816 RDS720809:RDS720816 RNO720809:RNO720816 RXK720809:RXK720816 SHG720809:SHG720816 SRC720809:SRC720816 TAY720809:TAY720816 TKU720809:TKU720816 TUQ720809:TUQ720816 UEM720809:UEM720816 UOI720809:UOI720816 UYE720809:UYE720816 VIA720809:VIA720816 VRW720809:VRW720816 WBS720809:WBS720816 WLO720809:WLO720816 WVK720809:WVK720816 C786345:C786352 IY786345:IY786352 SU786345:SU786352 ACQ786345:ACQ786352 AMM786345:AMM786352 AWI786345:AWI786352 BGE786345:BGE786352 BQA786345:BQA786352 BZW786345:BZW786352 CJS786345:CJS786352 CTO786345:CTO786352 DDK786345:DDK786352 DNG786345:DNG786352 DXC786345:DXC786352 EGY786345:EGY786352 EQU786345:EQU786352 FAQ786345:FAQ786352 FKM786345:FKM786352 FUI786345:FUI786352 GEE786345:GEE786352 GOA786345:GOA786352 GXW786345:GXW786352 HHS786345:HHS786352 HRO786345:HRO786352 IBK786345:IBK786352 ILG786345:ILG786352 IVC786345:IVC786352 JEY786345:JEY786352 JOU786345:JOU786352 JYQ786345:JYQ786352 KIM786345:KIM786352 KSI786345:KSI786352 LCE786345:LCE786352 LMA786345:LMA786352 LVW786345:LVW786352 MFS786345:MFS786352 MPO786345:MPO786352 MZK786345:MZK786352 NJG786345:NJG786352 NTC786345:NTC786352 OCY786345:OCY786352 OMU786345:OMU786352 OWQ786345:OWQ786352 PGM786345:PGM786352 PQI786345:PQI786352 QAE786345:QAE786352 QKA786345:QKA786352 QTW786345:QTW786352 RDS786345:RDS786352 RNO786345:RNO786352 RXK786345:RXK786352 SHG786345:SHG786352 SRC786345:SRC786352 TAY786345:TAY786352 TKU786345:TKU786352 TUQ786345:TUQ786352 UEM786345:UEM786352 UOI786345:UOI786352 UYE786345:UYE786352 VIA786345:VIA786352 VRW786345:VRW786352 WBS786345:WBS786352 WLO786345:WLO786352 WVK786345:WVK786352 C851881:C851888 IY851881:IY851888 SU851881:SU851888 ACQ851881:ACQ851888 AMM851881:AMM851888 AWI851881:AWI851888 BGE851881:BGE851888 BQA851881:BQA851888 BZW851881:BZW851888 CJS851881:CJS851888 CTO851881:CTO851888 DDK851881:DDK851888 DNG851881:DNG851888 DXC851881:DXC851888 EGY851881:EGY851888 EQU851881:EQU851888 FAQ851881:FAQ851888 FKM851881:FKM851888 FUI851881:FUI851888 GEE851881:GEE851888 GOA851881:GOA851888 GXW851881:GXW851888 HHS851881:HHS851888 HRO851881:HRO851888 IBK851881:IBK851888 ILG851881:ILG851888 IVC851881:IVC851888 JEY851881:JEY851888 JOU851881:JOU851888 JYQ851881:JYQ851888 KIM851881:KIM851888 KSI851881:KSI851888 LCE851881:LCE851888 LMA851881:LMA851888 LVW851881:LVW851888 MFS851881:MFS851888 MPO851881:MPO851888 MZK851881:MZK851888 NJG851881:NJG851888 NTC851881:NTC851888 OCY851881:OCY851888 OMU851881:OMU851888 OWQ851881:OWQ851888 PGM851881:PGM851888 PQI851881:PQI851888 QAE851881:QAE851888 QKA851881:QKA851888 QTW851881:QTW851888 RDS851881:RDS851888 RNO851881:RNO851888 RXK851881:RXK851888 SHG851881:SHG851888 SRC851881:SRC851888 TAY851881:TAY851888 TKU851881:TKU851888 TUQ851881:TUQ851888 UEM851881:UEM851888 UOI851881:UOI851888 UYE851881:UYE851888 VIA851881:VIA851888 VRW851881:VRW851888 WBS851881:WBS851888 WLO851881:WLO851888 WVK851881:WVK851888 C917417:C917424 IY917417:IY917424 SU917417:SU917424 ACQ917417:ACQ917424 AMM917417:AMM917424 AWI917417:AWI917424 BGE917417:BGE917424 BQA917417:BQA917424 BZW917417:BZW917424 CJS917417:CJS917424 CTO917417:CTO917424 DDK917417:DDK917424 DNG917417:DNG917424 DXC917417:DXC917424 EGY917417:EGY917424 EQU917417:EQU917424 FAQ917417:FAQ917424 FKM917417:FKM917424 FUI917417:FUI917424 GEE917417:GEE917424 GOA917417:GOA917424 GXW917417:GXW917424 HHS917417:HHS917424 HRO917417:HRO917424 IBK917417:IBK917424 ILG917417:ILG917424 IVC917417:IVC917424 JEY917417:JEY917424 JOU917417:JOU917424 JYQ917417:JYQ917424 KIM917417:KIM917424 KSI917417:KSI917424 LCE917417:LCE917424 LMA917417:LMA917424 LVW917417:LVW917424 MFS917417:MFS917424 MPO917417:MPO917424 MZK917417:MZK917424 NJG917417:NJG917424 NTC917417:NTC917424 OCY917417:OCY917424 OMU917417:OMU917424 OWQ917417:OWQ917424 PGM917417:PGM917424 PQI917417:PQI917424 QAE917417:QAE917424 QKA917417:QKA917424 QTW917417:QTW917424 RDS917417:RDS917424 RNO917417:RNO917424 RXK917417:RXK917424 SHG917417:SHG917424 SRC917417:SRC917424 TAY917417:TAY917424 TKU917417:TKU917424 TUQ917417:TUQ917424 UEM917417:UEM917424 UOI917417:UOI917424 UYE917417:UYE917424 VIA917417:VIA917424 VRW917417:VRW917424 WBS917417:WBS917424 WLO917417:WLO917424 WVK917417:WVK917424 C982953:C982960 IY982953:IY982960 SU982953:SU982960 ACQ982953:ACQ982960 AMM982953:AMM982960 AWI982953:AWI982960 BGE982953:BGE982960 BQA982953:BQA982960 BZW982953:BZW982960 CJS982953:CJS982960 CTO982953:CTO982960 DDK982953:DDK982960 DNG982953:DNG982960 DXC982953:DXC982960 EGY982953:EGY982960 EQU982953:EQU982960 FAQ982953:FAQ982960 FKM982953:FKM982960 FUI982953:FUI982960 GEE982953:GEE982960 GOA982953:GOA982960 GXW982953:GXW982960 HHS982953:HHS982960 HRO982953:HRO982960 IBK982953:IBK982960 ILG982953:ILG982960 IVC982953:IVC982960 JEY982953:JEY982960 JOU982953:JOU982960 JYQ982953:JYQ982960 KIM982953:KIM982960 KSI982953:KSI982960 LCE982953:LCE982960 LMA982953:LMA982960 LVW982953:LVW982960 MFS982953:MFS982960 MPO982953:MPO982960 MZK982953:MZK982960 NJG982953:NJG982960 NTC982953:NTC982960 OCY982953:OCY982960 OMU982953:OMU982960 OWQ982953:OWQ982960 PGM982953:PGM982960 PQI982953:PQI982960 QAE982953:QAE982960 QKA982953:QKA982960 QTW982953:QTW982960 RDS982953:RDS982960 RNO982953:RNO982960 RXK982953:RXK982960 SHG982953:SHG982960 SRC982953:SRC982960 TAY982953:TAY982960 TKU982953:TKU982960 TUQ982953:TUQ982960 UEM982953:UEM982960 UOI982953:UOI982960 UYE982953:UYE982960 VIA982953:VIA982960 VRW982953:VRW982960 WBS982953:WBS982960 WLO982953:WLO982960 WVK982953:WVK982960 C65458:C65478 IY65458:IY65478 SU65458:SU65478 ACQ65458:ACQ65478 AMM65458:AMM65478 AWI65458:AWI65478 BGE65458:BGE65478 BQA65458:BQA65478 BZW65458:BZW65478 CJS65458:CJS65478 CTO65458:CTO65478 DDK65458:DDK65478 DNG65458:DNG65478 DXC65458:DXC65478 EGY65458:EGY65478 EQU65458:EQU65478 FAQ65458:FAQ65478 FKM65458:FKM65478 FUI65458:FUI65478 GEE65458:GEE65478 GOA65458:GOA65478 GXW65458:GXW65478 HHS65458:HHS65478 HRO65458:HRO65478 IBK65458:IBK65478 ILG65458:ILG65478 IVC65458:IVC65478 JEY65458:JEY65478 JOU65458:JOU65478 JYQ65458:JYQ65478 KIM65458:KIM65478 KSI65458:KSI65478 LCE65458:LCE65478 LMA65458:LMA65478 LVW65458:LVW65478 MFS65458:MFS65478 MPO65458:MPO65478 MZK65458:MZK65478 NJG65458:NJG65478 NTC65458:NTC65478 OCY65458:OCY65478 OMU65458:OMU65478 OWQ65458:OWQ65478 PGM65458:PGM65478 PQI65458:PQI65478 QAE65458:QAE65478 QKA65458:QKA65478 QTW65458:QTW65478 RDS65458:RDS65478 RNO65458:RNO65478 RXK65458:RXK65478 SHG65458:SHG65478 SRC65458:SRC65478 TAY65458:TAY65478 TKU65458:TKU65478 TUQ65458:TUQ65478 UEM65458:UEM65478 UOI65458:UOI65478 UYE65458:UYE65478 VIA65458:VIA65478 VRW65458:VRW65478 WBS65458:WBS65478 WLO65458:WLO65478 WVK65458:WVK65478 C130994:C131014 IY130994:IY131014 SU130994:SU131014 ACQ130994:ACQ131014 AMM130994:AMM131014 AWI130994:AWI131014 BGE130994:BGE131014 BQA130994:BQA131014 BZW130994:BZW131014 CJS130994:CJS131014 CTO130994:CTO131014 DDK130994:DDK131014 DNG130994:DNG131014 DXC130994:DXC131014 EGY130994:EGY131014 EQU130994:EQU131014 FAQ130994:FAQ131014 FKM130994:FKM131014 FUI130994:FUI131014 GEE130994:GEE131014 GOA130994:GOA131014 GXW130994:GXW131014 HHS130994:HHS131014 HRO130994:HRO131014 IBK130994:IBK131014 ILG130994:ILG131014 IVC130994:IVC131014 JEY130994:JEY131014 JOU130994:JOU131014 JYQ130994:JYQ131014 KIM130994:KIM131014 KSI130994:KSI131014 LCE130994:LCE131014 LMA130994:LMA131014 LVW130994:LVW131014 MFS130994:MFS131014 MPO130994:MPO131014 MZK130994:MZK131014 NJG130994:NJG131014 NTC130994:NTC131014 OCY130994:OCY131014 OMU130994:OMU131014 OWQ130994:OWQ131014 PGM130994:PGM131014 PQI130994:PQI131014 QAE130994:QAE131014 QKA130994:QKA131014 QTW130994:QTW131014 RDS130994:RDS131014 RNO130994:RNO131014 RXK130994:RXK131014 SHG130994:SHG131014 SRC130994:SRC131014 TAY130994:TAY131014 TKU130994:TKU131014 TUQ130994:TUQ131014 UEM130994:UEM131014 UOI130994:UOI131014 UYE130994:UYE131014 VIA130994:VIA131014 VRW130994:VRW131014 WBS130994:WBS131014 WLO130994:WLO131014 WVK130994:WVK131014 C196530:C196550 IY196530:IY196550 SU196530:SU196550 ACQ196530:ACQ196550 AMM196530:AMM196550 AWI196530:AWI196550 BGE196530:BGE196550 BQA196530:BQA196550 BZW196530:BZW196550 CJS196530:CJS196550 CTO196530:CTO196550 DDK196530:DDK196550 DNG196530:DNG196550 DXC196530:DXC196550 EGY196530:EGY196550 EQU196530:EQU196550 FAQ196530:FAQ196550 FKM196530:FKM196550 FUI196530:FUI196550 GEE196530:GEE196550 GOA196530:GOA196550 GXW196530:GXW196550 HHS196530:HHS196550 HRO196530:HRO196550 IBK196530:IBK196550 ILG196530:ILG196550 IVC196530:IVC196550 JEY196530:JEY196550 JOU196530:JOU196550 JYQ196530:JYQ196550 KIM196530:KIM196550 KSI196530:KSI196550 LCE196530:LCE196550 LMA196530:LMA196550 LVW196530:LVW196550 MFS196530:MFS196550 MPO196530:MPO196550 MZK196530:MZK196550 NJG196530:NJG196550 NTC196530:NTC196550 OCY196530:OCY196550 OMU196530:OMU196550 OWQ196530:OWQ196550 PGM196530:PGM196550 PQI196530:PQI196550 QAE196530:QAE196550 QKA196530:QKA196550 QTW196530:QTW196550 RDS196530:RDS196550 RNO196530:RNO196550 RXK196530:RXK196550 SHG196530:SHG196550 SRC196530:SRC196550 TAY196530:TAY196550 TKU196530:TKU196550 TUQ196530:TUQ196550 UEM196530:UEM196550 UOI196530:UOI196550 UYE196530:UYE196550 VIA196530:VIA196550 VRW196530:VRW196550 WBS196530:WBS196550 WLO196530:WLO196550 WVK196530:WVK196550 C262066:C262086 IY262066:IY262086 SU262066:SU262086 ACQ262066:ACQ262086 AMM262066:AMM262086 AWI262066:AWI262086 BGE262066:BGE262086 BQA262066:BQA262086 BZW262066:BZW262086 CJS262066:CJS262086 CTO262066:CTO262086 DDK262066:DDK262086 DNG262066:DNG262086 DXC262066:DXC262086 EGY262066:EGY262086 EQU262066:EQU262086 FAQ262066:FAQ262086 FKM262066:FKM262086 FUI262066:FUI262086 GEE262066:GEE262086 GOA262066:GOA262086 GXW262066:GXW262086 HHS262066:HHS262086 HRO262066:HRO262086 IBK262066:IBK262086 ILG262066:ILG262086 IVC262066:IVC262086 JEY262066:JEY262086 JOU262066:JOU262086 JYQ262066:JYQ262086 KIM262066:KIM262086 KSI262066:KSI262086 LCE262066:LCE262086 LMA262066:LMA262086 LVW262066:LVW262086 MFS262066:MFS262086 MPO262066:MPO262086 MZK262066:MZK262086 NJG262066:NJG262086 NTC262066:NTC262086 OCY262066:OCY262086 OMU262066:OMU262086 OWQ262066:OWQ262086 PGM262066:PGM262086 PQI262066:PQI262086 QAE262066:QAE262086 QKA262066:QKA262086 QTW262066:QTW262086 RDS262066:RDS262086 RNO262066:RNO262086 RXK262066:RXK262086 SHG262066:SHG262086 SRC262066:SRC262086 TAY262066:TAY262086 TKU262066:TKU262086 TUQ262066:TUQ262086 UEM262066:UEM262086 UOI262066:UOI262086 UYE262066:UYE262086 VIA262066:VIA262086 VRW262066:VRW262086 WBS262066:WBS262086 WLO262066:WLO262086 WVK262066:WVK262086 C327602:C327622 IY327602:IY327622 SU327602:SU327622 ACQ327602:ACQ327622 AMM327602:AMM327622 AWI327602:AWI327622 BGE327602:BGE327622 BQA327602:BQA327622 BZW327602:BZW327622 CJS327602:CJS327622 CTO327602:CTO327622 DDK327602:DDK327622 DNG327602:DNG327622 DXC327602:DXC327622 EGY327602:EGY327622 EQU327602:EQU327622 FAQ327602:FAQ327622 FKM327602:FKM327622 FUI327602:FUI327622 GEE327602:GEE327622 GOA327602:GOA327622 GXW327602:GXW327622 HHS327602:HHS327622 HRO327602:HRO327622 IBK327602:IBK327622 ILG327602:ILG327622 IVC327602:IVC327622 JEY327602:JEY327622 JOU327602:JOU327622 JYQ327602:JYQ327622 KIM327602:KIM327622 KSI327602:KSI327622 LCE327602:LCE327622 LMA327602:LMA327622 LVW327602:LVW327622 MFS327602:MFS327622 MPO327602:MPO327622 MZK327602:MZK327622 NJG327602:NJG327622 NTC327602:NTC327622 OCY327602:OCY327622 OMU327602:OMU327622 OWQ327602:OWQ327622 PGM327602:PGM327622 PQI327602:PQI327622 QAE327602:QAE327622 QKA327602:QKA327622 QTW327602:QTW327622 RDS327602:RDS327622 RNO327602:RNO327622 RXK327602:RXK327622 SHG327602:SHG327622 SRC327602:SRC327622 TAY327602:TAY327622 TKU327602:TKU327622 TUQ327602:TUQ327622 UEM327602:UEM327622 UOI327602:UOI327622 UYE327602:UYE327622 VIA327602:VIA327622 VRW327602:VRW327622 WBS327602:WBS327622 WLO327602:WLO327622 WVK327602:WVK327622 C393138:C393158 IY393138:IY393158 SU393138:SU393158 ACQ393138:ACQ393158 AMM393138:AMM393158 AWI393138:AWI393158 BGE393138:BGE393158 BQA393138:BQA393158 BZW393138:BZW393158 CJS393138:CJS393158 CTO393138:CTO393158 DDK393138:DDK393158 DNG393138:DNG393158 DXC393138:DXC393158 EGY393138:EGY393158 EQU393138:EQU393158 FAQ393138:FAQ393158 FKM393138:FKM393158 FUI393138:FUI393158 GEE393138:GEE393158 GOA393138:GOA393158 GXW393138:GXW393158 HHS393138:HHS393158 HRO393138:HRO393158 IBK393138:IBK393158 ILG393138:ILG393158 IVC393138:IVC393158 JEY393138:JEY393158 JOU393138:JOU393158 JYQ393138:JYQ393158 KIM393138:KIM393158 KSI393138:KSI393158 LCE393138:LCE393158 LMA393138:LMA393158 LVW393138:LVW393158 MFS393138:MFS393158 MPO393138:MPO393158 MZK393138:MZK393158 NJG393138:NJG393158 NTC393138:NTC393158 OCY393138:OCY393158 OMU393138:OMU393158 OWQ393138:OWQ393158 PGM393138:PGM393158 PQI393138:PQI393158 QAE393138:QAE393158 QKA393138:QKA393158 QTW393138:QTW393158 RDS393138:RDS393158 RNO393138:RNO393158 RXK393138:RXK393158 SHG393138:SHG393158 SRC393138:SRC393158 TAY393138:TAY393158 TKU393138:TKU393158 TUQ393138:TUQ393158 UEM393138:UEM393158 UOI393138:UOI393158 UYE393138:UYE393158 VIA393138:VIA393158 VRW393138:VRW393158 WBS393138:WBS393158 WLO393138:WLO393158 WVK393138:WVK393158 C458674:C458694 IY458674:IY458694 SU458674:SU458694 ACQ458674:ACQ458694 AMM458674:AMM458694 AWI458674:AWI458694 BGE458674:BGE458694 BQA458674:BQA458694 BZW458674:BZW458694 CJS458674:CJS458694 CTO458674:CTO458694 DDK458674:DDK458694 DNG458674:DNG458694 DXC458674:DXC458694 EGY458674:EGY458694 EQU458674:EQU458694 FAQ458674:FAQ458694 FKM458674:FKM458694 FUI458674:FUI458694 GEE458674:GEE458694 GOA458674:GOA458694 GXW458674:GXW458694 HHS458674:HHS458694 HRO458674:HRO458694 IBK458674:IBK458694 ILG458674:ILG458694 IVC458674:IVC458694 JEY458674:JEY458694 JOU458674:JOU458694 JYQ458674:JYQ458694 KIM458674:KIM458694 KSI458674:KSI458694 LCE458674:LCE458694 LMA458674:LMA458694 LVW458674:LVW458694 MFS458674:MFS458694 MPO458674:MPO458694 MZK458674:MZK458694 NJG458674:NJG458694 NTC458674:NTC458694 OCY458674:OCY458694 OMU458674:OMU458694 OWQ458674:OWQ458694 PGM458674:PGM458694 PQI458674:PQI458694 QAE458674:QAE458694 QKA458674:QKA458694 QTW458674:QTW458694 RDS458674:RDS458694 RNO458674:RNO458694 RXK458674:RXK458694 SHG458674:SHG458694 SRC458674:SRC458694 TAY458674:TAY458694 TKU458674:TKU458694 TUQ458674:TUQ458694 UEM458674:UEM458694 UOI458674:UOI458694 UYE458674:UYE458694 VIA458674:VIA458694 VRW458674:VRW458694 WBS458674:WBS458694 WLO458674:WLO458694 WVK458674:WVK458694 C524210:C524230 IY524210:IY524230 SU524210:SU524230 ACQ524210:ACQ524230 AMM524210:AMM524230 AWI524210:AWI524230 BGE524210:BGE524230 BQA524210:BQA524230 BZW524210:BZW524230 CJS524210:CJS524230 CTO524210:CTO524230 DDK524210:DDK524230 DNG524210:DNG524230 DXC524210:DXC524230 EGY524210:EGY524230 EQU524210:EQU524230 FAQ524210:FAQ524230 FKM524210:FKM524230 FUI524210:FUI524230 GEE524210:GEE524230 GOA524210:GOA524230 GXW524210:GXW524230 HHS524210:HHS524230 HRO524210:HRO524230 IBK524210:IBK524230 ILG524210:ILG524230 IVC524210:IVC524230 JEY524210:JEY524230 JOU524210:JOU524230 JYQ524210:JYQ524230 KIM524210:KIM524230 KSI524210:KSI524230 LCE524210:LCE524230 LMA524210:LMA524230 LVW524210:LVW524230 MFS524210:MFS524230 MPO524210:MPO524230 MZK524210:MZK524230 NJG524210:NJG524230 NTC524210:NTC524230 OCY524210:OCY524230 OMU524210:OMU524230 OWQ524210:OWQ524230 PGM524210:PGM524230 PQI524210:PQI524230 QAE524210:QAE524230 QKA524210:QKA524230 QTW524210:QTW524230 RDS524210:RDS524230 RNO524210:RNO524230 RXK524210:RXK524230 SHG524210:SHG524230 SRC524210:SRC524230 TAY524210:TAY524230 TKU524210:TKU524230 TUQ524210:TUQ524230 UEM524210:UEM524230 UOI524210:UOI524230 UYE524210:UYE524230 VIA524210:VIA524230 VRW524210:VRW524230 WBS524210:WBS524230 WLO524210:WLO524230 WVK524210:WVK524230 C589746:C589766 IY589746:IY589766 SU589746:SU589766 ACQ589746:ACQ589766 AMM589746:AMM589766 AWI589746:AWI589766 BGE589746:BGE589766 BQA589746:BQA589766 BZW589746:BZW589766 CJS589746:CJS589766 CTO589746:CTO589766 DDK589746:DDK589766 DNG589746:DNG589766 DXC589746:DXC589766 EGY589746:EGY589766 EQU589746:EQU589766 FAQ589746:FAQ589766 FKM589746:FKM589766 FUI589746:FUI589766 GEE589746:GEE589766 GOA589746:GOA589766 GXW589746:GXW589766 HHS589746:HHS589766 HRO589746:HRO589766 IBK589746:IBK589766 ILG589746:ILG589766 IVC589746:IVC589766 JEY589746:JEY589766 JOU589746:JOU589766 JYQ589746:JYQ589766 KIM589746:KIM589766 KSI589746:KSI589766 LCE589746:LCE589766 LMA589746:LMA589766 LVW589746:LVW589766 MFS589746:MFS589766 MPO589746:MPO589766 MZK589746:MZK589766 NJG589746:NJG589766 NTC589746:NTC589766 OCY589746:OCY589766 OMU589746:OMU589766 OWQ589746:OWQ589766 PGM589746:PGM589766 PQI589746:PQI589766 QAE589746:QAE589766 QKA589746:QKA589766 QTW589746:QTW589766 RDS589746:RDS589766 RNO589746:RNO589766 RXK589746:RXK589766 SHG589746:SHG589766 SRC589746:SRC589766 TAY589746:TAY589766 TKU589746:TKU589766 TUQ589746:TUQ589766 UEM589746:UEM589766 UOI589746:UOI589766 UYE589746:UYE589766 VIA589746:VIA589766 VRW589746:VRW589766 WBS589746:WBS589766 WLO589746:WLO589766 WVK589746:WVK589766 C655282:C655302 IY655282:IY655302 SU655282:SU655302 ACQ655282:ACQ655302 AMM655282:AMM655302 AWI655282:AWI655302 BGE655282:BGE655302 BQA655282:BQA655302 BZW655282:BZW655302 CJS655282:CJS655302 CTO655282:CTO655302 DDK655282:DDK655302 DNG655282:DNG655302 DXC655282:DXC655302 EGY655282:EGY655302 EQU655282:EQU655302 FAQ655282:FAQ655302 FKM655282:FKM655302 FUI655282:FUI655302 GEE655282:GEE655302 GOA655282:GOA655302 GXW655282:GXW655302 HHS655282:HHS655302 HRO655282:HRO655302 IBK655282:IBK655302 ILG655282:ILG655302 IVC655282:IVC655302 JEY655282:JEY655302 JOU655282:JOU655302 JYQ655282:JYQ655302 KIM655282:KIM655302 KSI655282:KSI655302 LCE655282:LCE655302 LMA655282:LMA655302 LVW655282:LVW655302 MFS655282:MFS655302 MPO655282:MPO655302 MZK655282:MZK655302 NJG655282:NJG655302 NTC655282:NTC655302 OCY655282:OCY655302 OMU655282:OMU655302 OWQ655282:OWQ655302 PGM655282:PGM655302 PQI655282:PQI655302 QAE655282:QAE655302 QKA655282:QKA655302 QTW655282:QTW655302 RDS655282:RDS655302 RNO655282:RNO655302 RXK655282:RXK655302 SHG655282:SHG655302 SRC655282:SRC655302 TAY655282:TAY655302 TKU655282:TKU655302 TUQ655282:TUQ655302 UEM655282:UEM655302 UOI655282:UOI655302 UYE655282:UYE655302 VIA655282:VIA655302 VRW655282:VRW655302 WBS655282:WBS655302 WLO655282:WLO655302 WVK655282:WVK655302 C720818:C720838 IY720818:IY720838 SU720818:SU720838 ACQ720818:ACQ720838 AMM720818:AMM720838 AWI720818:AWI720838 BGE720818:BGE720838 BQA720818:BQA720838 BZW720818:BZW720838 CJS720818:CJS720838 CTO720818:CTO720838 DDK720818:DDK720838 DNG720818:DNG720838 DXC720818:DXC720838 EGY720818:EGY720838 EQU720818:EQU720838 FAQ720818:FAQ720838 FKM720818:FKM720838 FUI720818:FUI720838 GEE720818:GEE720838 GOA720818:GOA720838 GXW720818:GXW720838 HHS720818:HHS720838 HRO720818:HRO720838 IBK720818:IBK720838 ILG720818:ILG720838 IVC720818:IVC720838 JEY720818:JEY720838 JOU720818:JOU720838 JYQ720818:JYQ720838 KIM720818:KIM720838 KSI720818:KSI720838 LCE720818:LCE720838 LMA720818:LMA720838 LVW720818:LVW720838 MFS720818:MFS720838 MPO720818:MPO720838 MZK720818:MZK720838 NJG720818:NJG720838 NTC720818:NTC720838 OCY720818:OCY720838 OMU720818:OMU720838 OWQ720818:OWQ720838 PGM720818:PGM720838 PQI720818:PQI720838 QAE720818:QAE720838 QKA720818:QKA720838 QTW720818:QTW720838 RDS720818:RDS720838 RNO720818:RNO720838 RXK720818:RXK720838 SHG720818:SHG720838 SRC720818:SRC720838 TAY720818:TAY720838 TKU720818:TKU720838 TUQ720818:TUQ720838 UEM720818:UEM720838 UOI720818:UOI720838 UYE720818:UYE720838 VIA720818:VIA720838 VRW720818:VRW720838 WBS720818:WBS720838 WLO720818:WLO720838 WVK720818:WVK720838 C786354:C786374 IY786354:IY786374 SU786354:SU786374 ACQ786354:ACQ786374 AMM786354:AMM786374 AWI786354:AWI786374 BGE786354:BGE786374 BQA786354:BQA786374 BZW786354:BZW786374 CJS786354:CJS786374 CTO786354:CTO786374 DDK786354:DDK786374 DNG786354:DNG786374 DXC786354:DXC786374 EGY786354:EGY786374 EQU786354:EQU786374 FAQ786354:FAQ786374 FKM786354:FKM786374 FUI786354:FUI786374 GEE786354:GEE786374 GOA786354:GOA786374 GXW786354:GXW786374 HHS786354:HHS786374 HRO786354:HRO786374 IBK786354:IBK786374 ILG786354:ILG786374 IVC786354:IVC786374 JEY786354:JEY786374 JOU786354:JOU786374 JYQ786354:JYQ786374 KIM786354:KIM786374 KSI786354:KSI786374 LCE786354:LCE786374 LMA786354:LMA786374 LVW786354:LVW786374 MFS786354:MFS786374 MPO786354:MPO786374 MZK786354:MZK786374 NJG786354:NJG786374 NTC786354:NTC786374 OCY786354:OCY786374 OMU786354:OMU786374 OWQ786354:OWQ786374 PGM786354:PGM786374 PQI786354:PQI786374 QAE786354:QAE786374 QKA786354:QKA786374 QTW786354:QTW786374 RDS786354:RDS786374 RNO786354:RNO786374 RXK786354:RXK786374 SHG786354:SHG786374 SRC786354:SRC786374 TAY786354:TAY786374 TKU786354:TKU786374 TUQ786354:TUQ786374 UEM786354:UEM786374 UOI786354:UOI786374 UYE786354:UYE786374 VIA786354:VIA786374 VRW786354:VRW786374 WBS786354:WBS786374 WLO786354:WLO786374 WVK786354:WVK786374 C851890:C851910 IY851890:IY851910 SU851890:SU851910 ACQ851890:ACQ851910 AMM851890:AMM851910 AWI851890:AWI851910 BGE851890:BGE851910 BQA851890:BQA851910 BZW851890:BZW851910 CJS851890:CJS851910 CTO851890:CTO851910 DDK851890:DDK851910 DNG851890:DNG851910 DXC851890:DXC851910 EGY851890:EGY851910 EQU851890:EQU851910 FAQ851890:FAQ851910 FKM851890:FKM851910 FUI851890:FUI851910 GEE851890:GEE851910 GOA851890:GOA851910 GXW851890:GXW851910 HHS851890:HHS851910 HRO851890:HRO851910 IBK851890:IBK851910 ILG851890:ILG851910 IVC851890:IVC851910 JEY851890:JEY851910 JOU851890:JOU851910 JYQ851890:JYQ851910 KIM851890:KIM851910 KSI851890:KSI851910 LCE851890:LCE851910 LMA851890:LMA851910 LVW851890:LVW851910 MFS851890:MFS851910 MPO851890:MPO851910 MZK851890:MZK851910 NJG851890:NJG851910 NTC851890:NTC851910 OCY851890:OCY851910 OMU851890:OMU851910 OWQ851890:OWQ851910 PGM851890:PGM851910 PQI851890:PQI851910 QAE851890:QAE851910 QKA851890:QKA851910 QTW851890:QTW851910 RDS851890:RDS851910 RNO851890:RNO851910 RXK851890:RXK851910 SHG851890:SHG851910 SRC851890:SRC851910 TAY851890:TAY851910 TKU851890:TKU851910 TUQ851890:TUQ851910 UEM851890:UEM851910 UOI851890:UOI851910 UYE851890:UYE851910 VIA851890:VIA851910 VRW851890:VRW851910 WBS851890:WBS851910 WLO851890:WLO851910 WVK851890:WVK851910 C917426:C917446 IY917426:IY917446 SU917426:SU917446 ACQ917426:ACQ917446 AMM917426:AMM917446 AWI917426:AWI917446 BGE917426:BGE917446 BQA917426:BQA917446 BZW917426:BZW917446 CJS917426:CJS917446 CTO917426:CTO917446 DDK917426:DDK917446 DNG917426:DNG917446 DXC917426:DXC917446 EGY917426:EGY917446 EQU917426:EQU917446 FAQ917426:FAQ917446 FKM917426:FKM917446 FUI917426:FUI917446 GEE917426:GEE917446 GOA917426:GOA917446 GXW917426:GXW917446 HHS917426:HHS917446 HRO917426:HRO917446 IBK917426:IBK917446 ILG917426:ILG917446 IVC917426:IVC917446 JEY917426:JEY917446 JOU917426:JOU917446 JYQ917426:JYQ917446 KIM917426:KIM917446 KSI917426:KSI917446 LCE917426:LCE917446 LMA917426:LMA917446 LVW917426:LVW917446 MFS917426:MFS917446 MPO917426:MPO917446 MZK917426:MZK917446 NJG917426:NJG917446 NTC917426:NTC917446 OCY917426:OCY917446 OMU917426:OMU917446 OWQ917426:OWQ917446 PGM917426:PGM917446 PQI917426:PQI917446 QAE917426:QAE917446 QKA917426:QKA917446 QTW917426:QTW917446 RDS917426:RDS917446 RNO917426:RNO917446 RXK917426:RXK917446 SHG917426:SHG917446 SRC917426:SRC917446 TAY917426:TAY917446 TKU917426:TKU917446 TUQ917426:TUQ917446 UEM917426:UEM917446 UOI917426:UOI917446 UYE917426:UYE917446 VIA917426:VIA917446 VRW917426:VRW917446 WBS917426:WBS917446 WLO917426:WLO917446 WVK917426:WVK917446 C982962:C982982 IY982962:IY982982 SU982962:SU982982 ACQ982962:ACQ982982 AMM982962:AMM982982 AWI982962:AWI982982 BGE982962:BGE982982 BQA982962:BQA982982 BZW982962:BZW982982 CJS982962:CJS982982 CTO982962:CTO982982 DDK982962:DDK982982 DNG982962:DNG982982 DXC982962:DXC982982 EGY982962:EGY982982 EQU982962:EQU982982 FAQ982962:FAQ982982 FKM982962:FKM982982 FUI982962:FUI982982 GEE982962:GEE982982 GOA982962:GOA982982 GXW982962:GXW982982 HHS982962:HHS982982 HRO982962:HRO982982 IBK982962:IBK982982 ILG982962:ILG982982 IVC982962:IVC982982 JEY982962:JEY982982 JOU982962:JOU982982 JYQ982962:JYQ982982 KIM982962:KIM982982 KSI982962:KSI982982 LCE982962:LCE982982 LMA982962:LMA982982 LVW982962:LVW982982 MFS982962:MFS982982 MPO982962:MPO982982 MZK982962:MZK982982 NJG982962:NJG982982 NTC982962:NTC982982 OCY982962:OCY982982 OMU982962:OMU982982 OWQ982962:OWQ982982 PGM982962:PGM982982 PQI982962:PQI982982 QAE982962:QAE982982 QKA982962:QKA982982 QTW982962:QTW982982 RDS982962:RDS982982 RNO982962:RNO982982 RXK982962:RXK982982 SHG982962:SHG982982 SRC982962:SRC982982 TAY982962:TAY982982 TKU982962:TKU982982 TUQ982962:TUQ982982 UEM982962:UEM982982 UOI982962:UOI982982 UYE982962:UYE982982 VIA982962:VIA982982 VRW982962:VRW982982 WBS982962:WBS982982 WLO982962:WLO982982 WVK982962:WVK982982 C65498:C65505 IY65498:IY65505 SU65498:SU65505 ACQ65498:ACQ65505 AMM65498:AMM65505 AWI65498:AWI65505 BGE65498:BGE65505 BQA65498:BQA65505 BZW65498:BZW65505 CJS65498:CJS65505 CTO65498:CTO65505 DDK65498:DDK65505 DNG65498:DNG65505 DXC65498:DXC65505 EGY65498:EGY65505 EQU65498:EQU65505 FAQ65498:FAQ65505 FKM65498:FKM65505 FUI65498:FUI65505 GEE65498:GEE65505 GOA65498:GOA65505 GXW65498:GXW65505 HHS65498:HHS65505 HRO65498:HRO65505 IBK65498:IBK65505 ILG65498:ILG65505 IVC65498:IVC65505 JEY65498:JEY65505 JOU65498:JOU65505 JYQ65498:JYQ65505 KIM65498:KIM65505 KSI65498:KSI65505 LCE65498:LCE65505 LMA65498:LMA65505 LVW65498:LVW65505 MFS65498:MFS65505 MPO65498:MPO65505 MZK65498:MZK65505 NJG65498:NJG65505 NTC65498:NTC65505 OCY65498:OCY65505 OMU65498:OMU65505 OWQ65498:OWQ65505 PGM65498:PGM65505 PQI65498:PQI65505 QAE65498:QAE65505 QKA65498:QKA65505 QTW65498:QTW65505 RDS65498:RDS65505 RNO65498:RNO65505 RXK65498:RXK65505 SHG65498:SHG65505 SRC65498:SRC65505 TAY65498:TAY65505 TKU65498:TKU65505 TUQ65498:TUQ65505 UEM65498:UEM65505 UOI65498:UOI65505 UYE65498:UYE65505 VIA65498:VIA65505 VRW65498:VRW65505 WBS65498:WBS65505 WLO65498:WLO65505 WVK65498:WVK65505 C131034:C131041 IY131034:IY131041 SU131034:SU131041 ACQ131034:ACQ131041 AMM131034:AMM131041 AWI131034:AWI131041 BGE131034:BGE131041 BQA131034:BQA131041 BZW131034:BZW131041 CJS131034:CJS131041 CTO131034:CTO131041 DDK131034:DDK131041 DNG131034:DNG131041 DXC131034:DXC131041 EGY131034:EGY131041 EQU131034:EQU131041 FAQ131034:FAQ131041 FKM131034:FKM131041 FUI131034:FUI131041 GEE131034:GEE131041 GOA131034:GOA131041 GXW131034:GXW131041 HHS131034:HHS131041 HRO131034:HRO131041 IBK131034:IBK131041 ILG131034:ILG131041 IVC131034:IVC131041 JEY131034:JEY131041 JOU131034:JOU131041 JYQ131034:JYQ131041 KIM131034:KIM131041 KSI131034:KSI131041 LCE131034:LCE131041 LMA131034:LMA131041 LVW131034:LVW131041 MFS131034:MFS131041 MPO131034:MPO131041 MZK131034:MZK131041 NJG131034:NJG131041 NTC131034:NTC131041 OCY131034:OCY131041 OMU131034:OMU131041 OWQ131034:OWQ131041 PGM131034:PGM131041 PQI131034:PQI131041 QAE131034:QAE131041 QKA131034:QKA131041 QTW131034:QTW131041 RDS131034:RDS131041 RNO131034:RNO131041 RXK131034:RXK131041 SHG131034:SHG131041 SRC131034:SRC131041 TAY131034:TAY131041 TKU131034:TKU131041 TUQ131034:TUQ131041 UEM131034:UEM131041 UOI131034:UOI131041 UYE131034:UYE131041 VIA131034:VIA131041 VRW131034:VRW131041 WBS131034:WBS131041 WLO131034:WLO131041 WVK131034:WVK131041 C196570:C196577 IY196570:IY196577 SU196570:SU196577 ACQ196570:ACQ196577 AMM196570:AMM196577 AWI196570:AWI196577 BGE196570:BGE196577 BQA196570:BQA196577 BZW196570:BZW196577 CJS196570:CJS196577 CTO196570:CTO196577 DDK196570:DDK196577 DNG196570:DNG196577 DXC196570:DXC196577 EGY196570:EGY196577 EQU196570:EQU196577 FAQ196570:FAQ196577 FKM196570:FKM196577 FUI196570:FUI196577 GEE196570:GEE196577 GOA196570:GOA196577 GXW196570:GXW196577 HHS196570:HHS196577 HRO196570:HRO196577 IBK196570:IBK196577 ILG196570:ILG196577 IVC196570:IVC196577 JEY196570:JEY196577 JOU196570:JOU196577 JYQ196570:JYQ196577 KIM196570:KIM196577 KSI196570:KSI196577 LCE196570:LCE196577 LMA196570:LMA196577 LVW196570:LVW196577 MFS196570:MFS196577 MPO196570:MPO196577 MZK196570:MZK196577 NJG196570:NJG196577 NTC196570:NTC196577 OCY196570:OCY196577 OMU196570:OMU196577 OWQ196570:OWQ196577 PGM196570:PGM196577 PQI196570:PQI196577 QAE196570:QAE196577 QKA196570:QKA196577 QTW196570:QTW196577 RDS196570:RDS196577 RNO196570:RNO196577 RXK196570:RXK196577 SHG196570:SHG196577 SRC196570:SRC196577 TAY196570:TAY196577 TKU196570:TKU196577 TUQ196570:TUQ196577 UEM196570:UEM196577 UOI196570:UOI196577 UYE196570:UYE196577 VIA196570:VIA196577 VRW196570:VRW196577 WBS196570:WBS196577 WLO196570:WLO196577 WVK196570:WVK196577 C262106:C262113 IY262106:IY262113 SU262106:SU262113 ACQ262106:ACQ262113 AMM262106:AMM262113 AWI262106:AWI262113 BGE262106:BGE262113 BQA262106:BQA262113 BZW262106:BZW262113 CJS262106:CJS262113 CTO262106:CTO262113 DDK262106:DDK262113 DNG262106:DNG262113 DXC262106:DXC262113 EGY262106:EGY262113 EQU262106:EQU262113 FAQ262106:FAQ262113 FKM262106:FKM262113 FUI262106:FUI262113 GEE262106:GEE262113 GOA262106:GOA262113 GXW262106:GXW262113 HHS262106:HHS262113 HRO262106:HRO262113 IBK262106:IBK262113 ILG262106:ILG262113 IVC262106:IVC262113 JEY262106:JEY262113 JOU262106:JOU262113 JYQ262106:JYQ262113 KIM262106:KIM262113 KSI262106:KSI262113 LCE262106:LCE262113 LMA262106:LMA262113 LVW262106:LVW262113 MFS262106:MFS262113 MPO262106:MPO262113 MZK262106:MZK262113 NJG262106:NJG262113 NTC262106:NTC262113 OCY262106:OCY262113 OMU262106:OMU262113 OWQ262106:OWQ262113 PGM262106:PGM262113 PQI262106:PQI262113 QAE262106:QAE262113 QKA262106:QKA262113 QTW262106:QTW262113 RDS262106:RDS262113 RNO262106:RNO262113 RXK262106:RXK262113 SHG262106:SHG262113 SRC262106:SRC262113 TAY262106:TAY262113 TKU262106:TKU262113 TUQ262106:TUQ262113 UEM262106:UEM262113 UOI262106:UOI262113 UYE262106:UYE262113 VIA262106:VIA262113 VRW262106:VRW262113 WBS262106:WBS262113 WLO262106:WLO262113 WVK262106:WVK262113 C327642:C327649 IY327642:IY327649 SU327642:SU327649 ACQ327642:ACQ327649 AMM327642:AMM327649 AWI327642:AWI327649 BGE327642:BGE327649 BQA327642:BQA327649 BZW327642:BZW327649 CJS327642:CJS327649 CTO327642:CTO327649 DDK327642:DDK327649 DNG327642:DNG327649 DXC327642:DXC327649 EGY327642:EGY327649 EQU327642:EQU327649 FAQ327642:FAQ327649 FKM327642:FKM327649 FUI327642:FUI327649 GEE327642:GEE327649 GOA327642:GOA327649 GXW327642:GXW327649 HHS327642:HHS327649 HRO327642:HRO327649 IBK327642:IBK327649 ILG327642:ILG327649 IVC327642:IVC327649 JEY327642:JEY327649 JOU327642:JOU327649 JYQ327642:JYQ327649 KIM327642:KIM327649 KSI327642:KSI327649 LCE327642:LCE327649 LMA327642:LMA327649 LVW327642:LVW327649 MFS327642:MFS327649 MPO327642:MPO327649 MZK327642:MZK327649 NJG327642:NJG327649 NTC327642:NTC327649 OCY327642:OCY327649 OMU327642:OMU327649 OWQ327642:OWQ327649 PGM327642:PGM327649 PQI327642:PQI327649 QAE327642:QAE327649 QKA327642:QKA327649 QTW327642:QTW327649 RDS327642:RDS327649 RNO327642:RNO327649 RXK327642:RXK327649 SHG327642:SHG327649 SRC327642:SRC327649 TAY327642:TAY327649 TKU327642:TKU327649 TUQ327642:TUQ327649 UEM327642:UEM327649 UOI327642:UOI327649 UYE327642:UYE327649 VIA327642:VIA327649 VRW327642:VRW327649 WBS327642:WBS327649 WLO327642:WLO327649 WVK327642:WVK327649 C393178:C393185 IY393178:IY393185 SU393178:SU393185 ACQ393178:ACQ393185 AMM393178:AMM393185 AWI393178:AWI393185 BGE393178:BGE393185 BQA393178:BQA393185 BZW393178:BZW393185 CJS393178:CJS393185 CTO393178:CTO393185 DDK393178:DDK393185 DNG393178:DNG393185 DXC393178:DXC393185 EGY393178:EGY393185 EQU393178:EQU393185 FAQ393178:FAQ393185 FKM393178:FKM393185 FUI393178:FUI393185 GEE393178:GEE393185 GOA393178:GOA393185 GXW393178:GXW393185 HHS393178:HHS393185 HRO393178:HRO393185 IBK393178:IBK393185 ILG393178:ILG393185 IVC393178:IVC393185 JEY393178:JEY393185 JOU393178:JOU393185 JYQ393178:JYQ393185 KIM393178:KIM393185 KSI393178:KSI393185 LCE393178:LCE393185 LMA393178:LMA393185 LVW393178:LVW393185 MFS393178:MFS393185 MPO393178:MPO393185 MZK393178:MZK393185 NJG393178:NJG393185 NTC393178:NTC393185 OCY393178:OCY393185 OMU393178:OMU393185 OWQ393178:OWQ393185 PGM393178:PGM393185 PQI393178:PQI393185 QAE393178:QAE393185 QKA393178:QKA393185 QTW393178:QTW393185 RDS393178:RDS393185 RNO393178:RNO393185 RXK393178:RXK393185 SHG393178:SHG393185 SRC393178:SRC393185 TAY393178:TAY393185 TKU393178:TKU393185 TUQ393178:TUQ393185 UEM393178:UEM393185 UOI393178:UOI393185 UYE393178:UYE393185 VIA393178:VIA393185 VRW393178:VRW393185 WBS393178:WBS393185 WLO393178:WLO393185 WVK393178:WVK393185 C458714:C458721 IY458714:IY458721 SU458714:SU458721 ACQ458714:ACQ458721 AMM458714:AMM458721 AWI458714:AWI458721 BGE458714:BGE458721 BQA458714:BQA458721 BZW458714:BZW458721 CJS458714:CJS458721 CTO458714:CTO458721 DDK458714:DDK458721 DNG458714:DNG458721 DXC458714:DXC458721 EGY458714:EGY458721 EQU458714:EQU458721 FAQ458714:FAQ458721 FKM458714:FKM458721 FUI458714:FUI458721 GEE458714:GEE458721 GOA458714:GOA458721 GXW458714:GXW458721 HHS458714:HHS458721 HRO458714:HRO458721 IBK458714:IBK458721 ILG458714:ILG458721 IVC458714:IVC458721 JEY458714:JEY458721 JOU458714:JOU458721 JYQ458714:JYQ458721 KIM458714:KIM458721 KSI458714:KSI458721 LCE458714:LCE458721 LMA458714:LMA458721 LVW458714:LVW458721 MFS458714:MFS458721 MPO458714:MPO458721 MZK458714:MZK458721 NJG458714:NJG458721 NTC458714:NTC458721 OCY458714:OCY458721 OMU458714:OMU458721 OWQ458714:OWQ458721 PGM458714:PGM458721 PQI458714:PQI458721 QAE458714:QAE458721 QKA458714:QKA458721 QTW458714:QTW458721 RDS458714:RDS458721 RNO458714:RNO458721 RXK458714:RXK458721 SHG458714:SHG458721 SRC458714:SRC458721 TAY458714:TAY458721 TKU458714:TKU458721 TUQ458714:TUQ458721 UEM458714:UEM458721 UOI458714:UOI458721 UYE458714:UYE458721 VIA458714:VIA458721 VRW458714:VRW458721 WBS458714:WBS458721 WLO458714:WLO458721 WVK458714:WVK458721 C524250:C524257 IY524250:IY524257 SU524250:SU524257 ACQ524250:ACQ524257 AMM524250:AMM524257 AWI524250:AWI524257 BGE524250:BGE524257 BQA524250:BQA524257 BZW524250:BZW524257 CJS524250:CJS524257 CTO524250:CTO524257 DDK524250:DDK524257 DNG524250:DNG524257 DXC524250:DXC524257 EGY524250:EGY524257 EQU524250:EQU524257 FAQ524250:FAQ524257 FKM524250:FKM524257 FUI524250:FUI524257 GEE524250:GEE524257 GOA524250:GOA524257 GXW524250:GXW524257 HHS524250:HHS524257 HRO524250:HRO524257 IBK524250:IBK524257 ILG524250:ILG524257 IVC524250:IVC524257 JEY524250:JEY524257 JOU524250:JOU524257 JYQ524250:JYQ524257 KIM524250:KIM524257 KSI524250:KSI524257 LCE524250:LCE524257 LMA524250:LMA524257 LVW524250:LVW524257 MFS524250:MFS524257 MPO524250:MPO524257 MZK524250:MZK524257 NJG524250:NJG524257 NTC524250:NTC524257 OCY524250:OCY524257 OMU524250:OMU524257 OWQ524250:OWQ524257 PGM524250:PGM524257 PQI524250:PQI524257 QAE524250:QAE524257 QKA524250:QKA524257 QTW524250:QTW524257 RDS524250:RDS524257 RNO524250:RNO524257 RXK524250:RXK524257 SHG524250:SHG524257 SRC524250:SRC524257 TAY524250:TAY524257 TKU524250:TKU524257 TUQ524250:TUQ524257 UEM524250:UEM524257 UOI524250:UOI524257 UYE524250:UYE524257 VIA524250:VIA524257 VRW524250:VRW524257 WBS524250:WBS524257 WLO524250:WLO524257 WVK524250:WVK524257 C589786:C589793 IY589786:IY589793 SU589786:SU589793 ACQ589786:ACQ589793 AMM589786:AMM589793 AWI589786:AWI589793 BGE589786:BGE589793 BQA589786:BQA589793 BZW589786:BZW589793 CJS589786:CJS589793 CTO589786:CTO589793 DDK589786:DDK589793 DNG589786:DNG589793 DXC589786:DXC589793 EGY589786:EGY589793 EQU589786:EQU589793 FAQ589786:FAQ589793 FKM589786:FKM589793 FUI589786:FUI589793 GEE589786:GEE589793 GOA589786:GOA589793 GXW589786:GXW589793 HHS589786:HHS589793 HRO589786:HRO589793 IBK589786:IBK589793 ILG589786:ILG589793 IVC589786:IVC589793 JEY589786:JEY589793 JOU589786:JOU589793 JYQ589786:JYQ589793 KIM589786:KIM589793 KSI589786:KSI589793 LCE589786:LCE589793 LMA589786:LMA589793 LVW589786:LVW589793 MFS589786:MFS589793 MPO589786:MPO589793 MZK589786:MZK589793 NJG589786:NJG589793 NTC589786:NTC589793 OCY589786:OCY589793 OMU589786:OMU589793 OWQ589786:OWQ589793 PGM589786:PGM589793 PQI589786:PQI589793 QAE589786:QAE589793 QKA589786:QKA589793 QTW589786:QTW589793 RDS589786:RDS589793 RNO589786:RNO589793 RXK589786:RXK589793 SHG589786:SHG589793 SRC589786:SRC589793 TAY589786:TAY589793 TKU589786:TKU589793 TUQ589786:TUQ589793 UEM589786:UEM589793 UOI589786:UOI589793 UYE589786:UYE589793 VIA589786:VIA589793 VRW589786:VRW589793 WBS589786:WBS589793 WLO589786:WLO589793 WVK589786:WVK589793 C655322:C655329 IY655322:IY655329 SU655322:SU655329 ACQ655322:ACQ655329 AMM655322:AMM655329 AWI655322:AWI655329 BGE655322:BGE655329 BQA655322:BQA655329 BZW655322:BZW655329 CJS655322:CJS655329 CTO655322:CTO655329 DDK655322:DDK655329 DNG655322:DNG655329 DXC655322:DXC655329 EGY655322:EGY655329 EQU655322:EQU655329 FAQ655322:FAQ655329 FKM655322:FKM655329 FUI655322:FUI655329 GEE655322:GEE655329 GOA655322:GOA655329 GXW655322:GXW655329 HHS655322:HHS655329 HRO655322:HRO655329 IBK655322:IBK655329 ILG655322:ILG655329 IVC655322:IVC655329 JEY655322:JEY655329 JOU655322:JOU655329 JYQ655322:JYQ655329 KIM655322:KIM655329 KSI655322:KSI655329 LCE655322:LCE655329 LMA655322:LMA655329 LVW655322:LVW655329 MFS655322:MFS655329 MPO655322:MPO655329 MZK655322:MZK655329 NJG655322:NJG655329 NTC655322:NTC655329 OCY655322:OCY655329 OMU655322:OMU655329 OWQ655322:OWQ655329 PGM655322:PGM655329 PQI655322:PQI655329 QAE655322:QAE655329 QKA655322:QKA655329 QTW655322:QTW655329 RDS655322:RDS655329 RNO655322:RNO655329 RXK655322:RXK655329 SHG655322:SHG655329 SRC655322:SRC655329 TAY655322:TAY655329 TKU655322:TKU655329 TUQ655322:TUQ655329 UEM655322:UEM655329 UOI655322:UOI655329 UYE655322:UYE655329 VIA655322:VIA655329 VRW655322:VRW655329 WBS655322:WBS655329 WLO655322:WLO655329 WVK655322:WVK655329 C720858:C720865 IY720858:IY720865 SU720858:SU720865 ACQ720858:ACQ720865 AMM720858:AMM720865 AWI720858:AWI720865 BGE720858:BGE720865 BQA720858:BQA720865 BZW720858:BZW720865 CJS720858:CJS720865 CTO720858:CTO720865 DDK720858:DDK720865 DNG720858:DNG720865 DXC720858:DXC720865 EGY720858:EGY720865 EQU720858:EQU720865 FAQ720858:FAQ720865 FKM720858:FKM720865 FUI720858:FUI720865 GEE720858:GEE720865 GOA720858:GOA720865 GXW720858:GXW720865 HHS720858:HHS720865 HRO720858:HRO720865 IBK720858:IBK720865 ILG720858:ILG720865 IVC720858:IVC720865 JEY720858:JEY720865 JOU720858:JOU720865 JYQ720858:JYQ720865 KIM720858:KIM720865 KSI720858:KSI720865 LCE720858:LCE720865 LMA720858:LMA720865 LVW720858:LVW720865 MFS720858:MFS720865 MPO720858:MPO720865 MZK720858:MZK720865 NJG720858:NJG720865 NTC720858:NTC720865 OCY720858:OCY720865 OMU720858:OMU720865 OWQ720858:OWQ720865 PGM720858:PGM720865 PQI720858:PQI720865 QAE720858:QAE720865 QKA720858:QKA720865 QTW720858:QTW720865 RDS720858:RDS720865 RNO720858:RNO720865 RXK720858:RXK720865 SHG720858:SHG720865 SRC720858:SRC720865 TAY720858:TAY720865 TKU720858:TKU720865 TUQ720858:TUQ720865 UEM720858:UEM720865 UOI720858:UOI720865 UYE720858:UYE720865 VIA720858:VIA720865 VRW720858:VRW720865 WBS720858:WBS720865 WLO720858:WLO720865 WVK720858:WVK720865 C786394:C786401 IY786394:IY786401 SU786394:SU786401 ACQ786394:ACQ786401 AMM786394:AMM786401 AWI786394:AWI786401 BGE786394:BGE786401 BQA786394:BQA786401 BZW786394:BZW786401 CJS786394:CJS786401 CTO786394:CTO786401 DDK786394:DDK786401 DNG786394:DNG786401 DXC786394:DXC786401 EGY786394:EGY786401 EQU786394:EQU786401 FAQ786394:FAQ786401 FKM786394:FKM786401 FUI786394:FUI786401 GEE786394:GEE786401 GOA786394:GOA786401 GXW786394:GXW786401 HHS786394:HHS786401 HRO786394:HRO786401 IBK786394:IBK786401 ILG786394:ILG786401 IVC786394:IVC786401 JEY786394:JEY786401 JOU786394:JOU786401 JYQ786394:JYQ786401 KIM786394:KIM786401 KSI786394:KSI786401 LCE786394:LCE786401 LMA786394:LMA786401 LVW786394:LVW786401 MFS786394:MFS786401 MPO786394:MPO786401 MZK786394:MZK786401 NJG786394:NJG786401 NTC786394:NTC786401 OCY786394:OCY786401 OMU786394:OMU786401 OWQ786394:OWQ786401 PGM786394:PGM786401 PQI786394:PQI786401 QAE786394:QAE786401 QKA786394:QKA786401 QTW786394:QTW786401 RDS786394:RDS786401 RNO786394:RNO786401 RXK786394:RXK786401 SHG786394:SHG786401 SRC786394:SRC786401 TAY786394:TAY786401 TKU786394:TKU786401 TUQ786394:TUQ786401 UEM786394:UEM786401 UOI786394:UOI786401 UYE786394:UYE786401 VIA786394:VIA786401 VRW786394:VRW786401 WBS786394:WBS786401 WLO786394:WLO786401 WVK786394:WVK786401 C851930:C851937 IY851930:IY851937 SU851930:SU851937 ACQ851930:ACQ851937 AMM851930:AMM851937 AWI851930:AWI851937 BGE851930:BGE851937 BQA851930:BQA851937 BZW851930:BZW851937 CJS851930:CJS851937 CTO851930:CTO851937 DDK851930:DDK851937 DNG851930:DNG851937 DXC851930:DXC851937 EGY851930:EGY851937 EQU851930:EQU851937 FAQ851930:FAQ851937 FKM851930:FKM851937 FUI851930:FUI851937 GEE851930:GEE851937 GOA851930:GOA851937 GXW851930:GXW851937 HHS851930:HHS851937 HRO851930:HRO851937 IBK851930:IBK851937 ILG851930:ILG851937 IVC851930:IVC851937 JEY851930:JEY851937 JOU851930:JOU851937 JYQ851930:JYQ851937 KIM851930:KIM851937 KSI851930:KSI851937 LCE851930:LCE851937 LMA851930:LMA851937 LVW851930:LVW851937 MFS851930:MFS851937 MPO851930:MPO851937 MZK851930:MZK851937 NJG851930:NJG851937 NTC851930:NTC851937 OCY851930:OCY851937 OMU851930:OMU851937 OWQ851930:OWQ851937 PGM851930:PGM851937 PQI851930:PQI851937 QAE851930:QAE851937 QKA851930:QKA851937 QTW851930:QTW851937 RDS851930:RDS851937 RNO851930:RNO851937 RXK851930:RXK851937 SHG851930:SHG851937 SRC851930:SRC851937 TAY851930:TAY851937 TKU851930:TKU851937 TUQ851930:TUQ851937 UEM851930:UEM851937 UOI851930:UOI851937 UYE851930:UYE851937 VIA851930:VIA851937 VRW851930:VRW851937 WBS851930:WBS851937 WLO851930:WLO851937 WVK851930:WVK851937 C917466:C917473 IY917466:IY917473 SU917466:SU917473 ACQ917466:ACQ917473 AMM917466:AMM917473 AWI917466:AWI917473 BGE917466:BGE917473 BQA917466:BQA917473 BZW917466:BZW917473 CJS917466:CJS917473 CTO917466:CTO917473 DDK917466:DDK917473 DNG917466:DNG917473 DXC917466:DXC917473 EGY917466:EGY917473 EQU917466:EQU917473 FAQ917466:FAQ917473 FKM917466:FKM917473 FUI917466:FUI917473 GEE917466:GEE917473 GOA917466:GOA917473 GXW917466:GXW917473 HHS917466:HHS917473 HRO917466:HRO917473 IBK917466:IBK917473 ILG917466:ILG917473 IVC917466:IVC917473 JEY917466:JEY917473 JOU917466:JOU917473 JYQ917466:JYQ917473 KIM917466:KIM917473 KSI917466:KSI917473 LCE917466:LCE917473 LMA917466:LMA917473 LVW917466:LVW917473 MFS917466:MFS917473 MPO917466:MPO917473 MZK917466:MZK917473 NJG917466:NJG917473 NTC917466:NTC917473 OCY917466:OCY917473 OMU917466:OMU917473 OWQ917466:OWQ917473 PGM917466:PGM917473 PQI917466:PQI917473 QAE917466:QAE917473 QKA917466:QKA917473 QTW917466:QTW917473 RDS917466:RDS917473 RNO917466:RNO917473 RXK917466:RXK917473 SHG917466:SHG917473 SRC917466:SRC917473 TAY917466:TAY917473 TKU917466:TKU917473 TUQ917466:TUQ917473 UEM917466:UEM917473 UOI917466:UOI917473 UYE917466:UYE917473 VIA917466:VIA917473 VRW917466:VRW917473 WBS917466:WBS917473 WLO917466:WLO917473 WVK917466:WVK917473 C983002:C983009 IY983002:IY983009 SU983002:SU983009 ACQ983002:ACQ983009 AMM983002:AMM983009 AWI983002:AWI983009 BGE983002:BGE983009 BQA983002:BQA983009 BZW983002:BZW983009 CJS983002:CJS983009 CTO983002:CTO983009 DDK983002:DDK983009 DNG983002:DNG983009 DXC983002:DXC983009 EGY983002:EGY983009 EQU983002:EQU983009 FAQ983002:FAQ983009 FKM983002:FKM983009 FUI983002:FUI983009 GEE983002:GEE983009 GOA983002:GOA983009 GXW983002:GXW983009 HHS983002:HHS983009 HRO983002:HRO983009 IBK983002:IBK983009 ILG983002:ILG983009 IVC983002:IVC983009 JEY983002:JEY983009 JOU983002:JOU983009 JYQ983002:JYQ983009 KIM983002:KIM983009 KSI983002:KSI983009 LCE983002:LCE983009 LMA983002:LMA983009 LVW983002:LVW983009 MFS983002:MFS983009 MPO983002:MPO983009 MZK983002:MZK983009 NJG983002:NJG983009 NTC983002:NTC983009 OCY983002:OCY983009 OMU983002:OMU983009 OWQ983002:OWQ983009 PGM983002:PGM983009 PQI983002:PQI983009 QAE983002:QAE983009 QKA983002:QKA983009 QTW983002:QTW983009 RDS983002:RDS983009 RNO983002:RNO983009 RXK983002:RXK983009 SHG983002:SHG983009 SRC983002:SRC983009 TAY983002:TAY983009 TKU983002:TKU983009 TUQ983002:TUQ983009 UEM983002:UEM983009 UOI983002:UOI983009 UYE983002:UYE983009 VIA983002:VIA983009 VRW983002:VRW983009 WBS983002:WBS983009 WLO983002:WLO983009 WVK983002:WVK983009 C65507:C65527 IY65507:IY65527 SU65507:SU65527 ACQ65507:ACQ65527 AMM65507:AMM65527 AWI65507:AWI65527 BGE65507:BGE65527 BQA65507:BQA65527 BZW65507:BZW65527 CJS65507:CJS65527 CTO65507:CTO65527 DDK65507:DDK65527 DNG65507:DNG65527 DXC65507:DXC65527 EGY65507:EGY65527 EQU65507:EQU65527 FAQ65507:FAQ65527 FKM65507:FKM65527 FUI65507:FUI65527 GEE65507:GEE65527 GOA65507:GOA65527 GXW65507:GXW65527 HHS65507:HHS65527 HRO65507:HRO65527 IBK65507:IBK65527 ILG65507:ILG65527 IVC65507:IVC65527 JEY65507:JEY65527 JOU65507:JOU65527 JYQ65507:JYQ65527 KIM65507:KIM65527 KSI65507:KSI65527 LCE65507:LCE65527 LMA65507:LMA65527 LVW65507:LVW65527 MFS65507:MFS65527 MPO65507:MPO65527 MZK65507:MZK65527 NJG65507:NJG65527 NTC65507:NTC65527 OCY65507:OCY65527 OMU65507:OMU65527 OWQ65507:OWQ65527 PGM65507:PGM65527 PQI65507:PQI65527 QAE65507:QAE65527 QKA65507:QKA65527 QTW65507:QTW65527 RDS65507:RDS65527 RNO65507:RNO65527 RXK65507:RXK65527 SHG65507:SHG65527 SRC65507:SRC65527 TAY65507:TAY65527 TKU65507:TKU65527 TUQ65507:TUQ65527 UEM65507:UEM65527 UOI65507:UOI65527 UYE65507:UYE65527 VIA65507:VIA65527 VRW65507:VRW65527 WBS65507:WBS65527 WLO65507:WLO65527 WVK65507:WVK65527 C131043:C131063 IY131043:IY131063 SU131043:SU131063 ACQ131043:ACQ131063 AMM131043:AMM131063 AWI131043:AWI131063 BGE131043:BGE131063 BQA131043:BQA131063 BZW131043:BZW131063 CJS131043:CJS131063 CTO131043:CTO131063 DDK131043:DDK131063 DNG131043:DNG131063 DXC131043:DXC131063 EGY131043:EGY131063 EQU131043:EQU131063 FAQ131043:FAQ131063 FKM131043:FKM131063 FUI131043:FUI131063 GEE131043:GEE131063 GOA131043:GOA131063 GXW131043:GXW131063 HHS131043:HHS131063 HRO131043:HRO131063 IBK131043:IBK131063 ILG131043:ILG131063 IVC131043:IVC131063 JEY131043:JEY131063 JOU131043:JOU131063 JYQ131043:JYQ131063 KIM131043:KIM131063 KSI131043:KSI131063 LCE131043:LCE131063 LMA131043:LMA131063 LVW131043:LVW131063 MFS131043:MFS131063 MPO131043:MPO131063 MZK131043:MZK131063 NJG131043:NJG131063 NTC131043:NTC131063 OCY131043:OCY131063 OMU131043:OMU131063 OWQ131043:OWQ131063 PGM131043:PGM131063 PQI131043:PQI131063 QAE131043:QAE131063 QKA131043:QKA131063 QTW131043:QTW131063 RDS131043:RDS131063 RNO131043:RNO131063 RXK131043:RXK131063 SHG131043:SHG131063 SRC131043:SRC131063 TAY131043:TAY131063 TKU131043:TKU131063 TUQ131043:TUQ131063 UEM131043:UEM131063 UOI131043:UOI131063 UYE131043:UYE131063 VIA131043:VIA131063 VRW131043:VRW131063 WBS131043:WBS131063 WLO131043:WLO131063 WVK131043:WVK131063 C196579:C196599 IY196579:IY196599 SU196579:SU196599 ACQ196579:ACQ196599 AMM196579:AMM196599 AWI196579:AWI196599 BGE196579:BGE196599 BQA196579:BQA196599 BZW196579:BZW196599 CJS196579:CJS196599 CTO196579:CTO196599 DDK196579:DDK196599 DNG196579:DNG196599 DXC196579:DXC196599 EGY196579:EGY196599 EQU196579:EQU196599 FAQ196579:FAQ196599 FKM196579:FKM196599 FUI196579:FUI196599 GEE196579:GEE196599 GOA196579:GOA196599 GXW196579:GXW196599 HHS196579:HHS196599 HRO196579:HRO196599 IBK196579:IBK196599 ILG196579:ILG196599 IVC196579:IVC196599 JEY196579:JEY196599 JOU196579:JOU196599 JYQ196579:JYQ196599 KIM196579:KIM196599 KSI196579:KSI196599 LCE196579:LCE196599 LMA196579:LMA196599 LVW196579:LVW196599 MFS196579:MFS196599 MPO196579:MPO196599 MZK196579:MZK196599 NJG196579:NJG196599 NTC196579:NTC196599 OCY196579:OCY196599 OMU196579:OMU196599 OWQ196579:OWQ196599 PGM196579:PGM196599 PQI196579:PQI196599 QAE196579:QAE196599 QKA196579:QKA196599 QTW196579:QTW196599 RDS196579:RDS196599 RNO196579:RNO196599 RXK196579:RXK196599 SHG196579:SHG196599 SRC196579:SRC196599 TAY196579:TAY196599 TKU196579:TKU196599 TUQ196579:TUQ196599 UEM196579:UEM196599 UOI196579:UOI196599 UYE196579:UYE196599 VIA196579:VIA196599 VRW196579:VRW196599 WBS196579:WBS196599 WLO196579:WLO196599 WVK196579:WVK196599 C262115:C262135 IY262115:IY262135 SU262115:SU262135 ACQ262115:ACQ262135 AMM262115:AMM262135 AWI262115:AWI262135 BGE262115:BGE262135 BQA262115:BQA262135 BZW262115:BZW262135 CJS262115:CJS262135 CTO262115:CTO262135 DDK262115:DDK262135 DNG262115:DNG262135 DXC262115:DXC262135 EGY262115:EGY262135 EQU262115:EQU262135 FAQ262115:FAQ262135 FKM262115:FKM262135 FUI262115:FUI262135 GEE262115:GEE262135 GOA262115:GOA262135 GXW262115:GXW262135 HHS262115:HHS262135 HRO262115:HRO262135 IBK262115:IBK262135 ILG262115:ILG262135 IVC262115:IVC262135 JEY262115:JEY262135 JOU262115:JOU262135 JYQ262115:JYQ262135 KIM262115:KIM262135 KSI262115:KSI262135 LCE262115:LCE262135 LMA262115:LMA262135 LVW262115:LVW262135 MFS262115:MFS262135 MPO262115:MPO262135 MZK262115:MZK262135 NJG262115:NJG262135 NTC262115:NTC262135 OCY262115:OCY262135 OMU262115:OMU262135 OWQ262115:OWQ262135 PGM262115:PGM262135 PQI262115:PQI262135 QAE262115:QAE262135 QKA262115:QKA262135 QTW262115:QTW262135 RDS262115:RDS262135 RNO262115:RNO262135 RXK262115:RXK262135 SHG262115:SHG262135 SRC262115:SRC262135 TAY262115:TAY262135 TKU262115:TKU262135 TUQ262115:TUQ262135 UEM262115:UEM262135 UOI262115:UOI262135 UYE262115:UYE262135 VIA262115:VIA262135 VRW262115:VRW262135 WBS262115:WBS262135 WLO262115:WLO262135 WVK262115:WVK262135 C327651:C327671 IY327651:IY327671 SU327651:SU327671 ACQ327651:ACQ327671 AMM327651:AMM327671 AWI327651:AWI327671 BGE327651:BGE327671 BQA327651:BQA327671 BZW327651:BZW327671 CJS327651:CJS327671 CTO327651:CTO327671 DDK327651:DDK327671 DNG327651:DNG327671 DXC327651:DXC327671 EGY327651:EGY327671 EQU327651:EQU327671 FAQ327651:FAQ327671 FKM327651:FKM327671 FUI327651:FUI327671 GEE327651:GEE327671 GOA327651:GOA327671 GXW327651:GXW327671 HHS327651:HHS327671 HRO327651:HRO327671 IBK327651:IBK327671 ILG327651:ILG327671 IVC327651:IVC327671 JEY327651:JEY327671 JOU327651:JOU327671 JYQ327651:JYQ327671 KIM327651:KIM327671 KSI327651:KSI327671 LCE327651:LCE327671 LMA327651:LMA327671 LVW327651:LVW327671 MFS327651:MFS327671 MPO327651:MPO327671 MZK327651:MZK327671 NJG327651:NJG327671 NTC327651:NTC327671 OCY327651:OCY327671 OMU327651:OMU327671 OWQ327651:OWQ327671 PGM327651:PGM327671 PQI327651:PQI327671 QAE327651:QAE327671 QKA327651:QKA327671 QTW327651:QTW327671 RDS327651:RDS327671 RNO327651:RNO327671 RXK327651:RXK327671 SHG327651:SHG327671 SRC327651:SRC327671 TAY327651:TAY327671 TKU327651:TKU327671 TUQ327651:TUQ327671 UEM327651:UEM327671 UOI327651:UOI327671 UYE327651:UYE327671 VIA327651:VIA327671 VRW327651:VRW327671 WBS327651:WBS327671 WLO327651:WLO327671 WVK327651:WVK327671 C393187:C393207 IY393187:IY393207 SU393187:SU393207 ACQ393187:ACQ393207 AMM393187:AMM393207 AWI393187:AWI393207 BGE393187:BGE393207 BQA393187:BQA393207 BZW393187:BZW393207 CJS393187:CJS393207 CTO393187:CTO393207 DDK393187:DDK393207 DNG393187:DNG393207 DXC393187:DXC393207 EGY393187:EGY393207 EQU393187:EQU393207 FAQ393187:FAQ393207 FKM393187:FKM393207 FUI393187:FUI393207 GEE393187:GEE393207 GOA393187:GOA393207 GXW393187:GXW393207 HHS393187:HHS393207 HRO393187:HRO393207 IBK393187:IBK393207 ILG393187:ILG393207 IVC393187:IVC393207 JEY393187:JEY393207 JOU393187:JOU393207 JYQ393187:JYQ393207 KIM393187:KIM393207 KSI393187:KSI393207 LCE393187:LCE393207 LMA393187:LMA393207 LVW393187:LVW393207 MFS393187:MFS393207 MPO393187:MPO393207 MZK393187:MZK393207 NJG393187:NJG393207 NTC393187:NTC393207 OCY393187:OCY393207 OMU393187:OMU393207 OWQ393187:OWQ393207 PGM393187:PGM393207 PQI393187:PQI393207 QAE393187:QAE393207 QKA393187:QKA393207 QTW393187:QTW393207 RDS393187:RDS393207 RNO393187:RNO393207 RXK393187:RXK393207 SHG393187:SHG393207 SRC393187:SRC393207 TAY393187:TAY393207 TKU393187:TKU393207 TUQ393187:TUQ393207 UEM393187:UEM393207 UOI393187:UOI393207 UYE393187:UYE393207 VIA393187:VIA393207 VRW393187:VRW393207 WBS393187:WBS393207 WLO393187:WLO393207 WVK393187:WVK393207 C458723:C458743 IY458723:IY458743 SU458723:SU458743 ACQ458723:ACQ458743 AMM458723:AMM458743 AWI458723:AWI458743 BGE458723:BGE458743 BQA458723:BQA458743 BZW458723:BZW458743 CJS458723:CJS458743 CTO458723:CTO458743 DDK458723:DDK458743 DNG458723:DNG458743 DXC458723:DXC458743 EGY458723:EGY458743 EQU458723:EQU458743 FAQ458723:FAQ458743 FKM458723:FKM458743 FUI458723:FUI458743 GEE458723:GEE458743 GOA458723:GOA458743 GXW458723:GXW458743 HHS458723:HHS458743 HRO458723:HRO458743 IBK458723:IBK458743 ILG458723:ILG458743 IVC458723:IVC458743 JEY458723:JEY458743 JOU458723:JOU458743 JYQ458723:JYQ458743 KIM458723:KIM458743 KSI458723:KSI458743 LCE458723:LCE458743 LMA458723:LMA458743 LVW458723:LVW458743 MFS458723:MFS458743 MPO458723:MPO458743 MZK458723:MZK458743 NJG458723:NJG458743 NTC458723:NTC458743 OCY458723:OCY458743 OMU458723:OMU458743 OWQ458723:OWQ458743 PGM458723:PGM458743 PQI458723:PQI458743 QAE458723:QAE458743 QKA458723:QKA458743 QTW458723:QTW458743 RDS458723:RDS458743 RNO458723:RNO458743 RXK458723:RXK458743 SHG458723:SHG458743 SRC458723:SRC458743 TAY458723:TAY458743 TKU458723:TKU458743 TUQ458723:TUQ458743 UEM458723:UEM458743 UOI458723:UOI458743 UYE458723:UYE458743 VIA458723:VIA458743 VRW458723:VRW458743 WBS458723:WBS458743 WLO458723:WLO458743 WVK458723:WVK458743 C524259:C524279 IY524259:IY524279 SU524259:SU524279 ACQ524259:ACQ524279 AMM524259:AMM524279 AWI524259:AWI524279 BGE524259:BGE524279 BQA524259:BQA524279 BZW524259:BZW524279 CJS524259:CJS524279 CTO524259:CTO524279 DDK524259:DDK524279 DNG524259:DNG524279 DXC524259:DXC524279 EGY524259:EGY524279 EQU524259:EQU524279 FAQ524259:FAQ524279 FKM524259:FKM524279 FUI524259:FUI524279 GEE524259:GEE524279 GOA524259:GOA524279 GXW524259:GXW524279 HHS524259:HHS524279 HRO524259:HRO524279 IBK524259:IBK524279 ILG524259:ILG524279 IVC524259:IVC524279 JEY524259:JEY524279 JOU524259:JOU524279 JYQ524259:JYQ524279 KIM524259:KIM524279 KSI524259:KSI524279 LCE524259:LCE524279 LMA524259:LMA524279 LVW524259:LVW524279 MFS524259:MFS524279 MPO524259:MPO524279 MZK524259:MZK524279 NJG524259:NJG524279 NTC524259:NTC524279 OCY524259:OCY524279 OMU524259:OMU524279 OWQ524259:OWQ524279 PGM524259:PGM524279 PQI524259:PQI524279 QAE524259:QAE524279 QKA524259:QKA524279 QTW524259:QTW524279 RDS524259:RDS524279 RNO524259:RNO524279 RXK524259:RXK524279 SHG524259:SHG524279 SRC524259:SRC524279 TAY524259:TAY524279 TKU524259:TKU524279 TUQ524259:TUQ524279 UEM524259:UEM524279 UOI524259:UOI524279 UYE524259:UYE524279 VIA524259:VIA524279 VRW524259:VRW524279 WBS524259:WBS524279 WLO524259:WLO524279 WVK524259:WVK524279 C589795:C589815 IY589795:IY589815 SU589795:SU589815 ACQ589795:ACQ589815 AMM589795:AMM589815 AWI589795:AWI589815 BGE589795:BGE589815 BQA589795:BQA589815 BZW589795:BZW589815 CJS589795:CJS589815 CTO589795:CTO589815 DDK589795:DDK589815 DNG589795:DNG589815 DXC589795:DXC589815 EGY589795:EGY589815 EQU589795:EQU589815 FAQ589795:FAQ589815 FKM589795:FKM589815 FUI589795:FUI589815 GEE589795:GEE589815 GOA589795:GOA589815 GXW589795:GXW589815 HHS589795:HHS589815 HRO589795:HRO589815 IBK589795:IBK589815 ILG589795:ILG589815 IVC589795:IVC589815 JEY589795:JEY589815 JOU589795:JOU589815 JYQ589795:JYQ589815 KIM589795:KIM589815 KSI589795:KSI589815 LCE589795:LCE589815 LMA589795:LMA589815 LVW589795:LVW589815 MFS589795:MFS589815 MPO589795:MPO589815 MZK589795:MZK589815 NJG589795:NJG589815 NTC589795:NTC589815 OCY589795:OCY589815 OMU589795:OMU589815 OWQ589795:OWQ589815 PGM589795:PGM589815 PQI589795:PQI589815 QAE589795:QAE589815 QKA589795:QKA589815 QTW589795:QTW589815 RDS589795:RDS589815 RNO589795:RNO589815 RXK589795:RXK589815 SHG589795:SHG589815 SRC589795:SRC589815 TAY589795:TAY589815 TKU589795:TKU589815 TUQ589795:TUQ589815 UEM589795:UEM589815 UOI589795:UOI589815 UYE589795:UYE589815 VIA589795:VIA589815 VRW589795:VRW589815 WBS589795:WBS589815 WLO589795:WLO589815 WVK589795:WVK589815 C655331:C655351 IY655331:IY655351 SU655331:SU655351 ACQ655331:ACQ655351 AMM655331:AMM655351 AWI655331:AWI655351 BGE655331:BGE655351 BQA655331:BQA655351 BZW655331:BZW655351 CJS655331:CJS655351 CTO655331:CTO655351 DDK655331:DDK655351 DNG655331:DNG655351 DXC655331:DXC655351 EGY655331:EGY655351 EQU655331:EQU655351 FAQ655331:FAQ655351 FKM655331:FKM655351 FUI655331:FUI655351 GEE655331:GEE655351 GOA655331:GOA655351 GXW655331:GXW655351 HHS655331:HHS655351 HRO655331:HRO655351 IBK655331:IBK655351 ILG655331:ILG655351 IVC655331:IVC655351 JEY655331:JEY655351 JOU655331:JOU655351 JYQ655331:JYQ655351 KIM655331:KIM655351 KSI655331:KSI655351 LCE655331:LCE655351 LMA655331:LMA655351 LVW655331:LVW655351 MFS655331:MFS655351 MPO655331:MPO655351 MZK655331:MZK655351 NJG655331:NJG655351 NTC655331:NTC655351 OCY655331:OCY655351 OMU655331:OMU655351 OWQ655331:OWQ655351 PGM655331:PGM655351 PQI655331:PQI655351 QAE655331:QAE655351 QKA655331:QKA655351 QTW655331:QTW655351 RDS655331:RDS655351 RNO655331:RNO655351 RXK655331:RXK655351 SHG655331:SHG655351 SRC655331:SRC655351 TAY655331:TAY655351 TKU655331:TKU655351 TUQ655331:TUQ655351 UEM655331:UEM655351 UOI655331:UOI655351 UYE655331:UYE655351 VIA655331:VIA655351 VRW655331:VRW655351 WBS655331:WBS655351 WLO655331:WLO655351 WVK655331:WVK655351 C720867:C720887 IY720867:IY720887 SU720867:SU720887 ACQ720867:ACQ720887 AMM720867:AMM720887 AWI720867:AWI720887 BGE720867:BGE720887 BQA720867:BQA720887 BZW720867:BZW720887 CJS720867:CJS720887 CTO720867:CTO720887 DDK720867:DDK720887 DNG720867:DNG720887 DXC720867:DXC720887 EGY720867:EGY720887 EQU720867:EQU720887 FAQ720867:FAQ720887 FKM720867:FKM720887 FUI720867:FUI720887 GEE720867:GEE720887 GOA720867:GOA720887 GXW720867:GXW720887 HHS720867:HHS720887 HRO720867:HRO720887 IBK720867:IBK720887 ILG720867:ILG720887 IVC720867:IVC720887 JEY720867:JEY720887 JOU720867:JOU720887 JYQ720867:JYQ720887 KIM720867:KIM720887 KSI720867:KSI720887 LCE720867:LCE720887 LMA720867:LMA720887 LVW720867:LVW720887 MFS720867:MFS720887 MPO720867:MPO720887 MZK720867:MZK720887 NJG720867:NJG720887 NTC720867:NTC720887 OCY720867:OCY720887 OMU720867:OMU720887 OWQ720867:OWQ720887 PGM720867:PGM720887 PQI720867:PQI720887 QAE720867:QAE720887 QKA720867:QKA720887 QTW720867:QTW720887 RDS720867:RDS720887 RNO720867:RNO720887 RXK720867:RXK720887 SHG720867:SHG720887 SRC720867:SRC720887 TAY720867:TAY720887 TKU720867:TKU720887 TUQ720867:TUQ720887 UEM720867:UEM720887 UOI720867:UOI720887 UYE720867:UYE720887 VIA720867:VIA720887 VRW720867:VRW720887 WBS720867:WBS720887 WLO720867:WLO720887 WVK720867:WVK720887 C786403:C786423 IY786403:IY786423 SU786403:SU786423 ACQ786403:ACQ786423 AMM786403:AMM786423 AWI786403:AWI786423 BGE786403:BGE786423 BQA786403:BQA786423 BZW786403:BZW786423 CJS786403:CJS786423 CTO786403:CTO786423 DDK786403:DDK786423 DNG786403:DNG786423 DXC786403:DXC786423 EGY786403:EGY786423 EQU786403:EQU786423 FAQ786403:FAQ786423 FKM786403:FKM786423 FUI786403:FUI786423 GEE786403:GEE786423 GOA786403:GOA786423 GXW786403:GXW786423 HHS786403:HHS786423 HRO786403:HRO786423 IBK786403:IBK786423 ILG786403:ILG786423 IVC786403:IVC786423 JEY786403:JEY786423 JOU786403:JOU786423 JYQ786403:JYQ786423 KIM786403:KIM786423 KSI786403:KSI786423 LCE786403:LCE786423 LMA786403:LMA786423 LVW786403:LVW786423 MFS786403:MFS786423 MPO786403:MPO786423 MZK786403:MZK786423 NJG786403:NJG786423 NTC786403:NTC786423 OCY786403:OCY786423 OMU786403:OMU786423 OWQ786403:OWQ786423 PGM786403:PGM786423 PQI786403:PQI786423 QAE786403:QAE786423 QKA786403:QKA786423 QTW786403:QTW786423 RDS786403:RDS786423 RNO786403:RNO786423 RXK786403:RXK786423 SHG786403:SHG786423 SRC786403:SRC786423 TAY786403:TAY786423 TKU786403:TKU786423 TUQ786403:TUQ786423 UEM786403:UEM786423 UOI786403:UOI786423 UYE786403:UYE786423 VIA786403:VIA786423 VRW786403:VRW786423 WBS786403:WBS786423 WLO786403:WLO786423 WVK786403:WVK786423 C851939:C851959 IY851939:IY851959 SU851939:SU851959 ACQ851939:ACQ851959 AMM851939:AMM851959 AWI851939:AWI851959 BGE851939:BGE851959 BQA851939:BQA851959 BZW851939:BZW851959 CJS851939:CJS851959 CTO851939:CTO851959 DDK851939:DDK851959 DNG851939:DNG851959 DXC851939:DXC851959 EGY851939:EGY851959 EQU851939:EQU851959 FAQ851939:FAQ851959 FKM851939:FKM851959 FUI851939:FUI851959 GEE851939:GEE851959 GOA851939:GOA851959 GXW851939:GXW851959 HHS851939:HHS851959 HRO851939:HRO851959 IBK851939:IBK851959 ILG851939:ILG851959 IVC851939:IVC851959 JEY851939:JEY851959 JOU851939:JOU851959 JYQ851939:JYQ851959 KIM851939:KIM851959 KSI851939:KSI851959 LCE851939:LCE851959 LMA851939:LMA851959 LVW851939:LVW851959 MFS851939:MFS851959 MPO851939:MPO851959 MZK851939:MZK851959 NJG851939:NJG851959 NTC851939:NTC851959 OCY851939:OCY851959 OMU851939:OMU851959 OWQ851939:OWQ851959 PGM851939:PGM851959 PQI851939:PQI851959 QAE851939:QAE851959 QKA851939:QKA851959 QTW851939:QTW851959 RDS851939:RDS851959 RNO851939:RNO851959 RXK851939:RXK851959 SHG851939:SHG851959 SRC851939:SRC851959 TAY851939:TAY851959 TKU851939:TKU851959 TUQ851939:TUQ851959 UEM851939:UEM851959 UOI851939:UOI851959 UYE851939:UYE851959 VIA851939:VIA851959 VRW851939:VRW851959 WBS851939:WBS851959 WLO851939:WLO851959 WVK851939:WVK851959 C917475:C917495 IY917475:IY917495 SU917475:SU917495 ACQ917475:ACQ917495 AMM917475:AMM917495 AWI917475:AWI917495 BGE917475:BGE917495 BQA917475:BQA917495 BZW917475:BZW917495 CJS917475:CJS917495 CTO917475:CTO917495 DDK917475:DDK917495 DNG917475:DNG917495 DXC917475:DXC917495 EGY917475:EGY917495 EQU917475:EQU917495 FAQ917475:FAQ917495 FKM917475:FKM917495 FUI917475:FUI917495 GEE917475:GEE917495 GOA917475:GOA917495 GXW917475:GXW917495 HHS917475:HHS917495 HRO917475:HRO917495 IBK917475:IBK917495 ILG917475:ILG917495 IVC917475:IVC917495 JEY917475:JEY917495 JOU917475:JOU917495 JYQ917475:JYQ917495 KIM917475:KIM917495 KSI917475:KSI917495 LCE917475:LCE917495 LMA917475:LMA917495 LVW917475:LVW917495 MFS917475:MFS917495 MPO917475:MPO917495 MZK917475:MZK917495 NJG917475:NJG917495 NTC917475:NTC917495 OCY917475:OCY917495 OMU917475:OMU917495 OWQ917475:OWQ917495 PGM917475:PGM917495 PQI917475:PQI917495 QAE917475:QAE917495 QKA917475:QKA917495 QTW917475:QTW917495 RDS917475:RDS917495 RNO917475:RNO917495 RXK917475:RXK917495 SHG917475:SHG917495 SRC917475:SRC917495 TAY917475:TAY917495 TKU917475:TKU917495 TUQ917475:TUQ917495 UEM917475:UEM917495 UOI917475:UOI917495 UYE917475:UYE917495 VIA917475:VIA917495 VRW917475:VRW917495 WBS917475:WBS917495 WLO917475:WLO917495 WVK917475:WVK917495 C983011:C983031 IY983011:IY983031 SU983011:SU983031 ACQ983011:ACQ983031 AMM983011:AMM983031 AWI983011:AWI983031 BGE983011:BGE983031 BQA983011:BQA983031 BZW983011:BZW983031 CJS983011:CJS983031 CTO983011:CTO983031 DDK983011:DDK983031 DNG983011:DNG983031 DXC983011:DXC983031 EGY983011:EGY983031 EQU983011:EQU983031 FAQ983011:FAQ983031 FKM983011:FKM983031 FUI983011:FUI983031 GEE983011:GEE983031 GOA983011:GOA983031 GXW983011:GXW983031 HHS983011:HHS983031 HRO983011:HRO983031 IBK983011:IBK983031 ILG983011:ILG983031 IVC983011:IVC983031 JEY983011:JEY983031 JOU983011:JOU983031 JYQ983011:JYQ983031 KIM983011:KIM983031 KSI983011:KSI983031 LCE983011:LCE983031 LMA983011:LMA983031 LVW983011:LVW983031 MFS983011:MFS983031 MPO983011:MPO983031 MZK983011:MZK983031 NJG983011:NJG983031 NTC983011:NTC983031 OCY983011:OCY983031 OMU983011:OMU983031 OWQ983011:OWQ983031 PGM983011:PGM983031 PQI983011:PQI983031 QAE983011:QAE983031 QKA983011:QKA983031 QTW983011:QTW983031 RDS983011:RDS983031 RNO983011:RNO983031 RXK983011:RXK983031 SHG983011:SHG983031 SRC983011:SRC983031 TAY983011:TAY983031 TKU983011:TKU983031 TUQ983011:TUQ983031 UEM983011:UEM983031 UOI983011:UOI983031 UYE983011:UYE983031 VIA983011:VIA983031 VRW983011:VRW983031 WBS983011:WBS983031 WLO983011:WLO983031 WVK983011:WVK983031 C65547:C65554 IY65547:IY65554 SU65547:SU65554 ACQ65547:ACQ65554 AMM65547:AMM65554 AWI65547:AWI65554 BGE65547:BGE65554 BQA65547:BQA65554 BZW65547:BZW65554 CJS65547:CJS65554 CTO65547:CTO65554 DDK65547:DDK65554 DNG65547:DNG65554 DXC65547:DXC65554 EGY65547:EGY65554 EQU65547:EQU65554 FAQ65547:FAQ65554 FKM65547:FKM65554 FUI65547:FUI65554 GEE65547:GEE65554 GOA65547:GOA65554 GXW65547:GXW65554 HHS65547:HHS65554 HRO65547:HRO65554 IBK65547:IBK65554 ILG65547:ILG65554 IVC65547:IVC65554 JEY65547:JEY65554 JOU65547:JOU65554 JYQ65547:JYQ65554 KIM65547:KIM65554 KSI65547:KSI65554 LCE65547:LCE65554 LMA65547:LMA65554 LVW65547:LVW65554 MFS65547:MFS65554 MPO65547:MPO65554 MZK65547:MZK65554 NJG65547:NJG65554 NTC65547:NTC65554 OCY65547:OCY65554 OMU65547:OMU65554 OWQ65547:OWQ65554 PGM65547:PGM65554 PQI65547:PQI65554 QAE65547:QAE65554 QKA65547:QKA65554 QTW65547:QTW65554 RDS65547:RDS65554 RNO65547:RNO65554 RXK65547:RXK65554 SHG65547:SHG65554 SRC65547:SRC65554 TAY65547:TAY65554 TKU65547:TKU65554 TUQ65547:TUQ65554 UEM65547:UEM65554 UOI65547:UOI65554 UYE65547:UYE65554 VIA65547:VIA65554 VRW65547:VRW65554 WBS65547:WBS65554 WLO65547:WLO65554 WVK65547:WVK65554 C131083:C131090 IY131083:IY131090 SU131083:SU131090 ACQ131083:ACQ131090 AMM131083:AMM131090 AWI131083:AWI131090 BGE131083:BGE131090 BQA131083:BQA131090 BZW131083:BZW131090 CJS131083:CJS131090 CTO131083:CTO131090 DDK131083:DDK131090 DNG131083:DNG131090 DXC131083:DXC131090 EGY131083:EGY131090 EQU131083:EQU131090 FAQ131083:FAQ131090 FKM131083:FKM131090 FUI131083:FUI131090 GEE131083:GEE131090 GOA131083:GOA131090 GXW131083:GXW131090 HHS131083:HHS131090 HRO131083:HRO131090 IBK131083:IBK131090 ILG131083:ILG131090 IVC131083:IVC131090 JEY131083:JEY131090 JOU131083:JOU131090 JYQ131083:JYQ131090 KIM131083:KIM131090 KSI131083:KSI131090 LCE131083:LCE131090 LMA131083:LMA131090 LVW131083:LVW131090 MFS131083:MFS131090 MPO131083:MPO131090 MZK131083:MZK131090 NJG131083:NJG131090 NTC131083:NTC131090 OCY131083:OCY131090 OMU131083:OMU131090 OWQ131083:OWQ131090 PGM131083:PGM131090 PQI131083:PQI131090 QAE131083:QAE131090 QKA131083:QKA131090 QTW131083:QTW131090 RDS131083:RDS131090 RNO131083:RNO131090 RXK131083:RXK131090 SHG131083:SHG131090 SRC131083:SRC131090 TAY131083:TAY131090 TKU131083:TKU131090 TUQ131083:TUQ131090 UEM131083:UEM131090 UOI131083:UOI131090 UYE131083:UYE131090 VIA131083:VIA131090 VRW131083:VRW131090 WBS131083:WBS131090 WLO131083:WLO131090 WVK131083:WVK131090 C196619:C196626 IY196619:IY196626 SU196619:SU196626 ACQ196619:ACQ196626 AMM196619:AMM196626 AWI196619:AWI196626 BGE196619:BGE196626 BQA196619:BQA196626 BZW196619:BZW196626 CJS196619:CJS196626 CTO196619:CTO196626 DDK196619:DDK196626 DNG196619:DNG196626 DXC196619:DXC196626 EGY196619:EGY196626 EQU196619:EQU196626 FAQ196619:FAQ196626 FKM196619:FKM196626 FUI196619:FUI196626 GEE196619:GEE196626 GOA196619:GOA196626 GXW196619:GXW196626 HHS196619:HHS196626 HRO196619:HRO196626 IBK196619:IBK196626 ILG196619:ILG196626 IVC196619:IVC196626 JEY196619:JEY196626 JOU196619:JOU196626 JYQ196619:JYQ196626 KIM196619:KIM196626 KSI196619:KSI196626 LCE196619:LCE196626 LMA196619:LMA196626 LVW196619:LVW196626 MFS196619:MFS196626 MPO196619:MPO196626 MZK196619:MZK196626 NJG196619:NJG196626 NTC196619:NTC196626 OCY196619:OCY196626 OMU196619:OMU196626 OWQ196619:OWQ196626 PGM196619:PGM196626 PQI196619:PQI196626 QAE196619:QAE196626 QKA196619:QKA196626 QTW196619:QTW196626 RDS196619:RDS196626 RNO196619:RNO196626 RXK196619:RXK196626 SHG196619:SHG196626 SRC196619:SRC196626 TAY196619:TAY196626 TKU196619:TKU196626 TUQ196619:TUQ196626 UEM196619:UEM196626 UOI196619:UOI196626 UYE196619:UYE196626 VIA196619:VIA196626 VRW196619:VRW196626 WBS196619:WBS196626 WLO196619:WLO196626 WVK196619:WVK196626 C262155:C262162 IY262155:IY262162 SU262155:SU262162 ACQ262155:ACQ262162 AMM262155:AMM262162 AWI262155:AWI262162 BGE262155:BGE262162 BQA262155:BQA262162 BZW262155:BZW262162 CJS262155:CJS262162 CTO262155:CTO262162 DDK262155:DDK262162 DNG262155:DNG262162 DXC262155:DXC262162 EGY262155:EGY262162 EQU262155:EQU262162 FAQ262155:FAQ262162 FKM262155:FKM262162 FUI262155:FUI262162 GEE262155:GEE262162 GOA262155:GOA262162 GXW262155:GXW262162 HHS262155:HHS262162 HRO262155:HRO262162 IBK262155:IBK262162 ILG262155:ILG262162 IVC262155:IVC262162 JEY262155:JEY262162 JOU262155:JOU262162 JYQ262155:JYQ262162 KIM262155:KIM262162 KSI262155:KSI262162 LCE262155:LCE262162 LMA262155:LMA262162 LVW262155:LVW262162 MFS262155:MFS262162 MPO262155:MPO262162 MZK262155:MZK262162 NJG262155:NJG262162 NTC262155:NTC262162 OCY262155:OCY262162 OMU262155:OMU262162 OWQ262155:OWQ262162 PGM262155:PGM262162 PQI262155:PQI262162 QAE262155:QAE262162 QKA262155:QKA262162 QTW262155:QTW262162 RDS262155:RDS262162 RNO262155:RNO262162 RXK262155:RXK262162 SHG262155:SHG262162 SRC262155:SRC262162 TAY262155:TAY262162 TKU262155:TKU262162 TUQ262155:TUQ262162 UEM262155:UEM262162 UOI262155:UOI262162 UYE262155:UYE262162 VIA262155:VIA262162 VRW262155:VRW262162 WBS262155:WBS262162 WLO262155:WLO262162 WVK262155:WVK262162 C327691:C327698 IY327691:IY327698 SU327691:SU327698 ACQ327691:ACQ327698 AMM327691:AMM327698 AWI327691:AWI327698 BGE327691:BGE327698 BQA327691:BQA327698 BZW327691:BZW327698 CJS327691:CJS327698 CTO327691:CTO327698 DDK327691:DDK327698 DNG327691:DNG327698 DXC327691:DXC327698 EGY327691:EGY327698 EQU327691:EQU327698 FAQ327691:FAQ327698 FKM327691:FKM327698 FUI327691:FUI327698 GEE327691:GEE327698 GOA327691:GOA327698 GXW327691:GXW327698 HHS327691:HHS327698 HRO327691:HRO327698 IBK327691:IBK327698 ILG327691:ILG327698 IVC327691:IVC327698 JEY327691:JEY327698 JOU327691:JOU327698 JYQ327691:JYQ327698 KIM327691:KIM327698 KSI327691:KSI327698 LCE327691:LCE327698 LMA327691:LMA327698 LVW327691:LVW327698 MFS327691:MFS327698 MPO327691:MPO327698 MZK327691:MZK327698 NJG327691:NJG327698 NTC327691:NTC327698 OCY327691:OCY327698 OMU327691:OMU327698 OWQ327691:OWQ327698 PGM327691:PGM327698 PQI327691:PQI327698 QAE327691:QAE327698 QKA327691:QKA327698 QTW327691:QTW327698 RDS327691:RDS327698 RNO327691:RNO327698 RXK327691:RXK327698 SHG327691:SHG327698 SRC327691:SRC327698 TAY327691:TAY327698 TKU327691:TKU327698 TUQ327691:TUQ327698 UEM327691:UEM327698 UOI327691:UOI327698 UYE327691:UYE327698 VIA327691:VIA327698 VRW327691:VRW327698 WBS327691:WBS327698 WLO327691:WLO327698 WVK327691:WVK327698 C393227:C393234 IY393227:IY393234 SU393227:SU393234 ACQ393227:ACQ393234 AMM393227:AMM393234 AWI393227:AWI393234 BGE393227:BGE393234 BQA393227:BQA393234 BZW393227:BZW393234 CJS393227:CJS393234 CTO393227:CTO393234 DDK393227:DDK393234 DNG393227:DNG393234 DXC393227:DXC393234 EGY393227:EGY393234 EQU393227:EQU393234 FAQ393227:FAQ393234 FKM393227:FKM393234 FUI393227:FUI393234 GEE393227:GEE393234 GOA393227:GOA393234 GXW393227:GXW393234 HHS393227:HHS393234 HRO393227:HRO393234 IBK393227:IBK393234 ILG393227:ILG393234 IVC393227:IVC393234 JEY393227:JEY393234 JOU393227:JOU393234 JYQ393227:JYQ393234 KIM393227:KIM393234 KSI393227:KSI393234 LCE393227:LCE393234 LMA393227:LMA393234 LVW393227:LVW393234 MFS393227:MFS393234 MPO393227:MPO393234 MZK393227:MZK393234 NJG393227:NJG393234 NTC393227:NTC393234 OCY393227:OCY393234 OMU393227:OMU393234 OWQ393227:OWQ393234 PGM393227:PGM393234 PQI393227:PQI393234 QAE393227:QAE393234 QKA393227:QKA393234 QTW393227:QTW393234 RDS393227:RDS393234 RNO393227:RNO393234 RXK393227:RXK393234 SHG393227:SHG393234 SRC393227:SRC393234 TAY393227:TAY393234 TKU393227:TKU393234 TUQ393227:TUQ393234 UEM393227:UEM393234 UOI393227:UOI393234 UYE393227:UYE393234 VIA393227:VIA393234 VRW393227:VRW393234 WBS393227:WBS393234 WLO393227:WLO393234 WVK393227:WVK393234 C458763:C458770 IY458763:IY458770 SU458763:SU458770 ACQ458763:ACQ458770 AMM458763:AMM458770 AWI458763:AWI458770 BGE458763:BGE458770 BQA458763:BQA458770 BZW458763:BZW458770 CJS458763:CJS458770 CTO458763:CTO458770 DDK458763:DDK458770 DNG458763:DNG458770 DXC458763:DXC458770 EGY458763:EGY458770 EQU458763:EQU458770 FAQ458763:FAQ458770 FKM458763:FKM458770 FUI458763:FUI458770 GEE458763:GEE458770 GOA458763:GOA458770 GXW458763:GXW458770 HHS458763:HHS458770 HRO458763:HRO458770 IBK458763:IBK458770 ILG458763:ILG458770 IVC458763:IVC458770 JEY458763:JEY458770 JOU458763:JOU458770 JYQ458763:JYQ458770 KIM458763:KIM458770 KSI458763:KSI458770 LCE458763:LCE458770 LMA458763:LMA458770 LVW458763:LVW458770 MFS458763:MFS458770 MPO458763:MPO458770 MZK458763:MZK458770 NJG458763:NJG458770 NTC458763:NTC458770 OCY458763:OCY458770 OMU458763:OMU458770 OWQ458763:OWQ458770 PGM458763:PGM458770 PQI458763:PQI458770 QAE458763:QAE458770 QKA458763:QKA458770 QTW458763:QTW458770 RDS458763:RDS458770 RNO458763:RNO458770 RXK458763:RXK458770 SHG458763:SHG458770 SRC458763:SRC458770 TAY458763:TAY458770 TKU458763:TKU458770 TUQ458763:TUQ458770 UEM458763:UEM458770 UOI458763:UOI458770 UYE458763:UYE458770 VIA458763:VIA458770 VRW458763:VRW458770 WBS458763:WBS458770 WLO458763:WLO458770 WVK458763:WVK458770 C524299:C524306 IY524299:IY524306 SU524299:SU524306 ACQ524299:ACQ524306 AMM524299:AMM524306 AWI524299:AWI524306 BGE524299:BGE524306 BQA524299:BQA524306 BZW524299:BZW524306 CJS524299:CJS524306 CTO524299:CTO524306 DDK524299:DDK524306 DNG524299:DNG524306 DXC524299:DXC524306 EGY524299:EGY524306 EQU524299:EQU524306 FAQ524299:FAQ524306 FKM524299:FKM524306 FUI524299:FUI524306 GEE524299:GEE524306 GOA524299:GOA524306 GXW524299:GXW524306 HHS524299:HHS524306 HRO524299:HRO524306 IBK524299:IBK524306 ILG524299:ILG524306 IVC524299:IVC524306 JEY524299:JEY524306 JOU524299:JOU524306 JYQ524299:JYQ524306 KIM524299:KIM524306 KSI524299:KSI524306 LCE524299:LCE524306 LMA524299:LMA524306 LVW524299:LVW524306 MFS524299:MFS524306 MPO524299:MPO524306 MZK524299:MZK524306 NJG524299:NJG524306 NTC524299:NTC524306 OCY524299:OCY524306 OMU524299:OMU524306 OWQ524299:OWQ524306 PGM524299:PGM524306 PQI524299:PQI524306 QAE524299:QAE524306 QKA524299:QKA524306 QTW524299:QTW524306 RDS524299:RDS524306 RNO524299:RNO524306 RXK524299:RXK524306 SHG524299:SHG524306 SRC524299:SRC524306 TAY524299:TAY524306 TKU524299:TKU524306 TUQ524299:TUQ524306 UEM524299:UEM524306 UOI524299:UOI524306 UYE524299:UYE524306 VIA524299:VIA524306 VRW524299:VRW524306 WBS524299:WBS524306 WLO524299:WLO524306 WVK524299:WVK524306 C589835:C589842 IY589835:IY589842 SU589835:SU589842 ACQ589835:ACQ589842 AMM589835:AMM589842 AWI589835:AWI589842 BGE589835:BGE589842 BQA589835:BQA589842 BZW589835:BZW589842 CJS589835:CJS589842 CTO589835:CTO589842 DDK589835:DDK589842 DNG589835:DNG589842 DXC589835:DXC589842 EGY589835:EGY589842 EQU589835:EQU589842 FAQ589835:FAQ589842 FKM589835:FKM589842 FUI589835:FUI589842 GEE589835:GEE589842 GOA589835:GOA589842 GXW589835:GXW589842 HHS589835:HHS589842 HRO589835:HRO589842 IBK589835:IBK589842 ILG589835:ILG589842 IVC589835:IVC589842 JEY589835:JEY589842 JOU589835:JOU589842 JYQ589835:JYQ589842 KIM589835:KIM589842 KSI589835:KSI589842 LCE589835:LCE589842 LMA589835:LMA589842 LVW589835:LVW589842 MFS589835:MFS589842 MPO589835:MPO589842 MZK589835:MZK589842 NJG589835:NJG589842 NTC589835:NTC589842 OCY589835:OCY589842 OMU589835:OMU589842 OWQ589835:OWQ589842 PGM589835:PGM589842 PQI589835:PQI589842 QAE589835:QAE589842 QKA589835:QKA589842 QTW589835:QTW589842 RDS589835:RDS589842 RNO589835:RNO589842 RXK589835:RXK589842 SHG589835:SHG589842 SRC589835:SRC589842 TAY589835:TAY589842 TKU589835:TKU589842 TUQ589835:TUQ589842 UEM589835:UEM589842 UOI589835:UOI589842 UYE589835:UYE589842 VIA589835:VIA589842 VRW589835:VRW589842 WBS589835:WBS589842 WLO589835:WLO589842 WVK589835:WVK589842 C655371:C655378 IY655371:IY655378 SU655371:SU655378 ACQ655371:ACQ655378 AMM655371:AMM655378 AWI655371:AWI655378 BGE655371:BGE655378 BQA655371:BQA655378 BZW655371:BZW655378 CJS655371:CJS655378 CTO655371:CTO655378 DDK655371:DDK655378 DNG655371:DNG655378 DXC655371:DXC655378 EGY655371:EGY655378 EQU655371:EQU655378 FAQ655371:FAQ655378 FKM655371:FKM655378 FUI655371:FUI655378 GEE655371:GEE655378 GOA655371:GOA655378 GXW655371:GXW655378 HHS655371:HHS655378 HRO655371:HRO655378 IBK655371:IBK655378 ILG655371:ILG655378 IVC655371:IVC655378 JEY655371:JEY655378 JOU655371:JOU655378 JYQ655371:JYQ655378 KIM655371:KIM655378 KSI655371:KSI655378 LCE655371:LCE655378 LMA655371:LMA655378 LVW655371:LVW655378 MFS655371:MFS655378 MPO655371:MPO655378 MZK655371:MZK655378 NJG655371:NJG655378 NTC655371:NTC655378 OCY655371:OCY655378 OMU655371:OMU655378 OWQ655371:OWQ655378 PGM655371:PGM655378 PQI655371:PQI655378 QAE655371:QAE655378 QKA655371:QKA655378 QTW655371:QTW655378 RDS655371:RDS655378 RNO655371:RNO655378 RXK655371:RXK655378 SHG655371:SHG655378 SRC655371:SRC655378 TAY655371:TAY655378 TKU655371:TKU655378 TUQ655371:TUQ655378 UEM655371:UEM655378 UOI655371:UOI655378 UYE655371:UYE655378 VIA655371:VIA655378 VRW655371:VRW655378 WBS655371:WBS655378 WLO655371:WLO655378 WVK655371:WVK655378 C720907:C720914 IY720907:IY720914 SU720907:SU720914 ACQ720907:ACQ720914 AMM720907:AMM720914 AWI720907:AWI720914 BGE720907:BGE720914 BQA720907:BQA720914 BZW720907:BZW720914 CJS720907:CJS720914 CTO720907:CTO720914 DDK720907:DDK720914 DNG720907:DNG720914 DXC720907:DXC720914 EGY720907:EGY720914 EQU720907:EQU720914 FAQ720907:FAQ720914 FKM720907:FKM720914 FUI720907:FUI720914 GEE720907:GEE720914 GOA720907:GOA720914 GXW720907:GXW720914 HHS720907:HHS720914 HRO720907:HRO720914 IBK720907:IBK720914 ILG720907:ILG720914 IVC720907:IVC720914 JEY720907:JEY720914 JOU720907:JOU720914 JYQ720907:JYQ720914 KIM720907:KIM720914 KSI720907:KSI720914 LCE720907:LCE720914 LMA720907:LMA720914 LVW720907:LVW720914 MFS720907:MFS720914 MPO720907:MPO720914 MZK720907:MZK720914 NJG720907:NJG720914 NTC720907:NTC720914 OCY720907:OCY720914 OMU720907:OMU720914 OWQ720907:OWQ720914 PGM720907:PGM720914 PQI720907:PQI720914 QAE720907:QAE720914 QKA720907:QKA720914 QTW720907:QTW720914 RDS720907:RDS720914 RNO720907:RNO720914 RXK720907:RXK720914 SHG720907:SHG720914 SRC720907:SRC720914 TAY720907:TAY720914 TKU720907:TKU720914 TUQ720907:TUQ720914 UEM720907:UEM720914 UOI720907:UOI720914 UYE720907:UYE720914 VIA720907:VIA720914 VRW720907:VRW720914 WBS720907:WBS720914 WLO720907:WLO720914 WVK720907:WVK720914 C786443:C786450 IY786443:IY786450 SU786443:SU786450 ACQ786443:ACQ786450 AMM786443:AMM786450 AWI786443:AWI786450 BGE786443:BGE786450 BQA786443:BQA786450 BZW786443:BZW786450 CJS786443:CJS786450 CTO786443:CTO786450 DDK786443:DDK786450 DNG786443:DNG786450 DXC786443:DXC786450 EGY786443:EGY786450 EQU786443:EQU786450 FAQ786443:FAQ786450 FKM786443:FKM786450 FUI786443:FUI786450 GEE786443:GEE786450 GOA786443:GOA786450 GXW786443:GXW786450 HHS786443:HHS786450 HRO786443:HRO786450 IBK786443:IBK786450 ILG786443:ILG786450 IVC786443:IVC786450 JEY786443:JEY786450 JOU786443:JOU786450 JYQ786443:JYQ786450 KIM786443:KIM786450 KSI786443:KSI786450 LCE786443:LCE786450 LMA786443:LMA786450 LVW786443:LVW786450 MFS786443:MFS786450 MPO786443:MPO786450 MZK786443:MZK786450 NJG786443:NJG786450 NTC786443:NTC786450 OCY786443:OCY786450 OMU786443:OMU786450 OWQ786443:OWQ786450 PGM786443:PGM786450 PQI786443:PQI786450 QAE786443:QAE786450 QKA786443:QKA786450 QTW786443:QTW786450 RDS786443:RDS786450 RNO786443:RNO786450 RXK786443:RXK786450 SHG786443:SHG786450 SRC786443:SRC786450 TAY786443:TAY786450 TKU786443:TKU786450 TUQ786443:TUQ786450 UEM786443:UEM786450 UOI786443:UOI786450 UYE786443:UYE786450 VIA786443:VIA786450 VRW786443:VRW786450 WBS786443:WBS786450 WLO786443:WLO786450 WVK786443:WVK786450 C851979:C851986 IY851979:IY851986 SU851979:SU851986 ACQ851979:ACQ851986 AMM851979:AMM851986 AWI851979:AWI851986 BGE851979:BGE851986 BQA851979:BQA851986 BZW851979:BZW851986 CJS851979:CJS851986 CTO851979:CTO851986 DDK851979:DDK851986 DNG851979:DNG851986 DXC851979:DXC851986 EGY851979:EGY851986 EQU851979:EQU851986 FAQ851979:FAQ851986 FKM851979:FKM851986 FUI851979:FUI851986 GEE851979:GEE851986 GOA851979:GOA851986 GXW851979:GXW851986 HHS851979:HHS851986 HRO851979:HRO851986 IBK851979:IBK851986 ILG851979:ILG851986 IVC851979:IVC851986 JEY851979:JEY851986 JOU851979:JOU851986 JYQ851979:JYQ851986 KIM851979:KIM851986 KSI851979:KSI851986 LCE851979:LCE851986 LMA851979:LMA851986 LVW851979:LVW851986 MFS851979:MFS851986 MPO851979:MPO851986 MZK851979:MZK851986 NJG851979:NJG851986 NTC851979:NTC851986 OCY851979:OCY851986 OMU851979:OMU851986 OWQ851979:OWQ851986 PGM851979:PGM851986 PQI851979:PQI851986 QAE851979:QAE851986 QKA851979:QKA851986 QTW851979:QTW851986 RDS851979:RDS851986 RNO851979:RNO851986 RXK851979:RXK851986 SHG851979:SHG851986 SRC851979:SRC851986 TAY851979:TAY851986 TKU851979:TKU851986 TUQ851979:TUQ851986 UEM851979:UEM851986 UOI851979:UOI851986 UYE851979:UYE851986 VIA851979:VIA851986 VRW851979:VRW851986 WBS851979:WBS851986 WLO851979:WLO851986 WVK851979:WVK851986 C917515:C917522 IY917515:IY917522 SU917515:SU917522 ACQ917515:ACQ917522 AMM917515:AMM917522 AWI917515:AWI917522 BGE917515:BGE917522 BQA917515:BQA917522 BZW917515:BZW917522 CJS917515:CJS917522 CTO917515:CTO917522 DDK917515:DDK917522 DNG917515:DNG917522 DXC917515:DXC917522 EGY917515:EGY917522 EQU917515:EQU917522 FAQ917515:FAQ917522 FKM917515:FKM917522 FUI917515:FUI917522 GEE917515:GEE917522 GOA917515:GOA917522 GXW917515:GXW917522 HHS917515:HHS917522 HRO917515:HRO917522 IBK917515:IBK917522 ILG917515:ILG917522 IVC917515:IVC917522 JEY917515:JEY917522 JOU917515:JOU917522 JYQ917515:JYQ917522 KIM917515:KIM917522 KSI917515:KSI917522 LCE917515:LCE917522 LMA917515:LMA917522 LVW917515:LVW917522 MFS917515:MFS917522 MPO917515:MPO917522 MZK917515:MZK917522 NJG917515:NJG917522 NTC917515:NTC917522 OCY917515:OCY917522 OMU917515:OMU917522 OWQ917515:OWQ917522 PGM917515:PGM917522 PQI917515:PQI917522 QAE917515:QAE917522 QKA917515:QKA917522 QTW917515:QTW917522 RDS917515:RDS917522 RNO917515:RNO917522 RXK917515:RXK917522 SHG917515:SHG917522 SRC917515:SRC917522 TAY917515:TAY917522 TKU917515:TKU917522 TUQ917515:TUQ917522 UEM917515:UEM917522 UOI917515:UOI917522 UYE917515:UYE917522 VIA917515:VIA917522 VRW917515:VRW917522 WBS917515:WBS917522 WLO917515:WLO917522 WVK917515:WVK917522 C983051:C983058 IY983051:IY983058 SU983051:SU983058 ACQ983051:ACQ983058 AMM983051:AMM983058 AWI983051:AWI983058 BGE983051:BGE983058 BQA983051:BQA983058 BZW983051:BZW983058 CJS983051:CJS983058 CTO983051:CTO983058 DDK983051:DDK983058 DNG983051:DNG983058 DXC983051:DXC983058 EGY983051:EGY983058 EQU983051:EQU983058 FAQ983051:FAQ983058 FKM983051:FKM983058 FUI983051:FUI983058 GEE983051:GEE983058 GOA983051:GOA983058 GXW983051:GXW983058 HHS983051:HHS983058 HRO983051:HRO983058 IBK983051:IBK983058 ILG983051:ILG983058 IVC983051:IVC983058 JEY983051:JEY983058 JOU983051:JOU983058 JYQ983051:JYQ983058 KIM983051:KIM983058 KSI983051:KSI983058 LCE983051:LCE983058 LMA983051:LMA983058 LVW983051:LVW983058 MFS983051:MFS983058 MPO983051:MPO983058 MZK983051:MZK983058 NJG983051:NJG983058 NTC983051:NTC983058 OCY983051:OCY983058 OMU983051:OMU983058 OWQ983051:OWQ983058 PGM983051:PGM983058 PQI983051:PQI983058 QAE983051:QAE983058 QKA983051:QKA983058 QTW983051:QTW983058 RDS983051:RDS983058 RNO983051:RNO983058 RXK983051:RXK983058 SHG983051:SHG983058 SRC983051:SRC983058 TAY983051:TAY983058 TKU983051:TKU983058 TUQ983051:TUQ983058 UEM983051:UEM983058 UOI983051:UOI983058 UYE983051:UYE983058 VIA983051:VIA983058 VRW983051:VRW983058 WBS983051:WBS983058 WLO983051:WLO983058 WVK983051:WVK983058 C65556:C65576 IY65556:IY65576 SU65556:SU65576 ACQ65556:ACQ65576 AMM65556:AMM65576 AWI65556:AWI65576 BGE65556:BGE65576 BQA65556:BQA65576 BZW65556:BZW65576 CJS65556:CJS65576 CTO65556:CTO65576 DDK65556:DDK65576 DNG65556:DNG65576 DXC65556:DXC65576 EGY65556:EGY65576 EQU65556:EQU65576 FAQ65556:FAQ65576 FKM65556:FKM65576 FUI65556:FUI65576 GEE65556:GEE65576 GOA65556:GOA65576 GXW65556:GXW65576 HHS65556:HHS65576 HRO65556:HRO65576 IBK65556:IBK65576 ILG65556:ILG65576 IVC65556:IVC65576 JEY65556:JEY65576 JOU65556:JOU65576 JYQ65556:JYQ65576 KIM65556:KIM65576 KSI65556:KSI65576 LCE65556:LCE65576 LMA65556:LMA65576 LVW65556:LVW65576 MFS65556:MFS65576 MPO65556:MPO65576 MZK65556:MZK65576 NJG65556:NJG65576 NTC65556:NTC65576 OCY65556:OCY65576 OMU65556:OMU65576 OWQ65556:OWQ65576 PGM65556:PGM65576 PQI65556:PQI65576 QAE65556:QAE65576 QKA65556:QKA65576 QTW65556:QTW65576 RDS65556:RDS65576 RNO65556:RNO65576 RXK65556:RXK65576 SHG65556:SHG65576 SRC65556:SRC65576 TAY65556:TAY65576 TKU65556:TKU65576 TUQ65556:TUQ65576 UEM65556:UEM65576 UOI65556:UOI65576 UYE65556:UYE65576 VIA65556:VIA65576 VRW65556:VRW65576 WBS65556:WBS65576 WLO65556:WLO65576 WVK65556:WVK65576 C131092:C131112 IY131092:IY131112 SU131092:SU131112 ACQ131092:ACQ131112 AMM131092:AMM131112 AWI131092:AWI131112 BGE131092:BGE131112 BQA131092:BQA131112 BZW131092:BZW131112 CJS131092:CJS131112 CTO131092:CTO131112 DDK131092:DDK131112 DNG131092:DNG131112 DXC131092:DXC131112 EGY131092:EGY131112 EQU131092:EQU131112 FAQ131092:FAQ131112 FKM131092:FKM131112 FUI131092:FUI131112 GEE131092:GEE131112 GOA131092:GOA131112 GXW131092:GXW131112 HHS131092:HHS131112 HRO131092:HRO131112 IBK131092:IBK131112 ILG131092:ILG131112 IVC131092:IVC131112 JEY131092:JEY131112 JOU131092:JOU131112 JYQ131092:JYQ131112 KIM131092:KIM131112 KSI131092:KSI131112 LCE131092:LCE131112 LMA131092:LMA131112 LVW131092:LVW131112 MFS131092:MFS131112 MPO131092:MPO131112 MZK131092:MZK131112 NJG131092:NJG131112 NTC131092:NTC131112 OCY131092:OCY131112 OMU131092:OMU131112 OWQ131092:OWQ131112 PGM131092:PGM131112 PQI131092:PQI131112 QAE131092:QAE131112 QKA131092:QKA131112 QTW131092:QTW131112 RDS131092:RDS131112 RNO131092:RNO131112 RXK131092:RXK131112 SHG131092:SHG131112 SRC131092:SRC131112 TAY131092:TAY131112 TKU131092:TKU131112 TUQ131092:TUQ131112 UEM131092:UEM131112 UOI131092:UOI131112 UYE131092:UYE131112 VIA131092:VIA131112 VRW131092:VRW131112 WBS131092:WBS131112 WLO131092:WLO131112 WVK131092:WVK131112 C196628:C196648 IY196628:IY196648 SU196628:SU196648 ACQ196628:ACQ196648 AMM196628:AMM196648 AWI196628:AWI196648 BGE196628:BGE196648 BQA196628:BQA196648 BZW196628:BZW196648 CJS196628:CJS196648 CTO196628:CTO196648 DDK196628:DDK196648 DNG196628:DNG196648 DXC196628:DXC196648 EGY196628:EGY196648 EQU196628:EQU196648 FAQ196628:FAQ196648 FKM196628:FKM196648 FUI196628:FUI196648 GEE196628:GEE196648 GOA196628:GOA196648 GXW196628:GXW196648 HHS196628:HHS196648 HRO196628:HRO196648 IBK196628:IBK196648 ILG196628:ILG196648 IVC196628:IVC196648 JEY196628:JEY196648 JOU196628:JOU196648 JYQ196628:JYQ196648 KIM196628:KIM196648 KSI196628:KSI196648 LCE196628:LCE196648 LMA196628:LMA196648 LVW196628:LVW196648 MFS196628:MFS196648 MPO196628:MPO196648 MZK196628:MZK196648 NJG196628:NJG196648 NTC196628:NTC196648 OCY196628:OCY196648 OMU196628:OMU196648 OWQ196628:OWQ196648 PGM196628:PGM196648 PQI196628:PQI196648 QAE196628:QAE196648 QKA196628:QKA196648 QTW196628:QTW196648 RDS196628:RDS196648 RNO196628:RNO196648 RXK196628:RXK196648 SHG196628:SHG196648 SRC196628:SRC196648 TAY196628:TAY196648 TKU196628:TKU196648 TUQ196628:TUQ196648 UEM196628:UEM196648 UOI196628:UOI196648 UYE196628:UYE196648 VIA196628:VIA196648 VRW196628:VRW196648 WBS196628:WBS196648 WLO196628:WLO196648 WVK196628:WVK196648 C262164:C262184 IY262164:IY262184 SU262164:SU262184 ACQ262164:ACQ262184 AMM262164:AMM262184 AWI262164:AWI262184 BGE262164:BGE262184 BQA262164:BQA262184 BZW262164:BZW262184 CJS262164:CJS262184 CTO262164:CTO262184 DDK262164:DDK262184 DNG262164:DNG262184 DXC262164:DXC262184 EGY262164:EGY262184 EQU262164:EQU262184 FAQ262164:FAQ262184 FKM262164:FKM262184 FUI262164:FUI262184 GEE262164:GEE262184 GOA262164:GOA262184 GXW262164:GXW262184 HHS262164:HHS262184 HRO262164:HRO262184 IBK262164:IBK262184 ILG262164:ILG262184 IVC262164:IVC262184 JEY262164:JEY262184 JOU262164:JOU262184 JYQ262164:JYQ262184 KIM262164:KIM262184 KSI262164:KSI262184 LCE262164:LCE262184 LMA262164:LMA262184 LVW262164:LVW262184 MFS262164:MFS262184 MPO262164:MPO262184 MZK262164:MZK262184 NJG262164:NJG262184 NTC262164:NTC262184 OCY262164:OCY262184 OMU262164:OMU262184 OWQ262164:OWQ262184 PGM262164:PGM262184 PQI262164:PQI262184 QAE262164:QAE262184 QKA262164:QKA262184 QTW262164:QTW262184 RDS262164:RDS262184 RNO262164:RNO262184 RXK262164:RXK262184 SHG262164:SHG262184 SRC262164:SRC262184 TAY262164:TAY262184 TKU262164:TKU262184 TUQ262164:TUQ262184 UEM262164:UEM262184 UOI262164:UOI262184 UYE262164:UYE262184 VIA262164:VIA262184 VRW262164:VRW262184 WBS262164:WBS262184 WLO262164:WLO262184 WVK262164:WVK262184 C327700:C327720 IY327700:IY327720 SU327700:SU327720 ACQ327700:ACQ327720 AMM327700:AMM327720 AWI327700:AWI327720 BGE327700:BGE327720 BQA327700:BQA327720 BZW327700:BZW327720 CJS327700:CJS327720 CTO327700:CTO327720 DDK327700:DDK327720 DNG327700:DNG327720 DXC327700:DXC327720 EGY327700:EGY327720 EQU327700:EQU327720 FAQ327700:FAQ327720 FKM327700:FKM327720 FUI327700:FUI327720 GEE327700:GEE327720 GOA327700:GOA327720 GXW327700:GXW327720 HHS327700:HHS327720 HRO327700:HRO327720 IBK327700:IBK327720 ILG327700:ILG327720 IVC327700:IVC327720 JEY327700:JEY327720 JOU327700:JOU327720 JYQ327700:JYQ327720 KIM327700:KIM327720 KSI327700:KSI327720 LCE327700:LCE327720 LMA327700:LMA327720 LVW327700:LVW327720 MFS327700:MFS327720 MPO327700:MPO327720 MZK327700:MZK327720 NJG327700:NJG327720 NTC327700:NTC327720 OCY327700:OCY327720 OMU327700:OMU327720 OWQ327700:OWQ327720 PGM327700:PGM327720 PQI327700:PQI327720 QAE327700:QAE327720 QKA327700:QKA327720 QTW327700:QTW327720 RDS327700:RDS327720 RNO327700:RNO327720 RXK327700:RXK327720 SHG327700:SHG327720 SRC327700:SRC327720 TAY327700:TAY327720 TKU327700:TKU327720 TUQ327700:TUQ327720 UEM327700:UEM327720 UOI327700:UOI327720 UYE327700:UYE327720 VIA327700:VIA327720 VRW327700:VRW327720 WBS327700:WBS327720 WLO327700:WLO327720 WVK327700:WVK327720 C393236:C393256 IY393236:IY393256 SU393236:SU393256 ACQ393236:ACQ393256 AMM393236:AMM393256 AWI393236:AWI393256 BGE393236:BGE393256 BQA393236:BQA393256 BZW393236:BZW393256 CJS393236:CJS393256 CTO393236:CTO393256 DDK393236:DDK393256 DNG393236:DNG393256 DXC393236:DXC393256 EGY393236:EGY393256 EQU393236:EQU393256 FAQ393236:FAQ393256 FKM393236:FKM393256 FUI393236:FUI393256 GEE393236:GEE393256 GOA393236:GOA393256 GXW393236:GXW393256 HHS393236:HHS393256 HRO393236:HRO393256 IBK393236:IBK393256 ILG393236:ILG393256 IVC393236:IVC393256 JEY393236:JEY393256 JOU393236:JOU393256 JYQ393236:JYQ393256 KIM393236:KIM393256 KSI393236:KSI393256 LCE393236:LCE393256 LMA393236:LMA393256 LVW393236:LVW393256 MFS393236:MFS393256 MPO393236:MPO393256 MZK393236:MZK393256 NJG393236:NJG393256 NTC393236:NTC393256 OCY393236:OCY393256 OMU393236:OMU393256 OWQ393236:OWQ393256 PGM393236:PGM393256 PQI393236:PQI393256 QAE393236:QAE393256 QKA393236:QKA393256 QTW393236:QTW393256 RDS393236:RDS393256 RNO393236:RNO393256 RXK393236:RXK393256 SHG393236:SHG393256 SRC393236:SRC393256 TAY393236:TAY393256 TKU393236:TKU393256 TUQ393236:TUQ393256 UEM393236:UEM393256 UOI393236:UOI393256 UYE393236:UYE393256 VIA393236:VIA393256 VRW393236:VRW393256 WBS393236:WBS393256 WLO393236:WLO393256 WVK393236:WVK393256 C458772:C458792 IY458772:IY458792 SU458772:SU458792 ACQ458772:ACQ458792 AMM458772:AMM458792 AWI458772:AWI458792 BGE458772:BGE458792 BQA458772:BQA458792 BZW458772:BZW458792 CJS458772:CJS458792 CTO458772:CTO458792 DDK458772:DDK458792 DNG458772:DNG458792 DXC458772:DXC458792 EGY458772:EGY458792 EQU458772:EQU458792 FAQ458772:FAQ458792 FKM458772:FKM458792 FUI458772:FUI458792 GEE458772:GEE458792 GOA458772:GOA458792 GXW458772:GXW458792 HHS458772:HHS458792 HRO458772:HRO458792 IBK458772:IBK458792 ILG458772:ILG458792 IVC458772:IVC458792 JEY458772:JEY458792 JOU458772:JOU458792 JYQ458772:JYQ458792 KIM458772:KIM458792 KSI458772:KSI458792 LCE458772:LCE458792 LMA458772:LMA458792 LVW458772:LVW458792 MFS458772:MFS458792 MPO458772:MPO458792 MZK458772:MZK458792 NJG458772:NJG458792 NTC458772:NTC458792 OCY458772:OCY458792 OMU458772:OMU458792 OWQ458772:OWQ458792 PGM458772:PGM458792 PQI458772:PQI458792 QAE458772:QAE458792 QKA458772:QKA458792 QTW458772:QTW458792 RDS458772:RDS458792 RNO458772:RNO458792 RXK458772:RXK458792 SHG458772:SHG458792 SRC458772:SRC458792 TAY458772:TAY458792 TKU458772:TKU458792 TUQ458772:TUQ458792 UEM458772:UEM458792 UOI458772:UOI458792 UYE458772:UYE458792 VIA458772:VIA458792 VRW458772:VRW458792 WBS458772:WBS458792 WLO458772:WLO458792 WVK458772:WVK458792 C524308:C524328 IY524308:IY524328 SU524308:SU524328 ACQ524308:ACQ524328 AMM524308:AMM524328 AWI524308:AWI524328 BGE524308:BGE524328 BQA524308:BQA524328 BZW524308:BZW524328 CJS524308:CJS524328 CTO524308:CTO524328 DDK524308:DDK524328 DNG524308:DNG524328 DXC524308:DXC524328 EGY524308:EGY524328 EQU524308:EQU524328 FAQ524308:FAQ524328 FKM524308:FKM524328 FUI524308:FUI524328 GEE524308:GEE524328 GOA524308:GOA524328 GXW524308:GXW524328 HHS524308:HHS524328 HRO524308:HRO524328 IBK524308:IBK524328 ILG524308:ILG524328 IVC524308:IVC524328 JEY524308:JEY524328 JOU524308:JOU524328 JYQ524308:JYQ524328 KIM524308:KIM524328 KSI524308:KSI524328 LCE524308:LCE524328 LMA524308:LMA524328 LVW524308:LVW524328 MFS524308:MFS524328 MPO524308:MPO524328 MZK524308:MZK524328 NJG524308:NJG524328 NTC524308:NTC524328 OCY524308:OCY524328 OMU524308:OMU524328 OWQ524308:OWQ524328 PGM524308:PGM524328 PQI524308:PQI524328 QAE524308:QAE524328 QKA524308:QKA524328 QTW524308:QTW524328 RDS524308:RDS524328 RNO524308:RNO524328 RXK524308:RXK524328 SHG524308:SHG524328 SRC524308:SRC524328 TAY524308:TAY524328 TKU524308:TKU524328 TUQ524308:TUQ524328 UEM524308:UEM524328 UOI524308:UOI524328 UYE524308:UYE524328 VIA524308:VIA524328 VRW524308:VRW524328 WBS524308:WBS524328 WLO524308:WLO524328 WVK524308:WVK524328 C589844:C589864 IY589844:IY589864 SU589844:SU589864 ACQ589844:ACQ589864 AMM589844:AMM589864 AWI589844:AWI589864 BGE589844:BGE589864 BQA589844:BQA589864 BZW589844:BZW589864 CJS589844:CJS589864 CTO589844:CTO589864 DDK589844:DDK589864 DNG589844:DNG589864 DXC589844:DXC589864 EGY589844:EGY589864 EQU589844:EQU589864 FAQ589844:FAQ589864 FKM589844:FKM589864 FUI589844:FUI589864 GEE589844:GEE589864 GOA589844:GOA589864 GXW589844:GXW589864 HHS589844:HHS589864 HRO589844:HRO589864 IBK589844:IBK589864 ILG589844:ILG589864 IVC589844:IVC589864 JEY589844:JEY589864 JOU589844:JOU589864 JYQ589844:JYQ589864 KIM589844:KIM589864 KSI589844:KSI589864 LCE589844:LCE589864 LMA589844:LMA589864 LVW589844:LVW589864 MFS589844:MFS589864 MPO589844:MPO589864 MZK589844:MZK589864 NJG589844:NJG589864 NTC589844:NTC589864 OCY589844:OCY589864 OMU589844:OMU589864 OWQ589844:OWQ589864 PGM589844:PGM589864 PQI589844:PQI589864 QAE589844:QAE589864 QKA589844:QKA589864 QTW589844:QTW589864 RDS589844:RDS589864 RNO589844:RNO589864 RXK589844:RXK589864 SHG589844:SHG589864 SRC589844:SRC589864 TAY589844:TAY589864 TKU589844:TKU589864 TUQ589844:TUQ589864 UEM589844:UEM589864 UOI589844:UOI589864 UYE589844:UYE589864 VIA589844:VIA589864 VRW589844:VRW589864 WBS589844:WBS589864 WLO589844:WLO589864 WVK589844:WVK589864 C655380:C655400 IY655380:IY655400 SU655380:SU655400 ACQ655380:ACQ655400 AMM655380:AMM655400 AWI655380:AWI655400 BGE655380:BGE655400 BQA655380:BQA655400 BZW655380:BZW655400 CJS655380:CJS655400 CTO655380:CTO655400 DDK655380:DDK655400 DNG655380:DNG655400 DXC655380:DXC655400 EGY655380:EGY655400 EQU655380:EQU655400 FAQ655380:FAQ655400 FKM655380:FKM655400 FUI655380:FUI655400 GEE655380:GEE655400 GOA655380:GOA655400 GXW655380:GXW655400 HHS655380:HHS655400 HRO655380:HRO655400 IBK655380:IBK655400 ILG655380:ILG655400 IVC655380:IVC655400 JEY655380:JEY655400 JOU655380:JOU655400 JYQ655380:JYQ655400 KIM655380:KIM655400 KSI655380:KSI655400 LCE655380:LCE655400 LMA655380:LMA655400 LVW655380:LVW655400 MFS655380:MFS655400 MPO655380:MPO655400 MZK655380:MZK655400 NJG655380:NJG655400 NTC655380:NTC655400 OCY655380:OCY655400 OMU655380:OMU655400 OWQ655380:OWQ655400 PGM655380:PGM655400 PQI655380:PQI655400 QAE655380:QAE655400 QKA655380:QKA655400 QTW655380:QTW655400 RDS655380:RDS655400 RNO655380:RNO655400 RXK655380:RXK655400 SHG655380:SHG655400 SRC655380:SRC655400 TAY655380:TAY655400 TKU655380:TKU655400 TUQ655380:TUQ655400 UEM655380:UEM655400 UOI655380:UOI655400 UYE655380:UYE655400 VIA655380:VIA655400 VRW655380:VRW655400 WBS655380:WBS655400 WLO655380:WLO655400 WVK655380:WVK655400 C720916:C720936 IY720916:IY720936 SU720916:SU720936 ACQ720916:ACQ720936 AMM720916:AMM720936 AWI720916:AWI720936 BGE720916:BGE720936 BQA720916:BQA720936 BZW720916:BZW720936 CJS720916:CJS720936 CTO720916:CTO720936 DDK720916:DDK720936 DNG720916:DNG720936 DXC720916:DXC720936 EGY720916:EGY720936 EQU720916:EQU720936 FAQ720916:FAQ720936 FKM720916:FKM720936 FUI720916:FUI720936 GEE720916:GEE720936 GOA720916:GOA720936 GXW720916:GXW720936 HHS720916:HHS720936 HRO720916:HRO720936 IBK720916:IBK720936 ILG720916:ILG720936 IVC720916:IVC720936 JEY720916:JEY720936 JOU720916:JOU720936 JYQ720916:JYQ720936 KIM720916:KIM720936 KSI720916:KSI720936 LCE720916:LCE720936 LMA720916:LMA720936 LVW720916:LVW720936 MFS720916:MFS720936 MPO720916:MPO720936 MZK720916:MZK720936 NJG720916:NJG720936 NTC720916:NTC720936 OCY720916:OCY720936 OMU720916:OMU720936 OWQ720916:OWQ720936 PGM720916:PGM720936 PQI720916:PQI720936 QAE720916:QAE720936 QKA720916:QKA720936 QTW720916:QTW720936 RDS720916:RDS720936 RNO720916:RNO720936 RXK720916:RXK720936 SHG720916:SHG720936 SRC720916:SRC720936 TAY720916:TAY720936 TKU720916:TKU720936 TUQ720916:TUQ720936 UEM720916:UEM720936 UOI720916:UOI720936 UYE720916:UYE720936 VIA720916:VIA720936 VRW720916:VRW720936 WBS720916:WBS720936 WLO720916:WLO720936 WVK720916:WVK720936 C786452:C786472 IY786452:IY786472 SU786452:SU786472 ACQ786452:ACQ786472 AMM786452:AMM786472 AWI786452:AWI786472 BGE786452:BGE786472 BQA786452:BQA786472 BZW786452:BZW786472 CJS786452:CJS786472 CTO786452:CTO786472 DDK786452:DDK786472 DNG786452:DNG786472 DXC786452:DXC786472 EGY786452:EGY786472 EQU786452:EQU786472 FAQ786452:FAQ786472 FKM786452:FKM786472 FUI786452:FUI786472 GEE786452:GEE786472 GOA786452:GOA786472 GXW786452:GXW786472 HHS786452:HHS786472 HRO786452:HRO786472 IBK786452:IBK786472 ILG786452:ILG786472 IVC786452:IVC786472 JEY786452:JEY786472 JOU786452:JOU786472 JYQ786452:JYQ786472 KIM786452:KIM786472 KSI786452:KSI786472 LCE786452:LCE786472 LMA786452:LMA786472 LVW786452:LVW786472 MFS786452:MFS786472 MPO786452:MPO786472 MZK786452:MZK786472 NJG786452:NJG786472 NTC786452:NTC786472 OCY786452:OCY786472 OMU786452:OMU786472 OWQ786452:OWQ786472 PGM786452:PGM786472 PQI786452:PQI786472 QAE786452:QAE786472 QKA786452:QKA786472 QTW786452:QTW786472 RDS786452:RDS786472 RNO786452:RNO786472 RXK786452:RXK786472 SHG786452:SHG786472 SRC786452:SRC786472 TAY786452:TAY786472 TKU786452:TKU786472 TUQ786452:TUQ786472 UEM786452:UEM786472 UOI786452:UOI786472 UYE786452:UYE786472 VIA786452:VIA786472 VRW786452:VRW786472 WBS786452:WBS786472 WLO786452:WLO786472 WVK786452:WVK786472 C851988:C852008 IY851988:IY852008 SU851988:SU852008 ACQ851988:ACQ852008 AMM851988:AMM852008 AWI851988:AWI852008 BGE851988:BGE852008 BQA851988:BQA852008 BZW851988:BZW852008 CJS851988:CJS852008 CTO851988:CTO852008 DDK851988:DDK852008 DNG851988:DNG852008 DXC851988:DXC852008 EGY851988:EGY852008 EQU851988:EQU852008 FAQ851988:FAQ852008 FKM851988:FKM852008 FUI851988:FUI852008 GEE851988:GEE852008 GOA851988:GOA852008 GXW851988:GXW852008 HHS851988:HHS852008 HRO851988:HRO852008 IBK851988:IBK852008 ILG851988:ILG852008 IVC851988:IVC852008 JEY851988:JEY852008 JOU851988:JOU852008 JYQ851988:JYQ852008 KIM851988:KIM852008 KSI851988:KSI852008 LCE851988:LCE852008 LMA851988:LMA852008 LVW851988:LVW852008 MFS851988:MFS852008 MPO851988:MPO852008 MZK851988:MZK852008 NJG851988:NJG852008 NTC851988:NTC852008 OCY851988:OCY852008 OMU851988:OMU852008 OWQ851988:OWQ852008 PGM851988:PGM852008 PQI851988:PQI852008 QAE851988:QAE852008 QKA851988:QKA852008 QTW851988:QTW852008 RDS851988:RDS852008 RNO851988:RNO852008 RXK851988:RXK852008 SHG851988:SHG852008 SRC851988:SRC852008 TAY851988:TAY852008 TKU851988:TKU852008 TUQ851988:TUQ852008 UEM851988:UEM852008 UOI851988:UOI852008 UYE851988:UYE852008 VIA851988:VIA852008 VRW851988:VRW852008 WBS851988:WBS852008 WLO851988:WLO852008 WVK851988:WVK852008 C917524:C917544 IY917524:IY917544 SU917524:SU917544 ACQ917524:ACQ917544 AMM917524:AMM917544 AWI917524:AWI917544 BGE917524:BGE917544 BQA917524:BQA917544 BZW917524:BZW917544 CJS917524:CJS917544 CTO917524:CTO917544 DDK917524:DDK917544 DNG917524:DNG917544 DXC917524:DXC917544 EGY917524:EGY917544 EQU917524:EQU917544 FAQ917524:FAQ917544 FKM917524:FKM917544 FUI917524:FUI917544 GEE917524:GEE917544 GOA917524:GOA917544 GXW917524:GXW917544 HHS917524:HHS917544 HRO917524:HRO917544 IBK917524:IBK917544 ILG917524:ILG917544 IVC917524:IVC917544 JEY917524:JEY917544 JOU917524:JOU917544 JYQ917524:JYQ917544 KIM917524:KIM917544 KSI917524:KSI917544 LCE917524:LCE917544 LMA917524:LMA917544 LVW917524:LVW917544 MFS917524:MFS917544 MPO917524:MPO917544 MZK917524:MZK917544 NJG917524:NJG917544 NTC917524:NTC917544 OCY917524:OCY917544 OMU917524:OMU917544 OWQ917524:OWQ917544 PGM917524:PGM917544 PQI917524:PQI917544 QAE917524:QAE917544 QKA917524:QKA917544 QTW917524:QTW917544 RDS917524:RDS917544 RNO917524:RNO917544 RXK917524:RXK917544 SHG917524:SHG917544 SRC917524:SRC917544 TAY917524:TAY917544 TKU917524:TKU917544 TUQ917524:TUQ917544 UEM917524:UEM917544 UOI917524:UOI917544 UYE917524:UYE917544 VIA917524:VIA917544 VRW917524:VRW917544 WBS917524:WBS917544 WLO917524:WLO917544 WVK917524:WVK917544 C983060:C983080 IY983060:IY983080 SU983060:SU983080 ACQ983060:ACQ983080 AMM983060:AMM983080 AWI983060:AWI983080 BGE983060:BGE983080 BQA983060:BQA983080 BZW983060:BZW983080 CJS983060:CJS983080 CTO983060:CTO983080 DDK983060:DDK983080 DNG983060:DNG983080 DXC983060:DXC983080 EGY983060:EGY983080 EQU983060:EQU983080 FAQ983060:FAQ983080 FKM983060:FKM983080 FUI983060:FUI983080 GEE983060:GEE983080 GOA983060:GOA983080 GXW983060:GXW983080 HHS983060:HHS983080 HRO983060:HRO983080 IBK983060:IBK983080 ILG983060:ILG983080 IVC983060:IVC983080 JEY983060:JEY983080 JOU983060:JOU983080 JYQ983060:JYQ983080 KIM983060:KIM983080 KSI983060:KSI983080 LCE983060:LCE983080 LMA983060:LMA983080 LVW983060:LVW983080 MFS983060:MFS983080 MPO983060:MPO983080 MZK983060:MZK983080 NJG983060:NJG983080 NTC983060:NTC983080 OCY983060:OCY983080 OMU983060:OMU983080 OWQ983060:OWQ983080 PGM983060:PGM983080 PQI983060:PQI983080 QAE983060:QAE983080 QKA983060:QKA983080 QTW983060:QTW983080 RDS983060:RDS983080 RNO983060:RNO983080 RXK983060:RXK983080 SHG983060:SHG983080 SRC983060:SRC983080 TAY983060:TAY983080 TKU983060:TKU983080 TUQ983060:TUQ983080 UEM983060:UEM983080 UOI983060:UOI983080 UYE983060:UYE983080 VIA983060:VIA983080 VRW983060:VRW983080 WBS983060:WBS983080 WLO983060:WLO983080 WVK983060:WVK983080 WVK21:WVK41 WLO21:WLO41 WBS21:WBS41 VRW21:VRW41 VIA21:VIA41 UYE21:UYE41 UOI21:UOI41 UEM21:UEM41 TUQ21:TUQ41 TKU21:TKU41 TAY21:TAY41 SRC21:SRC41 SHG21:SHG41 RXK21:RXK41 RNO21:RNO41 RDS21:RDS41 QTW21:QTW41 QKA21:QKA41 QAE21:QAE41 PQI21:PQI41 PGM21:PGM41 OWQ21:OWQ41 OMU21:OMU41 OCY21:OCY41 NTC21:NTC41 NJG21:NJG41 MZK21:MZK41 MPO21:MPO41 MFS21:MFS41 LVW21:LVW41 LMA21:LMA41 LCE21:LCE41 KSI21:KSI41 KIM21:KIM41 JYQ21:JYQ41 JOU21:JOU41 JEY21:JEY41 IVC21:IVC41 ILG21:ILG41 IBK21:IBK41 HRO21:HRO41 HHS21:HHS41 GXW21:GXW41 GOA21:GOA41 GEE21:GEE41 FUI21:FUI41 FKM21:FKM41 FAQ21:FAQ41 EQU21:EQU41 EGY21:EGY41 DXC21:DXC41 DNG21:DNG41 DDK21:DDK41 CTO21:CTO41 CJS21:CJS41 BZW21:BZW41 BQA21:BQA41 BGE21:BGE41 AWI21:AWI41 AMM21:AMM41 ACQ21:ACQ41 SU21:SU41 IY21:IY41 C21:C41 WVK12:WVK19 WLO12:WLO19 WBS12:WBS19 VRW12:VRW19 VIA12:VIA19 UYE12:UYE19 UOI12:UOI19 UEM12:UEM19 TUQ12:TUQ19 TKU12:TKU19 TAY12:TAY19 SRC12:SRC19 SHG12:SHG19 RXK12:RXK19 RNO12:RNO19 RDS12:RDS19 QTW12:QTW19 QKA12:QKA19 QAE12:QAE19 PQI12:PQI19 PGM12:PGM19 OWQ12:OWQ19 OMU12:OMU19 OCY12:OCY19 NTC12:NTC19 NJG12:NJG19 MZK12:MZK19 MPO12:MPO19 MFS12:MFS19 LVW12:LVW19 LMA12:LMA19 LCE12:LCE19 KSI12:KSI19 KIM12:KIM19 JYQ12:JYQ19 JOU12:JOU19 JEY12:JEY19 IVC12:IVC19 ILG12:ILG19 IBK12:IBK19 HRO12:HRO19 HHS12:HHS19 GXW12:GXW19 GOA12:GOA19 GEE12:GEE19 FUI12:FUI19 FKM12:FKM19 FAQ12:FAQ19 EQU12:EQU19 EGY12:EGY19 DXC12:DXC19 DNG12:DNG19 DDK12:DDK19 CTO12:CTO19 CJS12:CJS19 BZW12:BZW19 BQA12:BQA19 BGE12:BGE19 AWI12:AWI19 AMM12:AMM19 ACQ12:ACQ19 SU12:SU19 IY12:IY19 C12:C19</xm:sqref>
        </x14:dataValidation>
      </x14:dataValidations>
    </ex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CCFF66"/>
  </sheetPr>
  <dimension ref="A1:AU1376"/>
  <sheetViews>
    <sheetView topLeftCell="A602" zoomScale="120" zoomScaleNormal="120" zoomScalePageLayoutView="120" workbookViewId="0">
      <selection activeCell="N648" sqref="N648"/>
    </sheetView>
  </sheetViews>
  <sheetFormatPr defaultColWidth="0" defaultRowHeight="15" zeroHeight="1" x14ac:dyDescent="0.25"/>
  <cols>
    <col min="1" max="1" width="5.7109375" customWidth="1"/>
    <col min="2" max="2" width="11.7109375" customWidth="1"/>
    <col min="3" max="3" width="14.140625" customWidth="1"/>
    <col min="4" max="4" width="9.140625" customWidth="1"/>
    <col min="5" max="5" width="7.140625" customWidth="1"/>
    <col min="6" max="8" width="9.140625" customWidth="1"/>
    <col min="9" max="9" width="6" customWidth="1"/>
    <col min="10" max="12" width="9.140625" customWidth="1"/>
    <col min="13" max="13" width="10.85546875" customWidth="1"/>
    <col min="14" max="14" width="11" customWidth="1"/>
    <col min="15" max="47" width="0" hidden="1" customWidth="1"/>
    <col min="48" max="16384" width="9.140625" hidden="1"/>
  </cols>
  <sheetData>
    <row r="1" spans="1:14" s="18" customFormat="1" ht="45.75" customHeight="1" x14ac:dyDescent="0.35">
      <c r="A1" s="378"/>
      <c r="B1" s="802" t="s">
        <v>0</v>
      </c>
      <c r="C1" s="378"/>
      <c r="D1" s="971" t="s">
        <v>695</v>
      </c>
      <c r="E1" s="972"/>
      <c r="F1" s="972"/>
      <c r="G1" s="972"/>
      <c r="H1" s="378"/>
      <c r="I1" s="378"/>
      <c r="J1" s="378"/>
      <c r="K1" s="378"/>
      <c r="L1" s="378"/>
      <c r="M1" s="378"/>
      <c r="N1" s="378"/>
    </row>
    <row r="2" spans="1:14" s="532" customFormat="1" ht="9.75" customHeight="1" x14ac:dyDescent="0.35">
      <c r="A2" s="3"/>
      <c r="B2" s="1017"/>
      <c r="C2" s="3"/>
      <c r="D2" s="971"/>
      <c r="E2" s="341"/>
      <c r="F2" s="341"/>
      <c r="G2" s="341"/>
      <c r="H2" s="3"/>
      <c r="I2" s="3"/>
      <c r="J2" s="3"/>
      <c r="K2" s="3"/>
      <c r="L2" s="3"/>
      <c r="M2" s="3"/>
      <c r="N2" s="3"/>
    </row>
    <row r="3" spans="1:14" s="532" customFormat="1" ht="7.5" customHeight="1" x14ac:dyDescent="0.35">
      <c r="A3" s="3"/>
      <c r="B3" s="1017"/>
      <c r="C3" s="3"/>
      <c r="D3" s="971"/>
      <c r="E3" s="341"/>
      <c r="F3" s="341"/>
      <c r="G3" s="341"/>
      <c r="H3" s="3"/>
      <c r="I3" s="3"/>
      <c r="J3" s="3"/>
      <c r="K3" s="3"/>
      <c r="L3" s="3"/>
      <c r="M3" s="3"/>
      <c r="N3" s="3"/>
    </row>
    <row r="4" spans="1:14" s="532" customFormat="1" ht="23.25" customHeight="1" x14ac:dyDescent="0.35">
      <c r="A4" s="973"/>
      <c r="B4" s="1053" t="s">
        <v>696</v>
      </c>
      <c r="C4" s="973"/>
      <c r="D4" s="1054"/>
      <c r="E4" s="1055"/>
      <c r="F4" s="1055"/>
      <c r="G4" s="1055"/>
      <c r="H4" s="973"/>
      <c r="I4" s="973"/>
      <c r="J4" s="973"/>
      <c r="K4" s="973"/>
      <c r="L4" s="973"/>
      <c r="M4" s="973"/>
      <c r="N4" s="973"/>
    </row>
    <row r="5" spans="1:14" s="532" customFormat="1" ht="12.75" customHeight="1" x14ac:dyDescent="0.35">
      <c r="A5" s="3"/>
      <c r="B5" s="1018"/>
      <c r="C5" s="3"/>
      <c r="D5" s="971"/>
      <c r="E5" s="341"/>
      <c r="F5" s="341"/>
      <c r="G5" s="341"/>
      <c r="H5" s="3"/>
      <c r="I5" s="3"/>
      <c r="J5" s="3"/>
      <c r="K5" s="3"/>
      <c r="L5" s="3"/>
      <c r="M5" s="3"/>
      <c r="N5" s="3"/>
    </row>
    <row r="6" spans="1:14" s="532" customFormat="1" ht="17.25" customHeight="1" x14ac:dyDescent="0.35">
      <c r="A6" s="3"/>
      <c r="B6" s="33" t="s">
        <v>697</v>
      </c>
      <c r="C6" s="3"/>
      <c r="D6" s="971"/>
      <c r="E6" s="341"/>
      <c r="F6" s="341"/>
      <c r="G6" s="341"/>
      <c r="H6" s="3"/>
      <c r="I6" s="3"/>
      <c r="J6" s="3"/>
      <c r="K6" s="3"/>
      <c r="L6" s="3"/>
      <c r="M6" s="3"/>
      <c r="N6" s="3"/>
    </row>
    <row r="7" spans="1:14" s="532" customFormat="1" ht="17.25" customHeight="1" x14ac:dyDescent="0.35">
      <c r="A7" s="3"/>
      <c r="B7" s="1019" t="s">
        <v>698</v>
      </c>
      <c r="C7" s="3"/>
      <c r="D7" s="971"/>
      <c r="E7" s="341"/>
      <c r="F7" s="341"/>
      <c r="G7" s="341"/>
      <c r="H7" s="3"/>
      <c r="I7" s="3"/>
      <c r="J7" s="3"/>
      <c r="K7" s="3"/>
      <c r="L7" s="3"/>
      <c r="M7" s="3"/>
      <c r="N7" s="3"/>
    </row>
    <row r="8" spans="1:14" s="532" customFormat="1" ht="17.25" customHeight="1" x14ac:dyDescent="0.35">
      <c r="A8" s="3"/>
      <c r="B8" s="1019" t="s">
        <v>699</v>
      </c>
      <c r="C8" s="3"/>
      <c r="D8" s="971"/>
      <c r="E8" s="341"/>
      <c r="F8" s="341"/>
      <c r="G8" s="341"/>
      <c r="H8" s="3"/>
      <c r="I8" s="3"/>
      <c r="J8" s="3"/>
      <c r="K8" s="3"/>
      <c r="L8" s="3"/>
      <c r="M8" s="3"/>
      <c r="N8" s="3"/>
    </row>
    <row r="9" spans="1:14" s="532" customFormat="1" ht="17.25" customHeight="1" x14ac:dyDescent="0.35">
      <c r="A9" s="3"/>
      <c r="B9" s="1019" t="s">
        <v>700</v>
      </c>
      <c r="C9" s="3"/>
      <c r="D9" s="971"/>
      <c r="E9" s="341"/>
      <c r="F9" s="341"/>
      <c r="G9" s="341"/>
      <c r="H9" s="3"/>
      <c r="I9" s="3"/>
      <c r="J9" s="3"/>
      <c r="K9" s="3"/>
      <c r="L9" s="3"/>
      <c r="M9" s="3"/>
      <c r="N9" s="3"/>
    </row>
    <row r="10" spans="1:14" s="532" customFormat="1" ht="17.25" customHeight="1" x14ac:dyDescent="0.35">
      <c r="A10" s="3"/>
      <c r="B10" s="1019" t="s">
        <v>701</v>
      </c>
      <c r="C10" s="3"/>
      <c r="D10" s="971"/>
      <c r="E10" s="341"/>
      <c r="F10" s="341"/>
      <c r="G10" s="341"/>
      <c r="H10" s="3"/>
      <c r="I10" s="3"/>
      <c r="J10" s="3"/>
      <c r="K10" s="3"/>
      <c r="L10" s="3"/>
      <c r="M10" s="3"/>
      <c r="N10" s="3"/>
    </row>
    <row r="11" spans="1:14" s="532" customFormat="1" ht="17.25" customHeight="1" x14ac:dyDescent="0.35">
      <c r="A11" s="3"/>
      <c r="B11" s="1019" t="s">
        <v>702</v>
      </c>
      <c r="C11" s="3"/>
      <c r="D11" s="971"/>
      <c r="E11" s="341"/>
      <c r="F11" s="341"/>
      <c r="G11" s="341"/>
      <c r="H11" s="3"/>
      <c r="I11" s="3"/>
      <c r="J11" s="3"/>
      <c r="K11" s="3"/>
      <c r="L11" s="3"/>
      <c r="M11" s="3"/>
      <c r="N11" s="3"/>
    </row>
    <row r="12" spans="1:14" s="532" customFormat="1" ht="17.25" customHeight="1" x14ac:dyDescent="0.35">
      <c r="A12" s="3"/>
      <c r="B12" s="1017"/>
      <c r="C12" s="3"/>
      <c r="D12" s="971"/>
      <c r="E12" s="341"/>
      <c r="F12" s="341"/>
      <c r="G12" s="341"/>
      <c r="H12" s="3"/>
      <c r="I12" s="3"/>
      <c r="J12" s="3"/>
      <c r="K12" s="3"/>
      <c r="L12" s="3"/>
      <c r="M12" s="3"/>
      <c r="N12" s="3"/>
    </row>
    <row r="13" spans="1:14" s="532" customFormat="1" ht="52.5" customHeight="1" x14ac:dyDescent="0.25">
      <c r="A13" s="3"/>
      <c r="B13" s="2020" t="s">
        <v>703</v>
      </c>
      <c r="C13" s="2021"/>
      <c r="D13" s="2021"/>
      <c r="E13" s="2021"/>
      <c r="F13" s="2021"/>
      <c r="G13" s="2021"/>
      <c r="H13" s="2021"/>
      <c r="I13" s="2021"/>
      <c r="J13" s="2021"/>
      <c r="K13" s="2021"/>
      <c r="L13" s="2021"/>
      <c r="M13" s="2022"/>
      <c r="N13" s="3"/>
    </row>
    <row r="14" spans="1:14" s="532" customFormat="1" ht="32.25" customHeight="1" x14ac:dyDescent="0.25">
      <c r="A14" s="3"/>
      <c r="B14" s="2026"/>
      <c r="C14" s="2027"/>
      <c r="D14" s="2027"/>
      <c r="E14" s="2027"/>
      <c r="F14" s="2027"/>
      <c r="G14" s="2027"/>
      <c r="H14" s="2027"/>
      <c r="I14" s="2027"/>
      <c r="J14" s="2027"/>
      <c r="K14" s="2027"/>
      <c r="L14" s="2027"/>
      <c r="M14" s="2028"/>
      <c r="N14" s="3"/>
    </row>
    <row r="15" spans="1:14" s="532" customFormat="1" ht="17.25" customHeight="1" x14ac:dyDescent="0.35">
      <c r="A15" s="3"/>
      <c r="B15" s="1017"/>
      <c r="C15" s="3"/>
      <c r="D15" s="971"/>
      <c r="E15" s="341"/>
      <c r="F15" s="341"/>
      <c r="G15" s="341"/>
      <c r="H15" s="3"/>
      <c r="I15" s="3"/>
      <c r="J15" s="3"/>
      <c r="K15" s="3"/>
      <c r="L15" s="3"/>
      <c r="M15" s="3"/>
      <c r="N15" s="3"/>
    </row>
    <row r="16" spans="1:14" s="532" customFormat="1" ht="22.5" customHeight="1" x14ac:dyDescent="0.35">
      <c r="A16" s="973"/>
      <c r="B16" s="2228" t="s">
        <v>704</v>
      </c>
      <c r="C16" s="2228"/>
      <c r="D16" s="2228"/>
      <c r="E16" s="2228"/>
      <c r="F16" s="2228"/>
      <c r="G16" s="2228"/>
      <c r="H16" s="2228"/>
      <c r="I16" s="2228"/>
      <c r="J16" s="2228"/>
      <c r="K16" s="2228"/>
      <c r="L16" s="2228"/>
      <c r="M16" s="2228"/>
      <c r="N16" s="973"/>
    </row>
    <row r="17" spans="1:14" s="532" customFormat="1" ht="10.5" customHeight="1" x14ac:dyDescent="0.35">
      <c r="A17" s="3"/>
      <c r="B17" s="1017"/>
      <c r="C17" s="3"/>
      <c r="D17" s="971"/>
      <c r="E17" s="341"/>
      <c r="F17" s="341"/>
      <c r="G17" s="341"/>
      <c r="H17" s="3"/>
      <c r="I17" s="3"/>
      <c r="J17" s="3"/>
      <c r="K17" s="3"/>
      <c r="L17" s="3"/>
      <c r="M17" s="3"/>
      <c r="N17" s="3"/>
    </row>
    <row r="18" spans="1:14" s="532" customFormat="1" ht="17.25" customHeight="1" x14ac:dyDescent="0.25">
      <c r="A18" s="3"/>
      <c r="B18" s="2229" t="s">
        <v>705</v>
      </c>
      <c r="C18" s="2230"/>
      <c r="D18" s="2230"/>
      <c r="E18" s="2230"/>
      <c r="F18" s="2230"/>
      <c r="G18" s="2230"/>
      <c r="H18" s="2230"/>
      <c r="I18" s="2230"/>
      <c r="J18" s="2230"/>
      <c r="K18" s="2230"/>
      <c r="L18" s="2230"/>
      <c r="M18" s="2231"/>
      <c r="N18" s="3"/>
    </row>
    <row r="19" spans="1:14" s="532" customFormat="1" ht="5.25" customHeight="1" x14ac:dyDescent="0.35">
      <c r="A19" s="3"/>
      <c r="B19" s="1021"/>
      <c r="C19" s="3"/>
      <c r="D19" s="971"/>
      <c r="E19" s="341"/>
      <c r="F19" s="341"/>
      <c r="G19" s="341"/>
      <c r="H19" s="3"/>
      <c r="I19" s="3"/>
      <c r="J19" s="3"/>
      <c r="K19" s="3"/>
      <c r="L19" s="3"/>
      <c r="M19" s="3"/>
      <c r="N19" s="3"/>
    </row>
    <row r="20" spans="1:14" s="532" customFormat="1" ht="55.5" customHeight="1" x14ac:dyDescent="0.25">
      <c r="A20" s="3"/>
      <c r="B20" s="2229" t="s">
        <v>706</v>
      </c>
      <c r="C20" s="2230"/>
      <c r="D20" s="2230"/>
      <c r="E20" s="2230"/>
      <c r="F20" s="2230"/>
      <c r="G20" s="2230"/>
      <c r="H20" s="2230"/>
      <c r="I20" s="2230"/>
      <c r="J20" s="2230"/>
      <c r="K20" s="2230"/>
      <c r="L20" s="2230"/>
      <c r="M20" s="2231"/>
      <c r="N20" s="3"/>
    </row>
    <row r="21" spans="1:14" s="532" customFormat="1" ht="13.5" customHeight="1" x14ac:dyDescent="0.35">
      <c r="A21" s="3"/>
      <c r="B21" s="1017"/>
      <c r="C21" s="3"/>
      <c r="D21" s="971"/>
      <c r="E21" s="341"/>
      <c r="F21" s="341"/>
      <c r="G21" s="341"/>
      <c r="H21" s="3"/>
      <c r="I21" s="3"/>
      <c r="J21" s="3"/>
      <c r="K21" s="3"/>
      <c r="L21" s="3"/>
      <c r="M21" s="3"/>
      <c r="N21" s="3"/>
    </row>
    <row r="22" spans="1:14" s="532" customFormat="1" ht="27" customHeight="1" x14ac:dyDescent="0.25">
      <c r="A22" s="3"/>
      <c r="B22" s="2232" t="s">
        <v>707</v>
      </c>
      <c r="C22" s="2233"/>
      <c r="D22" s="2233"/>
      <c r="E22" s="2233"/>
      <c r="F22" s="2233"/>
      <c r="G22" s="2233"/>
      <c r="H22" s="2233"/>
      <c r="I22" s="2233"/>
      <c r="J22" s="2233"/>
      <c r="K22" s="2233"/>
      <c r="L22" s="2233"/>
      <c r="M22" s="2234"/>
      <c r="N22" s="3"/>
    </row>
    <row r="23" spans="1:14" s="532" customFormat="1" ht="28.5" customHeight="1" x14ac:dyDescent="0.25">
      <c r="A23" s="3"/>
      <c r="B23" s="2235"/>
      <c r="C23" s="2236"/>
      <c r="D23" s="2236"/>
      <c r="E23" s="2236"/>
      <c r="F23" s="2236"/>
      <c r="G23" s="2236"/>
      <c r="H23" s="2236"/>
      <c r="I23" s="2236"/>
      <c r="J23" s="2236"/>
      <c r="K23" s="2236"/>
      <c r="L23" s="2236"/>
      <c r="M23" s="2237"/>
      <c r="N23" s="3"/>
    </row>
    <row r="24" spans="1:14" s="532" customFormat="1" ht="17.25" customHeight="1" x14ac:dyDescent="0.35">
      <c r="A24" s="3"/>
      <c r="B24" s="1017"/>
      <c r="C24" s="3"/>
      <c r="D24" s="971"/>
      <c r="E24" s="341"/>
      <c r="F24" s="341"/>
      <c r="G24" s="341"/>
      <c r="H24" s="3"/>
      <c r="I24" s="3"/>
      <c r="J24" s="3"/>
      <c r="K24" s="3"/>
      <c r="L24" s="3"/>
      <c r="M24" s="3"/>
      <c r="N24" s="3"/>
    </row>
    <row r="25" spans="1:14" s="1056" customFormat="1" ht="26.25" customHeight="1" x14ac:dyDescent="0.35">
      <c r="A25" s="973"/>
      <c r="B25" s="2228" t="s">
        <v>708</v>
      </c>
      <c r="C25" s="2228"/>
      <c r="D25" s="2228"/>
      <c r="E25" s="2228"/>
      <c r="F25" s="2228"/>
      <c r="G25" s="2228"/>
      <c r="H25" s="2228"/>
      <c r="I25" s="2228"/>
      <c r="J25" s="2228"/>
      <c r="K25" s="2228"/>
      <c r="L25" s="2228"/>
      <c r="M25" s="2228"/>
      <c r="N25" s="973"/>
    </row>
    <row r="26" spans="1:14" s="532" customFormat="1" ht="17.25" customHeight="1" x14ac:dyDescent="0.35">
      <c r="A26" s="3"/>
      <c r="B26" s="1017"/>
      <c r="C26" s="3"/>
      <c r="D26" s="971"/>
      <c r="E26" s="341"/>
      <c r="F26" s="341"/>
      <c r="G26" s="341"/>
      <c r="H26" s="3"/>
      <c r="I26" s="3"/>
      <c r="J26" s="3"/>
      <c r="K26" s="3"/>
      <c r="L26" s="3"/>
      <c r="M26" s="3"/>
      <c r="N26" s="3"/>
    </row>
    <row r="27" spans="1:14" s="896" customFormat="1" ht="17.25" customHeight="1" x14ac:dyDescent="0.25">
      <c r="A27" s="3"/>
      <c r="B27" s="1020" t="s">
        <v>709</v>
      </c>
      <c r="C27" s="3"/>
      <c r="D27" s="974"/>
      <c r="E27" s="3"/>
      <c r="F27" s="3"/>
      <c r="G27" s="3"/>
      <c r="H27" s="3"/>
      <c r="I27" s="3"/>
      <c r="J27" s="3"/>
      <c r="K27" s="3"/>
      <c r="L27" s="3"/>
      <c r="M27" s="3"/>
      <c r="N27" s="3"/>
    </row>
    <row r="28" spans="1:14" s="532" customFormat="1" ht="17.25" customHeight="1" x14ac:dyDescent="0.25">
      <c r="A28" s="378"/>
      <c r="B28" s="519"/>
      <c r="C28" s="378"/>
      <c r="D28" s="519"/>
      <c r="E28" s="378"/>
      <c r="F28" s="378"/>
      <c r="G28" s="378"/>
      <c r="H28" s="378"/>
      <c r="I28" s="378"/>
      <c r="J28" s="378"/>
      <c r="K28" s="378"/>
      <c r="L28" s="378"/>
      <c r="M28" s="378"/>
      <c r="N28" s="378"/>
    </row>
    <row r="29" spans="1:14" s="532" customFormat="1" ht="57" customHeight="1" x14ac:dyDescent="0.25">
      <c r="A29" s="2019">
        <v>3</v>
      </c>
      <c r="B29" s="2020" t="s">
        <v>710</v>
      </c>
      <c r="C29" s="2021"/>
      <c r="D29" s="2021"/>
      <c r="E29" s="2021"/>
      <c r="F29" s="2021"/>
      <c r="G29" s="2021"/>
      <c r="H29" s="2021"/>
      <c r="I29" s="2021"/>
      <c r="J29" s="2021"/>
      <c r="K29" s="2021"/>
      <c r="L29" s="2021"/>
      <c r="M29" s="2022"/>
      <c r="N29" s="378"/>
    </row>
    <row r="30" spans="1:14" s="532" customFormat="1" ht="40.5" customHeight="1" x14ac:dyDescent="0.25">
      <c r="A30" s="2019"/>
      <c r="B30" s="2026"/>
      <c r="C30" s="2027"/>
      <c r="D30" s="2027"/>
      <c r="E30" s="2027"/>
      <c r="F30" s="2027"/>
      <c r="G30" s="2027"/>
      <c r="H30" s="2027"/>
      <c r="I30" s="2027"/>
      <c r="J30" s="2027"/>
      <c r="K30" s="2027"/>
      <c r="L30" s="2027"/>
      <c r="M30" s="2028"/>
      <c r="N30" s="378"/>
    </row>
    <row r="31" spans="1:14" s="532" customFormat="1" ht="15.75" customHeight="1" x14ac:dyDescent="0.25">
      <c r="A31" s="594"/>
      <c r="B31" s="1252"/>
      <c r="C31" s="1252"/>
      <c r="D31" s="1252"/>
      <c r="E31" s="1252"/>
      <c r="F31" s="1252"/>
      <c r="G31" s="1252"/>
      <c r="H31" s="1252"/>
      <c r="I31" s="1252"/>
      <c r="J31" s="1252"/>
      <c r="K31" s="1252"/>
      <c r="L31" s="1252"/>
      <c r="M31" s="1252"/>
      <c r="N31" s="378"/>
    </row>
    <row r="32" spans="1:14" s="532" customFormat="1" ht="15.75" customHeight="1" x14ac:dyDescent="0.25">
      <c r="A32" s="2019">
        <v>5</v>
      </c>
      <c r="B32" s="2020" t="s">
        <v>711</v>
      </c>
      <c r="C32" s="2021"/>
      <c r="D32" s="2021"/>
      <c r="E32" s="2021"/>
      <c r="F32" s="2021"/>
      <c r="G32" s="2021"/>
      <c r="H32" s="2021"/>
      <c r="I32" s="2021"/>
      <c r="J32" s="2021"/>
      <c r="K32" s="2021"/>
      <c r="L32" s="2021"/>
      <c r="M32" s="2022"/>
      <c r="N32" s="378"/>
    </row>
    <row r="33" spans="1:14" s="532" customFormat="1" ht="15.75" customHeight="1" x14ac:dyDescent="0.25">
      <c r="A33" s="2019"/>
      <c r="B33" s="2023"/>
      <c r="C33" s="2024"/>
      <c r="D33" s="2024"/>
      <c r="E33" s="2024"/>
      <c r="F33" s="2024"/>
      <c r="G33" s="2024"/>
      <c r="H33" s="2024"/>
      <c r="I33" s="2024"/>
      <c r="J33" s="2024"/>
      <c r="K33" s="2024"/>
      <c r="L33" s="2024"/>
      <c r="M33" s="2025"/>
      <c r="N33" s="378"/>
    </row>
    <row r="34" spans="1:14" s="532" customFormat="1" ht="15.75" customHeight="1" x14ac:dyDescent="0.25">
      <c r="A34" s="2019"/>
      <c r="B34" s="2023"/>
      <c r="C34" s="2024"/>
      <c r="D34" s="2024"/>
      <c r="E34" s="2024"/>
      <c r="F34" s="2024"/>
      <c r="G34" s="2024"/>
      <c r="H34" s="2024"/>
      <c r="I34" s="2024"/>
      <c r="J34" s="2024"/>
      <c r="K34" s="2024"/>
      <c r="L34" s="2024"/>
      <c r="M34" s="2025"/>
      <c r="N34" s="378"/>
    </row>
    <row r="35" spans="1:14" s="532" customFormat="1" ht="15.75" customHeight="1" x14ac:dyDescent="0.25">
      <c r="A35" s="2019"/>
      <c r="B35" s="2023"/>
      <c r="C35" s="2024"/>
      <c r="D35" s="2024"/>
      <c r="E35" s="2024"/>
      <c r="F35" s="2024"/>
      <c r="G35" s="2024"/>
      <c r="H35" s="2024"/>
      <c r="I35" s="2024"/>
      <c r="J35" s="2024"/>
      <c r="K35" s="2024"/>
      <c r="L35" s="2024"/>
      <c r="M35" s="2025"/>
      <c r="N35" s="378"/>
    </row>
    <row r="36" spans="1:14" s="532" customFormat="1" ht="15.75" customHeight="1" x14ac:dyDescent="0.25">
      <c r="A36" s="2019"/>
      <c r="B36" s="2023"/>
      <c r="C36" s="2024"/>
      <c r="D36" s="2024"/>
      <c r="E36" s="2024"/>
      <c r="F36" s="2024"/>
      <c r="G36" s="2024"/>
      <c r="H36" s="2024"/>
      <c r="I36" s="2024"/>
      <c r="J36" s="2024"/>
      <c r="K36" s="2024"/>
      <c r="L36" s="2024"/>
      <c r="M36" s="2025"/>
      <c r="N36" s="378"/>
    </row>
    <row r="37" spans="1:14" s="532" customFormat="1" ht="15.75" customHeight="1" x14ac:dyDescent="0.25">
      <c r="A37" s="2019"/>
      <c r="B37" s="2023"/>
      <c r="C37" s="2024"/>
      <c r="D37" s="2024"/>
      <c r="E37" s="2024"/>
      <c r="F37" s="2024"/>
      <c r="G37" s="2024"/>
      <c r="H37" s="2024"/>
      <c r="I37" s="2024"/>
      <c r="J37" s="2024"/>
      <c r="K37" s="2024"/>
      <c r="L37" s="2024"/>
      <c r="M37" s="2025"/>
      <c r="N37" s="378"/>
    </row>
    <row r="38" spans="1:14" s="532" customFormat="1" ht="15.75" customHeight="1" x14ac:dyDescent="0.25">
      <c r="A38" s="2019"/>
      <c r="B38" s="2023"/>
      <c r="C38" s="2024"/>
      <c r="D38" s="2024"/>
      <c r="E38" s="2024"/>
      <c r="F38" s="2024"/>
      <c r="G38" s="2024"/>
      <c r="H38" s="2024"/>
      <c r="I38" s="2024"/>
      <c r="J38" s="2024"/>
      <c r="K38" s="2024"/>
      <c r="L38" s="2024"/>
      <c r="M38" s="2025"/>
      <c r="N38" s="378"/>
    </row>
    <row r="39" spans="1:14" s="532" customFormat="1" ht="15.75" customHeight="1" x14ac:dyDescent="0.25">
      <c r="A39" s="2019"/>
      <c r="B39" s="2023"/>
      <c r="C39" s="2024"/>
      <c r="D39" s="2024"/>
      <c r="E39" s="2024"/>
      <c r="F39" s="2024"/>
      <c r="G39" s="2024"/>
      <c r="H39" s="2024"/>
      <c r="I39" s="2024"/>
      <c r="J39" s="2024"/>
      <c r="K39" s="2024"/>
      <c r="L39" s="2024"/>
      <c r="M39" s="2025"/>
      <c r="N39" s="378"/>
    </row>
    <row r="40" spans="1:14" s="532" customFormat="1" ht="15.75" customHeight="1" x14ac:dyDescent="0.25">
      <c r="A40" s="2019"/>
      <c r="B40" s="2023"/>
      <c r="C40" s="2024"/>
      <c r="D40" s="2024"/>
      <c r="E40" s="2024"/>
      <c r="F40" s="2024"/>
      <c r="G40" s="2024"/>
      <c r="H40" s="2024"/>
      <c r="I40" s="2024"/>
      <c r="J40" s="2024"/>
      <c r="K40" s="2024"/>
      <c r="L40" s="2024"/>
      <c r="M40" s="2025"/>
      <c r="N40" s="378"/>
    </row>
    <row r="41" spans="1:14" s="532" customFormat="1" ht="15.75" customHeight="1" x14ac:dyDescent="0.25">
      <c r="A41" s="2019"/>
      <c r="B41" s="2026"/>
      <c r="C41" s="2027"/>
      <c r="D41" s="2027"/>
      <c r="E41" s="2027"/>
      <c r="F41" s="2027"/>
      <c r="G41" s="2027"/>
      <c r="H41" s="2027"/>
      <c r="I41" s="2027"/>
      <c r="J41" s="2027"/>
      <c r="K41" s="2027"/>
      <c r="L41" s="2027"/>
      <c r="M41" s="2028"/>
      <c r="N41" s="378"/>
    </row>
    <row r="42" spans="1:14" s="532" customFormat="1" ht="17.25" customHeight="1" x14ac:dyDescent="0.25">
      <c r="A42" s="378"/>
      <c r="B42" s="519"/>
      <c r="C42" s="378"/>
      <c r="D42" s="519"/>
      <c r="E42" s="378"/>
      <c r="F42" s="378"/>
      <c r="G42" s="378"/>
      <c r="H42" s="378"/>
      <c r="I42" s="378"/>
      <c r="J42" s="378"/>
      <c r="K42" s="378"/>
      <c r="L42" s="378"/>
      <c r="M42" s="378"/>
      <c r="N42" s="378"/>
    </row>
    <row r="43" spans="1:14" s="532" customFormat="1" ht="27.75" customHeight="1" x14ac:dyDescent="0.25">
      <c r="A43" s="2019">
        <v>7</v>
      </c>
      <c r="B43" s="2227" t="s">
        <v>712</v>
      </c>
      <c r="C43" s="2227"/>
      <c r="D43" s="2227"/>
      <c r="E43" s="2227"/>
      <c r="F43" s="2227"/>
      <c r="G43" s="2227"/>
      <c r="H43" s="2227"/>
      <c r="I43" s="2227"/>
      <c r="J43" s="2227"/>
      <c r="K43" s="2227"/>
      <c r="L43" s="2227"/>
      <c r="M43" s="2227"/>
      <c r="N43" s="378"/>
    </row>
    <row r="44" spans="1:14" s="532" customFormat="1" ht="24.75" customHeight="1" x14ac:dyDescent="0.25">
      <c r="A44" s="2019"/>
      <c r="B44" s="2227"/>
      <c r="C44" s="2227"/>
      <c r="D44" s="2227"/>
      <c r="E44" s="2227"/>
      <c r="F44" s="2227"/>
      <c r="G44" s="2227"/>
      <c r="H44" s="2227"/>
      <c r="I44" s="2227"/>
      <c r="J44" s="2227"/>
      <c r="K44" s="2227"/>
      <c r="L44" s="2227"/>
      <c r="M44" s="2227"/>
      <c r="N44" s="378"/>
    </row>
    <row r="45" spans="1:14" s="532" customFormat="1" ht="31.5" customHeight="1" x14ac:dyDescent="0.25">
      <c r="A45" s="2019"/>
      <c r="B45" s="2227"/>
      <c r="C45" s="2227"/>
      <c r="D45" s="2227"/>
      <c r="E45" s="2227"/>
      <c r="F45" s="2227"/>
      <c r="G45" s="2227"/>
      <c r="H45" s="2227"/>
      <c r="I45" s="2227"/>
      <c r="J45" s="2227"/>
      <c r="K45" s="2227"/>
      <c r="L45" s="2227"/>
      <c r="M45" s="2227"/>
      <c r="N45" s="378"/>
    </row>
    <row r="46" spans="1:14" s="532" customFormat="1" ht="17.25" customHeight="1" x14ac:dyDescent="0.25">
      <c r="A46" s="378"/>
      <c r="B46" s="519"/>
      <c r="C46" s="378"/>
      <c r="D46" s="519"/>
      <c r="E46" s="378"/>
      <c r="F46" s="378"/>
      <c r="G46" s="378"/>
      <c r="H46" s="378"/>
      <c r="I46" s="378"/>
      <c r="J46" s="378"/>
      <c r="K46" s="378"/>
      <c r="L46" s="378"/>
      <c r="M46" s="378"/>
      <c r="N46" s="378"/>
    </row>
    <row r="47" spans="1:14" s="532" customFormat="1" ht="17.25" customHeight="1" x14ac:dyDescent="0.25">
      <c r="A47" s="378"/>
      <c r="B47" s="519"/>
      <c r="C47" s="378"/>
      <c r="D47" s="519"/>
      <c r="E47" s="378"/>
      <c r="F47" s="378"/>
      <c r="G47" s="378"/>
      <c r="H47" s="378"/>
      <c r="I47" s="378"/>
      <c r="J47" s="378"/>
      <c r="K47" s="378"/>
      <c r="L47" s="378"/>
      <c r="M47" s="378"/>
      <c r="N47" s="378"/>
    </row>
    <row r="48" spans="1:14" s="532" customFormat="1" ht="17.25" customHeight="1" x14ac:dyDescent="0.25">
      <c r="A48" s="2019">
        <v>8</v>
      </c>
      <c r="B48" s="2227" t="s">
        <v>713</v>
      </c>
      <c r="C48" s="2227"/>
      <c r="D48" s="2227"/>
      <c r="E48" s="2227"/>
      <c r="F48" s="2227"/>
      <c r="G48" s="2227"/>
      <c r="H48" s="2227"/>
      <c r="I48" s="2227"/>
      <c r="J48" s="2227"/>
      <c r="K48" s="2227"/>
      <c r="L48" s="2227"/>
      <c r="M48" s="2227"/>
      <c r="N48" s="378"/>
    </row>
    <row r="49" spans="1:14" s="532" customFormat="1" ht="17.25" customHeight="1" x14ac:dyDescent="0.25">
      <c r="A49" s="2019"/>
      <c r="B49" s="2227"/>
      <c r="C49" s="2227"/>
      <c r="D49" s="2227"/>
      <c r="E49" s="2227"/>
      <c r="F49" s="2227"/>
      <c r="G49" s="2227"/>
      <c r="H49" s="2227"/>
      <c r="I49" s="2227"/>
      <c r="J49" s="2227"/>
      <c r="K49" s="2227"/>
      <c r="L49" s="2227"/>
      <c r="M49" s="2227"/>
      <c r="N49" s="378"/>
    </row>
    <row r="50" spans="1:14" s="532" customFormat="1" ht="17.25" customHeight="1" x14ac:dyDescent="0.25">
      <c r="A50" s="2019"/>
      <c r="B50" s="2227"/>
      <c r="C50" s="2227"/>
      <c r="D50" s="2227"/>
      <c r="E50" s="2227"/>
      <c r="F50" s="2227"/>
      <c r="G50" s="2227"/>
      <c r="H50" s="2227"/>
      <c r="I50" s="2227"/>
      <c r="J50" s="2227"/>
      <c r="K50" s="2227"/>
      <c r="L50" s="2227"/>
      <c r="M50" s="2227"/>
      <c r="N50" s="378"/>
    </row>
    <row r="51" spans="1:14" s="532" customFormat="1" ht="17.25" customHeight="1" x14ac:dyDescent="0.25">
      <c r="A51" s="2019"/>
      <c r="B51" s="2227"/>
      <c r="C51" s="2227"/>
      <c r="D51" s="2227"/>
      <c r="E51" s="2227"/>
      <c r="F51" s="2227"/>
      <c r="G51" s="2227"/>
      <c r="H51" s="2227"/>
      <c r="I51" s="2227"/>
      <c r="J51" s="2227"/>
      <c r="K51" s="2227"/>
      <c r="L51" s="2227"/>
      <c r="M51" s="2227"/>
      <c r="N51" s="378"/>
    </row>
    <row r="52" spans="1:14" s="532" customFormat="1" ht="17.25" customHeight="1" x14ac:dyDescent="0.25">
      <c r="A52" s="2019"/>
      <c r="B52" s="2227"/>
      <c r="C52" s="2227"/>
      <c r="D52" s="2227"/>
      <c r="E52" s="2227"/>
      <c r="F52" s="2227"/>
      <c r="G52" s="2227"/>
      <c r="H52" s="2227"/>
      <c r="I52" s="2227"/>
      <c r="J52" s="2227"/>
      <c r="K52" s="2227"/>
      <c r="L52" s="2227"/>
      <c r="M52" s="2227"/>
      <c r="N52" s="378"/>
    </row>
    <row r="53" spans="1:14" s="532" customFormat="1" ht="17.25" customHeight="1" x14ac:dyDescent="0.25">
      <c r="A53" s="2019"/>
      <c r="B53" s="2227"/>
      <c r="C53" s="2227"/>
      <c r="D53" s="2227"/>
      <c r="E53" s="2227"/>
      <c r="F53" s="2227"/>
      <c r="G53" s="2227"/>
      <c r="H53" s="2227"/>
      <c r="I53" s="2227"/>
      <c r="J53" s="2227"/>
      <c r="K53" s="2227"/>
      <c r="L53" s="2227"/>
      <c r="M53" s="2227"/>
      <c r="N53" s="378"/>
    </row>
    <row r="54" spans="1:14" s="532" customFormat="1" ht="17.25" customHeight="1" x14ac:dyDescent="0.25">
      <c r="A54" s="2019"/>
      <c r="B54" s="2227"/>
      <c r="C54" s="2227"/>
      <c r="D54" s="2227"/>
      <c r="E54" s="2227"/>
      <c r="F54" s="2227"/>
      <c r="G54" s="2227"/>
      <c r="H54" s="2227"/>
      <c r="I54" s="2227"/>
      <c r="J54" s="2227"/>
      <c r="K54" s="2227"/>
      <c r="L54" s="2227"/>
      <c r="M54" s="2227"/>
      <c r="N54" s="378"/>
    </row>
    <row r="55" spans="1:14" s="532" customFormat="1" ht="17.25" customHeight="1" x14ac:dyDescent="0.25">
      <c r="A55" s="2019"/>
      <c r="B55" s="2227"/>
      <c r="C55" s="2227"/>
      <c r="D55" s="2227"/>
      <c r="E55" s="2227"/>
      <c r="F55" s="2227"/>
      <c r="G55" s="2227"/>
      <c r="H55" s="2227"/>
      <c r="I55" s="2227"/>
      <c r="J55" s="2227"/>
      <c r="K55" s="2227"/>
      <c r="L55" s="2227"/>
      <c r="M55" s="2227"/>
      <c r="N55" s="378"/>
    </row>
    <row r="56" spans="1:14" s="532" customFormat="1" ht="17.25" customHeight="1" x14ac:dyDescent="0.25">
      <c r="A56" s="378"/>
      <c r="B56" s="519"/>
      <c r="C56" s="378"/>
      <c r="D56" s="519"/>
      <c r="E56" s="378"/>
      <c r="F56" s="378"/>
      <c r="G56" s="378"/>
      <c r="H56" s="378"/>
      <c r="I56" s="378"/>
      <c r="J56" s="378"/>
      <c r="K56" s="378"/>
      <c r="L56" s="378"/>
      <c r="M56" s="378"/>
      <c r="N56" s="378"/>
    </row>
    <row r="57" spans="1:14" s="532" customFormat="1" ht="20.25" customHeight="1" x14ac:dyDescent="0.25">
      <c r="A57" s="2019">
        <v>10</v>
      </c>
      <c r="B57" s="2227" t="s">
        <v>714</v>
      </c>
      <c r="C57" s="2227"/>
      <c r="D57" s="2227"/>
      <c r="E57" s="2227"/>
      <c r="F57" s="2227"/>
      <c r="G57" s="2227"/>
      <c r="H57" s="2227"/>
      <c r="I57" s="2227"/>
      <c r="J57" s="2227"/>
      <c r="K57" s="2227"/>
      <c r="L57" s="2227"/>
      <c r="M57" s="2227"/>
      <c r="N57" s="378"/>
    </row>
    <row r="58" spans="1:14" s="532" customFormat="1" ht="20.25" customHeight="1" x14ac:dyDescent="0.25">
      <c r="A58" s="2019"/>
      <c r="B58" s="2227"/>
      <c r="C58" s="2227"/>
      <c r="D58" s="2227"/>
      <c r="E58" s="2227"/>
      <c r="F58" s="2227"/>
      <c r="G58" s="2227"/>
      <c r="H58" s="2227"/>
      <c r="I58" s="2227"/>
      <c r="J58" s="2227"/>
      <c r="K58" s="2227"/>
      <c r="L58" s="2227"/>
      <c r="M58" s="2227"/>
      <c r="N58" s="378"/>
    </row>
    <row r="59" spans="1:14" s="532" customFormat="1" ht="20.25" customHeight="1" x14ac:dyDescent="0.25">
      <c r="A59" s="2019"/>
      <c r="B59" s="2227"/>
      <c r="C59" s="2227"/>
      <c r="D59" s="2227"/>
      <c r="E59" s="2227"/>
      <c r="F59" s="2227"/>
      <c r="G59" s="2227"/>
      <c r="H59" s="2227"/>
      <c r="I59" s="2227"/>
      <c r="J59" s="2227"/>
      <c r="K59" s="2227"/>
      <c r="L59" s="2227"/>
      <c r="M59" s="2227"/>
      <c r="N59" s="378"/>
    </row>
    <row r="60" spans="1:14" s="532" customFormat="1" ht="20.25" customHeight="1" x14ac:dyDescent="0.25">
      <c r="A60" s="2019"/>
      <c r="B60" s="2227"/>
      <c r="C60" s="2227"/>
      <c r="D60" s="2227"/>
      <c r="E60" s="2227"/>
      <c r="F60" s="2227"/>
      <c r="G60" s="2227"/>
      <c r="H60" s="2227"/>
      <c r="I60" s="2227"/>
      <c r="J60" s="2227"/>
      <c r="K60" s="2227"/>
      <c r="L60" s="2227"/>
      <c r="M60" s="2227"/>
      <c r="N60" s="378"/>
    </row>
    <row r="61" spans="1:14" s="532" customFormat="1" ht="18" customHeight="1" x14ac:dyDescent="0.25">
      <c r="A61" s="2019"/>
      <c r="B61" s="2227"/>
      <c r="C61" s="2227"/>
      <c r="D61" s="2227"/>
      <c r="E61" s="2227"/>
      <c r="F61" s="2227"/>
      <c r="G61" s="2227"/>
      <c r="H61" s="2227"/>
      <c r="I61" s="2227"/>
      <c r="J61" s="2227"/>
      <c r="K61" s="2227"/>
      <c r="L61" s="2227"/>
      <c r="M61" s="2227"/>
      <c r="N61" s="378"/>
    </row>
    <row r="62" spans="1:14" s="532" customFormat="1" ht="20.25" customHeight="1" x14ac:dyDescent="0.25">
      <c r="A62" s="2019"/>
      <c r="B62" s="2227"/>
      <c r="C62" s="2227"/>
      <c r="D62" s="2227"/>
      <c r="E62" s="2227"/>
      <c r="F62" s="2227"/>
      <c r="G62" s="2227"/>
      <c r="H62" s="2227"/>
      <c r="I62" s="2227"/>
      <c r="J62" s="2227"/>
      <c r="K62" s="2227"/>
      <c r="L62" s="2227"/>
      <c r="M62" s="2227"/>
      <c r="N62" s="378"/>
    </row>
    <row r="63" spans="1:14" s="532" customFormat="1" ht="20.25" customHeight="1" x14ac:dyDescent="0.25">
      <c r="A63" s="2019"/>
      <c r="B63" s="2227"/>
      <c r="C63" s="2227"/>
      <c r="D63" s="2227"/>
      <c r="E63" s="2227"/>
      <c r="F63" s="2227"/>
      <c r="G63" s="2227"/>
      <c r="H63" s="2227"/>
      <c r="I63" s="2227"/>
      <c r="J63" s="2227"/>
      <c r="K63" s="2227"/>
      <c r="L63" s="2227"/>
      <c r="M63" s="2227"/>
      <c r="N63" s="378"/>
    </row>
    <row r="64" spans="1:14" s="532" customFormat="1" ht="20.25" customHeight="1" x14ac:dyDescent="0.25">
      <c r="A64" s="2019"/>
      <c r="B64" s="2227"/>
      <c r="C64" s="2227"/>
      <c r="D64" s="2227"/>
      <c r="E64" s="2227"/>
      <c r="F64" s="2227"/>
      <c r="G64" s="2227"/>
      <c r="H64" s="2227"/>
      <c r="I64" s="2227"/>
      <c r="J64" s="2227"/>
      <c r="K64" s="2227"/>
      <c r="L64" s="2227"/>
      <c r="M64" s="2227"/>
      <c r="N64" s="378"/>
    </row>
    <row r="65" spans="1:14" s="532" customFormat="1" ht="17.25" customHeight="1" x14ac:dyDescent="0.25">
      <c r="A65" s="2019"/>
      <c r="B65" s="2227"/>
      <c r="C65" s="2227"/>
      <c r="D65" s="2227"/>
      <c r="E65" s="2227"/>
      <c r="F65" s="2227"/>
      <c r="G65" s="2227"/>
      <c r="H65" s="2227"/>
      <c r="I65" s="2227"/>
      <c r="J65" s="2227"/>
      <c r="K65" s="2227"/>
      <c r="L65" s="2227"/>
      <c r="M65" s="2227"/>
      <c r="N65" s="378"/>
    </row>
    <row r="66" spans="1:14" s="532" customFormat="1" ht="17.25" customHeight="1" x14ac:dyDescent="0.25">
      <c r="A66" s="378"/>
      <c r="B66" s="519"/>
      <c r="C66" s="378"/>
      <c r="D66" s="519"/>
      <c r="E66" s="378"/>
      <c r="F66" s="378"/>
      <c r="G66" s="378"/>
      <c r="H66" s="378"/>
      <c r="I66" s="378"/>
      <c r="J66" s="378"/>
      <c r="K66" s="378"/>
      <c r="L66" s="378"/>
      <c r="M66" s="378"/>
      <c r="N66" s="378"/>
    </row>
    <row r="67" spans="1:14" s="532" customFormat="1" ht="33.75" customHeight="1" x14ac:dyDescent="0.25">
      <c r="A67" s="2019">
        <v>11</v>
      </c>
      <c r="B67" s="2020" t="s">
        <v>715</v>
      </c>
      <c r="C67" s="2021"/>
      <c r="D67" s="2021"/>
      <c r="E67" s="2021"/>
      <c r="F67" s="2021"/>
      <c r="G67" s="2021"/>
      <c r="H67" s="2021"/>
      <c r="I67" s="2021"/>
      <c r="J67" s="2021"/>
      <c r="K67" s="2021"/>
      <c r="L67" s="2021"/>
      <c r="M67" s="2022"/>
      <c r="N67" s="378"/>
    </row>
    <row r="68" spans="1:14" s="532" customFormat="1" ht="39" customHeight="1" x14ac:dyDescent="0.25">
      <c r="A68" s="2019"/>
      <c r="B68" s="2023"/>
      <c r="C68" s="2024"/>
      <c r="D68" s="2024"/>
      <c r="E68" s="2024"/>
      <c r="F68" s="2024"/>
      <c r="G68" s="2024"/>
      <c r="H68" s="2024"/>
      <c r="I68" s="2024"/>
      <c r="J68" s="2024"/>
      <c r="K68" s="2024"/>
      <c r="L68" s="2024"/>
      <c r="M68" s="2025"/>
      <c r="N68" s="378"/>
    </row>
    <row r="69" spans="1:14" s="532" customFormat="1" ht="32.25" customHeight="1" x14ac:dyDescent="0.25">
      <c r="A69" s="2019"/>
      <c r="B69" s="2026"/>
      <c r="C69" s="2027"/>
      <c r="D69" s="2027"/>
      <c r="E69" s="2027"/>
      <c r="F69" s="2027"/>
      <c r="G69" s="2027"/>
      <c r="H69" s="2027"/>
      <c r="I69" s="2027"/>
      <c r="J69" s="2027"/>
      <c r="K69" s="2027"/>
      <c r="L69" s="2027"/>
      <c r="M69" s="2028"/>
      <c r="N69" s="378"/>
    </row>
    <row r="70" spans="1:14" s="532" customFormat="1" ht="23.25" customHeight="1" x14ac:dyDescent="0.25">
      <c r="A70" s="594"/>
      <c r="B70" s="1252"/>
      <c r="C70" s="1252"/>
      <c r="D70" s="1252"/>
      <c r="E70" s="1252"/>
      <c r="F70" s="1252"/>
      <c r="G70" s="1252"/>
      <c r="H70" s="1252"/>
      <c r="I70" s="1252"/>
      <c r="J70" s="1252"/>
      <c r="K70" s="1252"/>
      <c r="L70" s="1252"/>
      <c r="M70" s="1252"/>
      <c r="N70" s="378"/>
    </row>
    <row r="71" spans="1:14" s="532" customFormat="1" ht="17.25" customHeight="1" x14ac:dyDescent="0.25">
      <c r="A71" s="378"/>
      <c r="B71" s="519"/>
      <c r="C71" s="378"/>
      <c r="D71" s="519"/>
      <c r="E71" s="378"/>
      <c r="F71" s="378"/>
      <c r="G71" s="378"/>
      <c r="H71" s="378"/>
      <c r="I71" s="378"/>
      <c r="J71" s="378"/>
      <c r="K71" s="378"/>
      <c r="L71" s="378"/>
      <c r="M71" s="378"/>
      <c r="N71" s="378"/>
    </row>
    <row r="72" spans="1:14" s="532" customFormat="1" ht="57.75" customHeight="1" x14ac:dyDescent="0.25">
      <c r="A72" s="2019">
        <v>12</v>
      </c>
      <c r="B72" s="2020" t="s">
        <v>716</v>
      </c>
      <c r="C72" s="2021"/>
      <c r="D72" s="2021"/>
      <c r="E72" s="2021"/>
      <c r="F72" s="2021"/>
      <c r="G72" s="2021"/>
      <c r="H72" s="2021"/>
      <c r="I72" s="2021"/>
      <c r="J72" s="2021"/>
      <c r="K72" s="2021"/>
      <c r="L72" s="2021"/>
      <c r="M72" s="2022"/>
      <c r="N72" s="378"/>
    </row>
    <row r="73" spans="1:14" s="532" customFormat="1" ht="96.75" customHeight="1" x14ac:dyDescent="0.25">
      <c r="A73" s="2019"/>
      <c r="B73" s="2023"/>
      <c r="C73" s="2024"/>
      <c r="D73" s="2024"/>
      <c r="E73" s="2024"/>
      <c r="F73" s="2024"/>
      <c r="G73" s="2024"/>
      <c r="H73" s="2024"/>
      <c r="I73" s="2024"/>
      <c r="J73" s="2024"/>
      <c r="K73" s="2024"/>
      <c r="L73" s="2024"/>
      <c r="M73" s="2025"/>
      <c r="N73" s="378"/>
    </row>
    <row r="74" spans="1:14" s="532" customFormat="1" ht="65.25" customHeight="1" x14ac:dyDescent="0.25">
      <c r="A74" s="2019"/>
      <c r="B74" s="2026"/>
      <c r="C74" s="2027"/>
      <c r="D74" s="2027"/>
      <c r="E74" s="2027"/>
      <c r="F74" s="2027"/>
      <c r="G74" s="2027"/>
      <c r="H74" s="2027"/>
      <c r="I74" s="2027"/>
      <c r="J74" s="2027"/>
      <c r="K74" s="2027"/>
      <c r="L74" s="2027"/>
      <c r="M74" s="2028"/>
      <c r="N74" s="378"/>
    </row>
    <row r="75" spans="1:14" s="378" customFormat="1" ht="18.75" customHeight="1" x14ac:dyDescent="0.25">
      <c r="A75" s="594"/>
      <c r="B75" s="1252"/>
      <c r="C75" s="1252"/>
      <c r="D75" s="1252"/>
      <c r="E75" s="1252"/>
      <c r="F75" s="1252"/>
      <c r="G75" s="1252"/>
      <c r="H75" s="1252"/>
      <c r="I75" s="1252"/>
      <c r="J75" s="1252"/>
      <c r="K75" s="1252"/>
      <c r="L75" s="1252"/>
      <c r="M75" s="1252"/>
    </row>
    <row r="76" spans="1:14" s="378" customFormat="1" ht="18.75" customHeight="1" x14ac:dyDescent="0.25">
      <c r="A76" s="2019">
        <v>13</v>
      </c>
      <c r="B76" s="2020" t="s">
        <v>717</v>
      </c>
      <c r="C76" s="2021"/>
      <c r="D76" s="2021"/>
      <c r="E76" s="2021"/>
      <c r="F76" s="2021"/>
      <c r="G76" s="2021"/>
      <c r="H76" s="2021"/>
      <c r="I76" s="2021"/>
      <c r="J76" s="2021"/>
      <c r="K76" s="2021"/>
      <c r="L76" s="2021"/>
      <c r="M76" s="2022"/>
    </row>
    <row r="77" spans="1:14" s="378" customFormat="1" ht="18.75" customHeight="1" x14ac:dyDescent="0.25">
      <c r="A77" s="2019"/>
      <c r="B77" s="2023"/>
      <c r="C77" s="2024"/>
      <c r="D77" s="2024"/>
      <c r="E77" s="2024"/>
      <c r="F77" s="2024"/>
      <c r="G77" s="2024"/>
      <c r="H77" s="2024"/>
      <c r="I77" s="2024"/>
      <c r="J77" s="2024"/>
      <c r="K77" s="2024"/>
      <c r="L77" s="2024"/>
      <c r="M77" s="2025"/>
    </row>
    <row r="78" spans="1:14" s="378" customFormat="1" ht="18.75" customHeight="1" x14ac:dyDescent="0.25">
      <c r="A78" s="2019"/>
      <c r="B78" s="2023"/>
      <c r="C78" s="2024"/>
      <c r="D78" s="2024"/>
      <c r="E78" s="2024"/>
      <c r="F78" s="2024"/>
      <c r="G78" s="2024"/>
      <c r="H78" s="2024"/>
      <c r="I78" s="2024"/>
      <c r="J78" s="2024"/>
      <c r="K78" s="2024"/>
      <c r="L78" s="2024"/>
      <c r="M78" s="2025"/>
    </row>
    <row r="79" spans="1:14" s="378" customFormat="1" ht="18.75" customHeight="1" x14ac:dyDescent="0.25">
      <c r="A79" s="2019"/>
      <c r="B79" s="2023"/>
      <c r="C79" s="2024"/>
      <c r="D79" s="2024"/>
      <c r="E79" s="2024"/>
      <c r="F79" s="2024"/>
      <c r="G79" s="2024"/>
      <c r="H79" s="2024"/>
      <c r="I79" s="2024"/>
      <c r="J79" s="2024"/>
      <c r="K79" s="2024"/>
      <c r="L79" s="2024"/>
      <c r="M79" s="2025"/>
    </row>
    <row r="80" spans="1:14" s="378" customFormat="1" ht="18.75" customHeight="1" x14ac:dyDescent="0.25">
      <c r="A80" s="2019"/>
      <c r="B80" s="2026"/>
      <c r="C80" s="2027"/>
      <c r="D80" s="2027"/>
      <c r="E80" s="2027"/>
      <c r="F80" s="2027"/>
      <c r="G80" s="2027"/>
      <c r="H80" s="2027"/>
      <c r="I80" s="2027"/>
      <c r="J80" s="2027"/>
      <c r="K80" s="2027"/>
      <c r="L80" s="2027"/>
      <c r="M80" s="2028"/>
    </row>
    <row r="81" spans="1:14" s="532" customFormat="1" ht="17.25" customHeight="1" x14ac:dyDescent="0.25">
      <c r="A81" s="378"/>
      <c r="B81" s="519"/>
      <c r="C81" s="378"/>
      <c r="D81" s="519"/>
      <c r="E81" s="378"/>
      <c r="F81" s="378"/>
      <c r="G81" s="378"/>
      <c r="H81" s="378"/>
      <c r="I81" s="378"/>
      <c r="J81" s="378"/>
      <c r="K81" s="378"/>
      <c r="L81" s="378"/>
      <c r="M81" s="378"/>
      <c r="N81" s="378"/>
    </row>
    <row r="82" spans="1:14" s="532" customFormat="1" ht="32.25" customHeight="1" x14ac:dyDescent="0.25">
      <c r="A82" s="2019">
        <v>18</v>
      </c>
      <c r="B82" s="2020" t="s">
        <v>718</v>
      </c>
      <c r="C82" s="2021"/>
      <c r="D82" s="2021"/>
      <c r="E82" s="2021"/>
      <c r="F82" s="2021"/>
      <c r="G82" s="2021"/>
      <c r="H82" s="2021"/>
      <c r="I82" s="2021"/>
      <c r="J82" s="2021"/>
      <c r="K82" s="2021"/>
      <c r="L82" s="2021"/>
      <c r="M82" s="2022"/>
      <c r="N82" s="378"/>
    </row>
    <row r="83" spans="1:14" s="532" customFormat="1" ht="33" customHeight="1" x14ac:dyDescent="0.25">
      <c r="A83" s="2019"/>
      <c r="B83" s="2023"/>
      <c r="C83" s="2024"/>
      <c r="D83" s="2024"/>
      <c r="E83" s="2024"/>
      <c r="F83" s="2024"/>
      <c r="G83" s="2024"/>
      <c r="H83" s="2024"/>
      <c r="I83" s="2024"/>
      <c r="J83" s="2024"/>
      <c r="K83" s="2024"/>
      <c r="L83" s="2024"/>
      <c r="M83" s="2025"/>
      <c r="N83" s="378"/>
    </row>
    <row r="84" spans="1:14" s="532" customFormat="1" ht="33" customHeight="1" x14ac:dyDescent="0.25">
      <c r="A84" s="2019"/>
      <c r="B84" s="2023"/>
      <c r="C84" s="2024"/>
      <c r="D84" s="2024"/>
      <c r="E84" s="2024"/>
      <c r="F84" s="2024"/>
      <c r="G84" s="2024"/>
      <c r="H84" s="2024"/>
      <c r="I84" s="2024"/>
      <c r="J84" s="2024"/>
      <c r="K84" s="2024"/>
      <c r="L84" s="2024"/>
      <c r="M84" s="2025"/>
      <c r="N84" s="378"/>
    </row>
    <row r="85" spans="1:14" s="532" customFormat="1" ht="24" customHeight="1" x14ac:dyDescent="0.25">
      <c r="A85" s="2019"/>
      <c r="B85" s="2026"/>
      <c r="C85" s="2027"/>
      <c r="D85" s="2027"/>
      <c r="E85" s="2027"/>
      <c r="F85" s="2027"/>
      <c r="G85" s="2027"/>
      <c r="H85" s="2027"/>
      <c r="I85" s="2027"/>
      <c r="J85" s="2027"/>
      <c r="K85" s="2027"/>
      <c r="L85" s="2027"/>
      <c r="M85" s="2028"/>
      <c r="N85" s="378"/>
    </row>
    <row r="86" spans="1:14" s="532" customFormat="1" ht="17.25" customHeight="1" x14ac:dyDescent="0.25">
      <c r="A86" s="378"/>
      <c r="B86" s="519"/>
      <c r="C86" s="378"/>
      <c r="D86" s="519"/>
      <c r="E86" s="378"/>
      <c r="F86" s="378"/>
      <c r="G86" s="378"/>
      <c r="H86" s="378"/>
      <c r="I86" s="378"/>
      <c r="J86" s="378"/>
      <c r="K86" s="378"/>
      <c r="L86" s="378"/>
      <c r="M86" s="378"/>
      <c r="N86" s="378"/>
    </row>
    <row r="87" spans="1:14" s="532" customFormat="1" ht="23.25" customHeight="1" x14ac:dyDescent="0.25">
      <c r="A87" s="378"/>
      <c r="B87" s="1020" t="s">
        <v>719</v>
      </c>
      <c r="C87" s="378"/>
      <c r="D87" s="519"/>
      <c r="E87" s="378"/>
      <c r="F87" s="378"/>
      <c r="G87" s="378"/>
      <c r="H87" s="378"/>
      <c r="I87" s="378"/>
      <c r="J87" s="378"/>
      <c r="K87" s="378"/>
      <c r="L87" s="378"/>
      <c r="M87" s="378"/>
      <c r="N87" s="378"/>
    </row>
    <row r="88" spans="1:14" s="532" customFormat="1" ht="17.25" customHeight="1" x14ac:dyDescent="0.25">
      <c r="A88" s="378"/>
      <c r="B88" s="519"/>
      <c r="C88" s="378"/>
      <c r="D88" s="519"/>
      <c r="E88" s="378"/>
      <c r="F88" s="378"/>
      <c r="G88" s="378"/>
      <c r="H88" s="378"/>
      <c r="I88" s="378"/>
      <c r="J88" s="378"/>
      <c r="K88" s="378"/>
      <c r="L88" s="378"/>
      <c r="M88" s="378"/>
      <c r="N88" s="378"/>
    </row>
    <row r="89" spans="1:14" s="532" customFormat="1" ht="27.75" customHeight="1" x14ac:dyDescent="0.25">
      <c r="A89" s="2019">
        <v>2</v>
      </c>
      <c r="B89" s="2020" t="s">
        <v>720</v>
      </c>
      <c r="C89" s="2021"/>
      <c r="D89" s="2021"/>
      <c r="E89" s="2021"/>
      <c r="F89" s="2021"/>
      <c r="G89" s="2021"/>
      <c r="H89" s="2021"/>
      <c r="I89" s="2021"/>
      <c r="J89" s="2021"/>
      <c r="K89" s="2021"/>
      <c r="L89" s="2021"/>
      <c r="M89" s="2022"/>
      <c r="N89" s="378"/>
    </row>
    <row r="90" spans="1:14" s="532" customFormat="1" ht="30" customHeight="1" x14ac:dyDescent="0.25">
      <c r="A90" s="2019"/>
      <c r="B90" s="2023"/>
      <c r="C90" s="2024"/>
      <c r="D90" s="2024"/>
      <c r="E90" s="2024"/>
      <c r="F90" s="2024"/>
      <c r="G90" s="2024"/>
      <c r="H90" s="2024"/>
      <c r="I90" s="2024"/>
      <c r="J90" s="2024"/>
      <c r="K90" s="2024"/>
      <c r="L90" s="2024"/>
      <c r="M90" s="2025"/>
      <c r="N90" s="378"/>
    </row>
    <row r="91" spans="1:14" s="532" customFormat="1" ht="24.75" customHeight="1" x14ac:dyDescent="0.25">
      <c r="A91" s="2019"/>
      <c r="B91" s="2026"/>
      <c r="C91" s="2027"/>
      <c r="D91" s="2027"/>
      <c r="E91" s="2027"/>
      <c r="F91" s="2027"/>
      <c r="G91" s="2027"/>
      <c r="H91" s="2027"/>
      <c r="I91" s="2027"/>
      <c r="J91" s="2027"/>
      <c r="K91" s="2027"/>
      <c r="L91" s="2027"/>
      <c r="M91" s="2028"/>
      <c r="N91" s="378"/>
    </row>
    <row r="92" spans="1:14" s="532" customFormat="1" ht="17.25" customHeight="1" x14ac:dyDescent="0.25">
      <c r="A92" s="378"/>
      <c r="B92" s="519"/>
      <c r="C92" s="378"/>
      <c r="D92" s="519"/>
      <c r="E92" s="378"/>
      <c r="F92" s="378"/>
      <c r="G92" s="378"/>
      <c r="H92" s="378"/>
      <c r="I92" s="378"/>
      <c r="J92" s="378"/>
      <c r="K92" s="378"/>
      <c r="L92" s="378"/>
      <c r="M92" s="378"/>
      <c r="N92" s="378"/>
    </row>
    <row r="93" spans="1:14" s="532" customFormat="1" ht="17.25" customHeight="1" x14ac:dyDescent="0.25">
      <c r="A93" s="2019">
        <v>3</v>
      </c>
      <c r="B93" s="2020" t="s">
        <v>721</v>
      </c>
      <c r="C93" s="2021"/>
      <c r="D93" s="2021"/>
      <c r="E93" s="2021"/>
      <c r="F93" s="2021"/>
      <c r="G93" s="2021"/>
      <c r="H93" s="2021"/>
      <c r="I93" s="2021"/>
      <c r="J93" s="2021"/>
      <c r="K93" s="2021"/>
      <c r="L93" s="2021"/>
      <c r="M93" s="2022"/>
      <c r="N93" s="378"/>
    </row>
    <row r="94" spans="1:14" s="532" customFormat="1" ht="17.25" customHeight="1" x14ac:dyDescent="0.25">
      <c r="A94" s="2019"/>
      <c r="B94" s="2023"/>
      <c r="C94" s="2024"/>
      <c r="D94" s="2024"/>
      <c r="E94" s="2024"/>
      <c r="F94" s="2024"/>
      <c r="G94" s="2024"/>
      <c r="H94" s="2024"/>
      <c r="I94" s="2024"/>
      <c r="J94" s="2024"/>
      <c r="K94" s="2024"/>
      <c r="L94" s="2024"/>
      <c r="M94" s="2025"/>
      <c r="N94" s="378"/>
    </row>
    <row r="95" spans="1:14" s="532" customFormat="1" ht="17.25" customHeight="1" x14ac:dyDescent="0.25">
      <c r="A95" s="2019"/>
      <c r="B95" s="2026"/>
      <c r="C95" s="2027"/>
      <c r="D95" s="2027"/>
      <c r="E95" s="2027"/>
      <c r="F95" s="2027"/>
      <c r="G95" s="2027"/>
      <c r="H95" s="2027"/>
      <c r="I95" s="2027"/>
      <c r="J95" s="2027"/>
      <c r="K95" s="2027"/>
      <c r="L95" s="2027"/>
      <c r="M95" s="2028"/>
      <c r="N95" s="378"/>
    </row>
    <row r="96" spans="1:14" s="532" customFormat="1" ht="17.25" customHeight="1" x14ac:dyDescent="0.25">
      <c r="A96" s="378"/>
      <c r="B96" s="519"/>
      <c r="C96" s="378"/>
      <c r="D96" s="519"/>
      <c r="E96" s="378"/>
      <c r="F96" s="378"/>
      <c r="G96" s="378"/>
      <c r="H96" s="378"/>
      <c r="I96" s="378"/>
      <c r="J96" s="378"/>
      <c r="K96" s="378"/>
      <c r="L96" s="378"/>
      <c r="M96" s="378"/>
      <c r="N96" s="378"/>
    </row>
    <row r="97" spans="1:14" s="532" customFormat="1" ht="21.75" customHeight="1" x14ac:dyDescent="0.25">
      <c r="A97" s="378"/>
      <c r="B97" s="1020" t="s">
        <v>722</v>
      </c>
      <c r="C97" s="378"/>
      <c r="D97" s="519"/>
      <c r="E97" s="378"/>
      <c r="F97" s="378"/>
      <c r="G97" s="378"/>
      <c r="H97" s="378"/>
      <c r="I97" s="378"/>
      <c r="J97" s="378"/>
      <c r="K97" s="378"/>
      <c r="L97" s="378"/>
      <c r="M97" s="378"/>
      <c r="N97" s="378"/>
    </row>
    <row r="98" spans="1:14" s="532" customFormat="1" ht="13.5" customHeight="1" x14ac:dyDescent="0.25">
      <c r="A98" s="378"/>
      <c r="B98" s="519"/>
      <c r="C98" s="378"/>
      <c r="D98" s="519"/>
      <c r="E98" s="378"/>
      <c r="F98" s="378"/>
      <c r="G98" s="378"/>
      <c r="H98" s="378"/>
      <c r="I98" s="378"/>
      <c r="J98" s="378"/>
      <c r="K98" s="378"/>
      <c r="L98" s="378"/>
      <c r="M98" s="378"/>
      <c r="N98" s="378"/>
    </row>
    <row r="99" spans="1:14" s="532" customFormat="1" ht="17.25" customHeight="1" x14ac:dyDescent="0.25">
      <c r="A99" s="660">
        <v>1</v>
      </c>
      <c r="B99" s="2038" t="s">
        <v>723</v>
      </c>
      <c r="C99" s="2038"/>
      <c r="D99" s="2038"/>
      <c r="E99" s="2038"/>
      <c r="F99" s="2038"/>
      <c r="G99" s="2038"/>
      <c r="H99" s="2038"/>
      <c r="I99" s="2038"/>
      <c r="J99" s="2038"/>
      <c r="K99" s="2038"/>
      <c r="L99" s="2038"/>
      <c r="M99" s="2038"/>
      <c r="N99" s="378"/>
    </row>
    <row r="100" spans="1:14" s="532" customFormat="1" ht="17.25" customHeight="1" x14ac:dyDescent="0.25">
      <c r="A100" s="378"/>
      <c r="B100" s="2029" t="s">
        <v>724</v>
      </c>
      <c r="C100" s="2030"/>
      <c r="D100" s="2030"/>
      <c r="E100" s="2030"/>
      <c r="F100" s="2030"/>
      <c r="G100" s="2030"/>
      <c r="H100" s="2030"/>
      <c r="I100" s="2030"/>
      <c r="J100" s="2030"/>
      <c r="K100" s="2030"/>
      <c r="L100" s="2030"/>
      <c r="M100" s="2031"/>
      <c r="N100" s="378"/>
    </row>
    <row r="101" spans="1:14" s="532" customFormat="1" ht="17.25" customHeight="1" x14ac:dyDescent="0.25">
      <c r="A101" s="378"/>
      <c r="B101" s="2032"/>
      <c r="C101" s="2033"/>
      <c r="D101" s="2033"/>
      <c r="E101" s="2033"/>
      <c r="F101" s="2033"/>
      <c r="G101" s="2033"/>
      <c r="H101" s="2033"/>
      <c r="I101" s="2033"/>
      <c r="J101" s="2033"/>
      <c r="K101" s="2033"/>
      <c r="L101" s="2033"/>
      <c r="M101" s="2034"/>
      <c r="N101" s="378"/>
    </row>
    <row r="102" spans="1:14" s="532" customFormat="1" ht="20.25" customHeight="1" x14ac:dyDescent="0.25">
      <c r="A102" s="378"/>
      <c r="B102" s="2032"/>
      <c r="C102" s="2033"/>
      <c r="D102" s="2033"/>
      <c r="E102" s="2033"/>
      <c r="F102" s="2033"/>
      <c r="G102" s="2033"/>
      <c r="H102" s="2033"/>
      <c r="I102" s="2033"/>
      <c r="J102" s="2033"/>
      <c r="K102" s="2033"/>
      <c r="L102" s="2033"/>
      <c r="M102" s="2034"/>
      <c r="N102" s="378"/>
    </row>
    <row r="103" spans="1:14" s="532" customFormat="1" ht="24.75" customHeight="1" x14ac:dyDescent="0.25">
      <c r="A103" s="378"/>
      <c r="B103" s="2032"/>
      <c r="C103" s="2033"/>
      <c r="D103" s="2033"/>
      <c r="E103" s="2033"/>
      <c r="F103" s="2033"/>
      <c r="G103" s="2033"/>
      <c r="H103" s="2033"/>
      <c r="I103" s="2033"/>
      <c r="J103" s="2033"/>
      <c r="K103" s="2033"/>
      <c r="L103" s="2033"/>
      <c r="M103" s="2034"/>
      <c r="N103" s="378"/>
    </row>
    <row r="104" spans="1:14" s="532" customFormat="1" ht="30.75" customHeight="1" x14ac:dyDescent="0.25">
      <c r="A104" s="378"/>
      <c r="B104" s="2032"/>
      <c r="C104" s="2033"/>
      <c r="D104" s="2033"/>
      <c r="E104" s="2033"/>
      <c r="F104" s="2033"/>
      <c r="G104" s="2033"/>
      <c r="H104" s="2033"/>
      <c r="I104" s="2033"/>
      <c r="J104" s="2033"/>
      <c r="K104" s="2033"/>
      <c r="L104" s="2033"/>
      <c r="M104" s="2034"/>
      <c r="N104" s="378"/>
    </row>
    <row r="105" spans="1:14" s="532" customFormat="1" ht="30.75" customHeight="1" x14ac:dyDescent="0.25">
      <c r="A105" s="378"/>
      <c r="B105" s="2032"/>
      <c r="C105" s="2033"/>
      <c r="D105" s="2033"/>
      <c r="E105" s="2033"/>
      <c r="F105" s="2033"/>
      <c r="G105" s="2033"/>
      <c r="H105" s="2033"/>
      <c r="I105" s="2033"/>
      <c r="J105" s="2033"/>
      <c r="K105" s="2033"/>
      <c r="L105" s="2033"/>
      <c r="M105" s="2034"/>
      <c r="N105" s="378"/>
    </row>
    <row r="106" spans="1:14" s="532" customFormat="1" ht="30.75" customHeight="1" x14ac:dyDescent="0.25">
      <c r="A106" s="378"/>
      <c r="B106" s="2032"/>
      <c r="C106" s="2033"/>
      <c r="D106" s="2033"/>
      <c r="E106" s="2033"/>
      <c r="F106" s="2033"/>
      <c r="G106" s="2033"/>
      <c r="H106" s="2033"/>
      <c r="I106" s="2033"/>
      <c r="J106" s="2033"/>
      <c r="K106" s="2033"/>
      <c r="L106" s="2033"/>
      <c r="M106" s="2034"/>
      <c r="N106" s="378"/>
    </row>
    <row r="107" spans="1:14" s="532" customFormat="1" ht="27" customHeight="1" x14ac:dyDescent="0.25">
      <c r="A107" s="378"/>
      <c r="B107" s="2032"/>
      <c r="C107" s="2033"/>
      <c r="D107" s="2033"/>
      <c r="E107" s="2033"/>
      <c r="F107" s="2033"/>
      <c r="G107" s="2033"/>
      <c r="H107" s="2033"/>
      <c r="I107" s="2033"/>
      <c r="J107" s="2033"/>
      <c r="K107" s="2033"/>
      <c r="L107" s="2033"/>
      <c r="M107" s="2034"/>
      <c r="N107" s="378"/>
    </row>
    <row r="108" spans="1:14" s="532" customFormat="1" ht="24" customHeight="1" x14ac:dyDescent="0.25">
      <c r="A108" s="378"/>
      <c r="B108" s="2032"/>
      <c r="C108" s="2033"/>
      <c r="D108" s="2033"/>
      <c r="E108" s="2033"/>
      <c r="F108" s="2033"/>
      <c r="G108" s="2033"/>
      <c r="H108" s="2033"/>
      <c r="I108" s="2033"/>
      <c r="J108" s="2033"/>
      <c r="K108" s="2033"/>
      <c r="L108" s="2033"/>
      <c r="M108" s="2034"/>
      <c r="N108" s="378"/>
    </row>
    <row r="109" spans="1:14" s="532" customFormat="1" ht="17.25" customHeight="1" x14ac:dyDescent="0.25">
      <c r="A109" s="378"/>
      <c r="B109" s="2035"/>
      <c r="C109" s="2036"/>
      <c r="D109" s="2036"/>
      <c r="E109" s="2036"/>
      <c r="F109" s="2036"/>
      <c r="G109" s="2036"/>
      <c r="H109" s="2036"/>
      <c r="I109" s="2036"/>
      <c r="J109" s="2036"/>
      <c r="K109" s="2036"/>
      <c r="L109" s="2036"/>
      <c r="M109" s="2037"/>
      <c r="N109" s="378"/>
    </row>
    <row r="110" spans="1:14" s="532" customFormat="1" ht="17.25" customHeight="1" x14ac:dyDescent="0.25">
      <c r="A110" s="378"/>
      <c r="B110" s="1045"/>
      <c r="C110" s="1045"/>
      <c r="D110" s="1045"/>
      <c r="E110" s="1045"/>
      <c r="F110" s="1045"/>
      <c r="G110" s="1045"/>
      <c r="H110" s="1045"/>
      <c r="I110" s="1045"/>
      <c r="J110" s="1045"/>
      <c r="K110" s="1045"/>
      <c r="L110" s="1045"/>
      <c r="M110" s="1045"/>
      <c r="N110" s="378"/>
    </row>
    <row r="111" spans="1:14" s="532" customFormat="1" ht="17.25" customHeight="1" x14ac:dyDescent="0.25">
      <c r="A111" s="660">
        <v>2</v>
      </c>
      <c r="B111" s="2038" t="s">
        <v>276</v>
      </c>
      <c r="C111" s="2038"/>
      <c r="D111" s="2038"/>
      <c r="E111" s="2038"/>
      <c r="F111" s="2038"/>
      <c r="G111" s="2038"/>
      <c r="H111" s="2038"/>
      <c r="I111" s="2038"/>
      <c r="J111" s="2038"/>
      <c r="K111" s="2038"/>
      <c r="L111" s="2038"/>
      <c r="M111" s="2038"/>
      <c r="N111" s="378"/>
    </row>
    <row r="112" spans="1:14" s="532" customFormat="1" ht="17.25" customHeight="1" x14ac:dyDescent="0.25">
      <c r="A112" s="378"/>
      <c r="B112" s="2029" t="s">
        <v>725</v>
      </c>
      <c r="C112" s="2030"/>
      <c r="D112" s="2030"/>
      <c r="E112" s="2030"/>
      <c r="F112" s="2030"/>
      <c r="G112" s="2030"/>
      <c r="H112" s="2030"/>
      <c r="I112" s="2030"/>
      <c r="J112" s="2030"/>
      <c r="K112" s="2030"/>
      <c r="L112" s="2030"/>
      <c r="M112" s="2031"/>
      <c r="N112" s="378"/>
    </row>
    <row r="113" spans="1:14" s="532" customFormat="1" ht="17.25" customHeight="1" x14ac:dyDescent="0.25">
      <c r="A113" s="378"/>
      <c r="B113" s="2032"/>
      <c r="C113" s="2033"/>
      <c r="D113" s="2033"/>
      <c r="E113" s="2033"/>
      <c r="F113" s="2033"/>
      <c r="G113" s="2033"/>
      <c r="H113" s="2033"/>
      <c r="I113" s="2033"/>
      <c r="J113" s="2033"/>
      <c r="K113" s="2033"/>
      <c r="L113" s="2033"/>
      <c r="M113" s="2034"/>
      <c r="N113" s="378"/>
    </row>
    <row r="114" spans="1:14" s="532" customFormat="1" ht="17.25" customHeight="1" x14ac:dyDescent="0.25">
      <c r="A114" s="378"/>
      <c r="B114" s="2032"/>
      <c r="C114" s="2033"/>
      <c r="D114" s="2033"/>
      <c r="E114" s="2033"/>
      <c r="F114" s="2033"/>
      <c r="G114" s="2033"/>
      <c r="H114" s="2033"/>
      <c r="I114" s="2033"/>
      <c r="J114" s="2033"/>
      <c r="K114" s="2033"/>
      <c r="L114" s="2033"/>
      <c r="M114" s="2034"/>
      <c r="N114" s="378"/>
    </row>
    <row r="115" spans="1:14" s="532" customFormat="1" ht="17.25" customHeight="1" x14ac:dyDescent="0.25">
      <c r="A115" s="378"/>
      <c r="B115" s="2032"/>
      <c r="C115" s="2033"/>
      <c r="D115" s="2033"/>
      <c r="E115" s="2033"/>
      <c r="F115" s="2033"/>
      <c r="G115" s="2033"/>
      <c r="H115" s="2033"/>
      <c r="I115" s="2033"/>
      <c r="J115" s="2033"/>
      <c r="K115" s="2033"/>
      <c r="L115" s="2033"/>
      <c r="M115" s="2034"/>
      <c r="N115" s="378"/>
    </row>
    <row r="116" spans="1:14" s="532" customFormat="1" ht="17.25" customHeight="1" x14ac:dyDescent="0.25">
      <c r="A116" s="378"/>
      <c r="B116" s="2032"/>
      <c r="C116" s="2033"/>
      <c r="D116" s="2033"/>
      <c r="E116" s="2033"/>
      <c r="F116" s="2033"/>
      <c r="G116" s="2033"/>
      <c r="H116" s="2033"/>
      <c r="I116" s="2033"/>
      <c r="J116" s="2033"/>
      <c r="K116" s="2033"/>
      <c r="L116" s="2033"/>
      <c r="M116" s="2034"/>
      <c r="N116" s="378"/>
    </row>
    <row r="117" spans="1:14" s="532" customFormat="1" ht="17.25" customHeight="1" x14ac:dyDescent="0.25">
      <c r="A117" s="378"/>
      <c r="B117" s="2032"/>
      <c r="C117" s="2033"/>
      <c r="D117" s="2033"/>
      <c r="E117" s="2033"/>
      <c r="F117" s="2033"/>
      <c r="G117" s="2033"/>
      <c r="H117" s="2033"/>
      <c r="I117" s="2033"/>
      <c r="J117" s="2033"/>
      <c r="K117" s="2033"/>
      <c r="L117" s="2033"/>
      <c r="M117" s="2034"/>
      <c r="N117" s="378"/>
    </row>
    <row r="118" spans="1:14" s="532" customFormat="1" ht="17.25" customHeight="1" x14ac:dyDescent="0.25">
      <c r="A118" s="378"/>
      <c r="B118" s="2032"/>
      <c r="C118" s="2033"/>
      <c r="D118" s="2033"/>
      <c r="E118" s="2033"/>
      <c r="F118" s="2033"/>
      <c r="G118" s="2033"/>
      <c r="H118" s="2033"/>
      <c r="I118" s="2033"/>
      <c r="J118" s="2033"/>
      <c r="K118" s="2033"/>
      <c r="L118" s="2033"/>
      <c r="M118" s="2034"/>
      <c r="N118" s="378"/>
    </row>
    <row r="119" spans="1:14" s="532" customFormat="1" ht="17.25" customHeight="1" x14ac:dyDescent="0.25">
      <c r="A119" s="378"/>
      <c r="B119" s="2035"/>
      <c r="C119" s="2036"/>
      <c r="D119" s="2036"/>
      <c r="E119" s="2036"/>
      <c r="F119" s="2036"/>
      <c r="G119" s="2036"/>
      <c r="H119" s="2036"/>
      <c r="I119" s="2036"/>
      <c r="J119" s="2036"/>
      <c r="K119" s="2036"/>
      <c r="L119" s="2036"/>
      <c r="M119" s="2037"/>
      <c r="N119" s="378"/>
    </row>
    <row r="120" spans="1:14" s="532" customFormat="1" ht="17.25" customHeight="1" x14ac:dyDescent="0.25">
      <c r="A120" s="378"/>
      <c r="B120" s="519"/>
      <c r="C120" s="13"/>
      <c r="D120" s="519"/>
      <c r="E120" s="13"/>
      <c r="F120" s="13"/>
      <c r="G120" s="13"/>
      <c r="H120" s="13"/>
      <c r="I120" s="13"/>
      <c r="J120" s="13"/>
      <c r="K120" s="13"/>
      <c r="L120" s="13"/>
      <c r="M120" s="13"/>
      <c r="N120" s="378"/>
    </row>
    <row r="121" spans="1:14" s="532" customFormat="1" ht="17.25" customHeight="1" x14ac:dyDescent="0.25">
      <c r="A121" s="660">
        <v>3</v>
      </c>
      <c r="B121" s="2038" t="s">
        <v>286</v>
      </c>
      <c r="C121" s="2038"/>
      <c r="D121" s="2038"/>
      <c r="E121" s="2038"/>
      <c r="F121" s="2038"/>
      <c r="G121" s="2038"/>
      <c r="H121" s="2038"/>
      <c r="I121" s="2038"/>
      <c r="J121" s="2038"/>
      <c r="K121" s="2038"/>
      <c r="L121" s="2038"/>
      <c r="M121" s="2038"/>
      <c r="N121" s="378"/>
    </row>
    <row r="122" spans="1:14" s="532" customFormat="1" ht="17.25" customHeight="1" x14ac:dyDescent="0.25">
      <c r="A122" s="378"/>
      <c r="B122" s="519"/>
      <c r="C122" s="13"/>
      <c r="D122" s="519"/>
      <c r="E122" s="13"/>
      <c r="F122" s="13"/>
      <c r="G122" s="13"/>
      <c r="H122" s="13"/>
      <c r="I122" s="13"/>
      <c r="J122" s="13"/>
      <c r="K122" s="13"/>
      <c r="L122" s="13"/>
      <c r="M122" s="13"/>
      <c r="N122" s="378"/>
    </row>
    <row r="123" spans="1:14" s="532" customFormat="1" ht="17.25" customHeight="1" x14ac:dyDescent="0.25">
      <c r="A123" s="378"/>
      <c r="B123" s="2029" t="s">
        <v>726</v>
      </c>
      <c r="C123" s="2030"/>
      <c r="D123" s="2030"/>
      <c r="E123" s="2030"/>
      <c r="F123" s="2030"/>
      <c r="G123" s="2030"/>
      <c r="H123" s="2030"/>
      <c r="I123" s="2030"/>
      <c r="J123" s="2030"/>
      <c r="K123" s="2030"/>
      <c r="L123" s="2030"/>
      <c r="M123" s="2031"/>
      <c r="N123" s="378"/>
    </row>
    <row r="124" spans="1:14" s="532" customFormat="1" ht="19.5" customHeight="1" x14ac:dyDescent="0.25">
      <c r="A124" s="378"/>
      <c r="B124" s="2032"/>
      <c r="C124" s="2033"/>
      <c r="D124" s="2033"/>
      <c r="E124" s="2033"/>
      <c r="F124" s="2033"/>
      <c r="G124" s="2033"/>
      <c r="H124" s="2033"/>
      <c r="I124" s="2033"/>
      <c r="J124" s="2033"/>
      <c r="K124" s="2033"/>
      <c r="L124" s="2033"/>
      <c r="M124" s="2034"/>
      <c r="N124" s="378"/>
    </row>
    <row r="125" spans="1:14" s="532" customFormat="1" ht="19.5" customHeight="1" x14ac:dyDescent="0.25">
      <c r="A125" s="378"/>
      <c r="B125" s="2032"/>
      <c r="C125" s="2033"/>
      <c r="D125" s="2033"/>
      <c r="E125" s="2033"/>
      <c r="F125" s="2033"/>
      <c r="G125" s="2033"/>
      <c r="H125" s="2033"/>
      <c r="I125" s="2033"/>
      <c r="J125" s="2033"/>
      <c r="K125" s="2033"/>
      <c r="L125" s="2033"/>
      <c r="M125" s="2034"/>
      <c r="N125" s="378"/>
    </row>
    <row r="126" spans="1:14" s="532" customFormat="1" ht="15.75" customHeight="1" x14ac:dyDescent="0.25">
      <c r="A126" s="378"/>
      <c r="B126" s="2032"/>
      <c r="C126" s="2033"/>
      <c r="D126" s="2033"/>
      <c r="E126" s="2033"/>
      <c r="F126" s="2033"/>
      <c r="G126" s="2033"/>
      <c r="H126" s="2033"/>
      <c r="I126" s="2033"/>
      <c r="J126" s="2033"/>
      <c r="K126" s="2033"/>
      <c r="L126" s="2033"/>
      <c r="M126" s="2034"/>
      <c r="N126" s="378"/>
    </row>
    <row r="127" spans="1:14" s="532" customFormat="1" ht="18" customHeight="1" x14ac:dyDescent="0.25">
      <c r="A127" s="378"/>
      <c r="B127" s="2032"/>
      <c r="C127" s="2033"/>
      <c r="D127" s="2033"/>
      <c r="E127" s="2033"/>
      <c r="F127" s="2033"/>
      <c r="G127" s="2033"/>
      <c r="H127" s="2033"/>
      <c r="I127" s="2033"/>
      <c r="J127" s="2033"/>
      <c r="K127" s="2033"/>
      <c r="L127" s="2033"/>
      <c r="M127" s="2034"/>
      <c r="N127" s="378"/>
    </row>
    <row r="128" spans="1:14" s="532" customFormat="1" ht="18" customHeight="1" x14ac:dyDescent="0.25">
      <c r="A128" s="378"/>
      <c r="B128" s="2032"/>
      <c r="C128" s="2033"/>
      <c r="D128" s="2033"/>
      <c r="E128" s="2033"/>
      <c r="F128" s="2033"/>
      <c r="G128" s="2033"/>
      <c r="H128" s="2033"/>
      <c r="I128" s="2033"/>
      <c r="J128" s="2033"/>
      <c r="K128" s="2033"/>
      <c r="L128" s="2033"/>
      <c r="M128" s="2034"/>
      <c r="N128" s="378"/>
    </row>
    <row r="129" spans="1:14" s="532" customFormat="1" ht="17.25" customHeight="1" x14ac:dyDescent="0.25">
      <c r="A129" s="378"/>
      <c r="B129" s="2035"/>
      <c r="C129" s="2036"/>
      <c r="D129" s="2036"/>
      <c r="E129" s="2036"/>
      <c r="F129" s="2036"/>
      <c r="G129" s="2036"/>
      <c r="H129" s="2036"/>
      <c r="I129" s="2036"/>
      <c r="J129" s="2036"/>
      <c r="K129" s="2036"/>
      <c r="L129" s="2036"/>
      <c r="M129" s="2037"/>
      <c r="N129" s="378"/>
    </row>
    <row r="130" spans="1:14" s="532" customFormat="1" ht="17.25" customHeight="1" x14ac:dyDescent="0.25">
      <c r="A130" s="378"/>
      <c r="B130" s="519"/>
      <c r="C130" s="13"/>
      <c r="D130" s="519"/>
      <c r="E130" s="13"/>
      <c r="F130" s="13"/>
      <c r="G130" s="13"/>
      <c r="H130" s="13"/>
      <c r="I130" s="13"/>
      <c r="J130" s="13"/>
      <c r="K130" s="13"/>
      <c r="L130" s="13"/>
      <c r="M130" s="13"/>
      <c r="N130" s="378"/>
    </row>
    <row r="131" spans="1:14" s="532" customFormat="1" ht="17.25" customHeight="1" x14ac:dyDescent="0.25">
      <c r="A131" s="660">
        <v>4</v>
      </c>
      <c r="B131" s="2038" t="s">
        <v>299</v>
      </c>
      <c r="C131" s="2038"/>
      <c r="D131" s="2038"/>
      <c r="E131" s="2038"/>
      <c r="F131" s="2038"/>
      <c r="G131" s="2038"/>
      <c r="H131" s="2038"/>
      <c r="I131" s="2038"/>
      <c r="J131" s="2038"/>
      <c r="K131" s="2038"/>
      <c r="L131" s="2038"/>
      <c r="M131" s="2038"/>
      <c r="N131" s="378"/>
    </row>
    <row r="132" spans="1:14" s="532" customFormat="1" ht="17.25" customHeight="1" x14ac:dyDescent="0.25">
      <c r="A132" s="378"/>
      <c r="B132" s="519"/>
      <c r="C132" s="13"/>
      <c r="D132" s="519"/>
      <c r="E132" s="13"/>
      <c r="F132" s="13"/>
      <c r="G132" s="13"/>
      <c r="H132" s="13"/>
      <c r="I132" s="13"/>
      <c r="J132" s="13"/>
      <c r="K132" s="13"/>
      <c r="L132" s="13"/>
      <c r="M132" s="13"/>
      <c r="N132" s="378"/>
    </row>
    <row r="133" spans="1:14" s="532" customFormat="1" ht="17.25" customHeight="1" x14ac:dyDescent="0.25">
      <c r="A133" s="378"/>
      <c r="B133" s="2029" t="s">
        <v>727</v>
      </c>
      <c r="C133" s="2030"/>
      <c r="D133" s="2030"/>
      <c r="E133" s="2030"/>
      <c r="F133" s="2030"/>
      <c r="G133" s="2030"/>
      <c r="H133" s="2030"/>
      <c r="I133" s="2030"/>
      <c r="J133" s="2030"/>
      <c r="K133" s="2030"/>
      <c r="L133" s="2030"/>
      <c r="M133" s="2031"/>
      <c r="N133" s="378"/>
    </row>
    <row r="134" spans="1:14" s="532" customFormat="1" ht="17.25" customHeight="1" x14ac:dyDescent="0.25">
      <c r="A134" s="378"/>
      <c r="B134" s="2032"/>
      <c r="C134" s="2033"/>
      <c r="D134" s="2033"/>
      <c r="E134" s="2033"/>
      <c r="F134" s="2033"/>
      <c r="G134" s="2033"/>
      <c r="H134" s="2033"/>
      <c r="I134" s="2033"/>
      <c r="J134" s="2033"/>
      <c r="K134" s="2033"/>
      <c r="L134" s="2033"/>
      <c r="M134" s="2034"/>
      <c r="N134" s="378"/>
    </row>
    <row r="135" spans="1:14" s="532" customFormat="1" ht="17.25" customHeight="1" x14ac:dyDescent="0.25">
      <c r="A135" s="378"/>
      <c r="B135" s="2032"/>
      <c r="C135" s="2033"/>
      <c r="D135" s="2033"/>
      <c r="E135" s="2033"/>
      <c r="F135" s="2033"/>
      <c r="G135" s="2033"/>
      <c r="H135" s="2033"/>
      <c r="I135" s="2033"/>
      <c r="J135" s="2033"/>
      <c r="K135" s="2033"/>
      <c r="L135" s="2033"/>
      <c r="M135" s="2034"/>
      <c r="N135" s="378"/>
    </row>
    <row r="136" spans="1:14" s="532" customFormat="1" ht="12.75" customHeight="1" x14ac:dyDescent="0.25">
      <c r="A136" s="378"/>
      <c r="B136" s="2032"/>
      <c r="C136" s="2033"/>
      <c r="D136" s="2033"/>
      <c r="E136" s="2033"/>
      <c r="F136" s="2033"/>
      <c r="G136" s="2033"/>
      <c r="H136" s="2033"/>
      <c r="I136" s="2033"/>
      <c r="J136" s="2033"/>
      <c r="K136" s="2033"/>
      <c r="L136" s="2033"/>
      <c r="M136" s="2034"/>
      <c r="N136" s="378"/>
    </row>
    <row r="137" spans="1:14" s="532" customFormat="1" ht="17.25" customHeight="1" x14ac:dyDescent="0.25">
      <c r="A137" s="378"/>
      <c r="B137" s="2032"/>
      <c r="C137" s="2033"/>
      <c r="D137" s="2033"/>
      <c r="E137" s="2033"/>
      <c r="F137" s="2033"/>
      <c r="G137" s="2033"/>
      <c r="H137" s="2033"/>
      <c r="I137" s="2033"/>
      <c r="J137" s="2033"/>
      <c r="K137" s="2033"/>
      <c r="L137" s="2033"/>
      <c r="M137" s="2034"/>
      <c r="N137" s="378"/>
    </row>
    <row r="138" spans="1:14" s="532" customFormat="1" ht="17.25" customHeight="1" x14ac:dyDescent="0.25">
      <c r="A138" s="378"/>
      <c r="B138" s="2035"/>
      <c r="C138" s="2036"/>
      <c r="D138" s="2036"/>
      <c r="E138" s="2036"/>
      <c r="F138" s="2036"/>
      <c r="G138" s="2036"/>
      <c r="H138" s="2036"/>
      <c r="I138" s="2036"/>
      <c r="J138" s="2036"/>
      <c r="K138" s="2036"/>
      <c r="L138" s="2036"/>
      <c r="M138" s="2037"/>
      <c r="N138" s="378"/>
    </row>
    <row r="139" spans="1:14" s="532" customFormat="1" ht="9" customHeight="1" x14ac:dyDescent="0.25">
      <c r="A139" s="378"/>
      <c r="B139" s="519"/>
      <c r="C139" s="13"/>
      <c r="D139" s="519"/>
      <c r="E139" s="13"/>
      <c r="F139" s="13"/>
      <c r="G139" s="13"/>
      <c r="H139" s="13"/>
      <c r="I139" s="13"/>
      <c r="J139" s="13"/>
      <c r="K139" s="13"/>
      <c r="L139" s="13"/>
      <c r="M139" s="13"/>
      <c r="N139" s="378"/>
    </row>
    <row r="140" spans="1:14" s="532" customFormat="1" ht="17.25" customHeight="1" x14ac:dyDescent="0.25">
      <c r="A140" s="660">
        <v>5</v>
      </c>
      <c r="B140" s="2038" t="s">
        <v>309</v>
      </c>
      <c r="C140" s="2038"/>
      <c r="D140" s="2038"/>
      <c r="E140" s="2038"/>
      <c r="F140" s="2038"/>
      <c r="G140" s="2038"/>
      <c r="H140" s="2038"/>
      <c r="I140" s="2038"/>
      <c r="J140" s="2038"/>
      <c r="K140" s="2038"/>
      <c r="L140" s="2038"/>
      <c r="M140" s="2038"/>
      <c r="N140" s="378"/>
    </row>
    <row r="141" spans="1:14" s="532" customFormat="1" ht="6" customHeight="1" x14ac:dyDescent="0.25">
      <c r="A141" s="378"/>
      <c r="B141" s="519"/>
      <c r="C141" s="13"/>
      <c r="D141" s="519"/>
      <c r="E141" s="13"/>
      <c r="F141" s="13"/>
      <c r="G141" s="13"/>
      <c r="H141" s="13"/>
      <c r="I141" s="13"/>
      <c r="J141" s="13"/>
      <c r="K141" s="13"/>
      <c r="L141" s="13"/>
      <c r="M141" s="13"/>
      <c r="N141" s="378"/>
    </row>
    <row r="142" spans="1:14" s="532" customFormat="1" ht="17.25" customHeight="1" x14ac:dyDescent="0.25">
      <c r="A142" s="378"/>
      <c r="B142" s="2029" t="s">
        <v>728</v>
      </c>
      <c r="C142" s="2030"/>
      <c r="D142" s="2030"/>
      <c r="E142" s="2030"/>
      <c r="F142" s="2030"/>
      <c r="G142" s="2030"/>
      <c r="H142" s="2030"/>
      <c r="I142" s="2030"/>
      <c r="J142" s="2030"/>
      <c r="K142" s="2030"/>
      <c r="L142" s="2030"/>
      <c r="M142" s="2031"/>
      <c r="N142" s="378"/>
    </row>
    <row r="143" spans="1:14" s="532" customFormat="1" ht="17.25" customHeight="1" x14ac:dyDescent="0.25">
      <c r="A143" s="378"/>
      <c r="B143" s="2032"/>
      <c r="C143" s="2033"/>
      <c r="D143" s="2033"/>
      <c r="E143" s="2033"/>
      <c r="F143" s="2033"/>
      <c r="G143" s="2033"/>
      <c r="H143" s="2033"/>
      <c r="I143" s="2033"/>
      <c r="J143" s="2033"/>
      <c r="K143" s="2033"/>
      <c r="L143" s="2033"/>
      <c r="M143" s="2034"/>
      <c r="N143" s="378"/>
    </row>
    <row r="144" spans="1:14" s="532" customFormat="1" ht="17.25" customHeight="1" x14ac:dyDescent="0.25">
      <c r="A144" s="378"/>
      <c r="B144" s="2032"/>
      <c r="C144" s="2033"/>
      <c r="D144" s="2033"/>
      <c r="E144" s="2033"/>
      <c r="F144" s="2033"/>
      <c r="G144" s="2033"/>
      <c r="H144" s="2033"/>
      <c r="I144" s="2033"/>
      <c r="J144" s="2033"/>
      <c r="K144" s="2033"/>
      <c r="L144" s="2033"/>
      <c r="M144" s="2034"/>
      <c r="N144" s="378"/>
    </row>
    <row r="145" spans="1:14" s="532" customFormat="1" ht="17.25" customHeight="1" x14ac:dyDescent="0.25">
      <c r="A145" s="378"/>
      <c r="B145" s="2032"/>
      <c r="C145" s="2033"/>
      <c r="D145" s="2033"/>
      <c r="E145" s="2033"/>
      <c r="F145" s="2033"/>
      <c r="G145" s="2033"/>
      <c r="H145" s="2033"/>
      <c r="I145" s="2033"/>
      <c r="J145" s="2033"/>
      <c r="K145" s="2033"/>
      <c r="L145" s="2033"/>
      <c r="M145" s="2034"/>
      <c r="N145" s="378"/>
    </row>
    <row r="146" spans="1:14" s="532" customFormat="1" ht="17.25" customHeight="1" x14ac:dyDescent="0.25">
      <c r="A146" s="378"/>
      <c r="B146" s="2032"/>
      <c r="C146" s="2033"/>
      <c r="D146" s="2033"/>
      <c r="E146" s="2033"/>
      <c r="F146" s="2033"/>
      <c r="G146" s="2033"/>
      <c r="H146" s="2033"/>
      <c r="I146" s="2033"/>
      <c r="J146" s="2033"/>
      <c r="K146" s="2033"/>
      <c r="L146" s="2033"/>
      <c r="M146" s="2034"/>
      <c r="N146" s="378"/>
    </row>
    <row r="147" spans="1:14" s="532" customFormat="1" ht="17.25" customHeight="1" x14ac:dyDescent="0.25">
      <c r="A147" s="378"/>
      <c r="B147" s="2032"/>
      <c r="C147" s="2033"/>
      <c r="D147" s="2033"/>
      <c r="E147" s="2033"/>
      <c r="F147" s="2033"/>
      <c r="G147" s="2033"/>
      <c r="H147" s="2033"/>
      <c r="I147" s="2033"/>
      <c r="J147" s="2033"/>
      <c r="K147" s="2033"/>
      <c r="L147" s="2033"/>
      <c r="M147" s="2034"/>
      <c r="N147" s="378"/>
    </row>
    <row r="148" spans="1:14" s="532" customFormat="1" ht="17.25" customHeight="1" x14ac:dyDescent="0.25">
      <c r="A148" s="378"/>
      <c r="B148" s="2032"/>
      <c r="C148" s="2033"/>
      <c r="D148" s="2033"/>
      <c r="E148" s="2033"/>
      <c r="F148" s="2033"/>
      <c r="G148" s="2033"/>
      <c r="H148" s="2033"/>
      <c r="I148" s="2033"/>
      <c r="J148" s="2033"/>
      <c r="K148" s="2033"/>
      <c r="L148" s="2033"/>
      <c r="M148" s="2034"/>
      <c r="N148" s="378"/>
    </row>
    <row r="149" spans="1:14" s="532" customFormat="1" ht="17.25" customHeight="1" x14ac:dyDescent="0.25">
      <c r="A149" s="378"/>
      <c r="B149" s="2032"/>
      <c r="C149" s="2033"/>
      <c r="D149" s="2033"/>
      <c r="E149" s="2033"/>
      <c r="F149" s="2033"/>
      <c r="G149" s="2033"/>
      <c r="H149" s="2033"/>
      <c r="I149" s="2033"/>
      <c r="J149" s="2033"/>
      <c r="K149" s="2033"/>
      <c r="L149" s="2033"/>
      <c r="M149" s="2034"/>
      <c r="N149" s="378"/>
    </row>
    <row r="150" spans="1:14" s="532" customFormat="1" ht="21.75" customHeight="1" x14ac:dyDescent="0.25">
      <c r="A150" s="378"/>
      <c r="B150" s="2032"/>
      <c r="C150" s="2033"/>
      <c r="D150" s="2033"/>
      <c r="E150" s="2033"/>
      <c r="F150" s="2033"/>
      <c r="G150" s="2033"/>
      <c r="H150" s="2033"/>
      <c r="I150" s="2033"/>
      <c r="J150" s="2033"/>
      <c r="K150" s="2033"/>
      <c r="L150" s="2033"/>
      <c r="M150" s="2034"/>
      <c r="N150" s="378"/>
    </row>
    <row r="151" spans="1:14" s="532" customFormat="1" ht="20.25" customHeight="1" x14ac:dyDescent="0.25">
      <c r="A151" s="378"/>
      <c r="B151" s="2032"/>
      <c r="C151" s="2033"/>
      <c r="D151" s="2033"/>
      <c r="E151" s="2033"/>
      <c r="F151" s="2033"/>
      <c r="G151" s="2033"/>
      <c r="H151" s="2033"/>
      <c r="I151" s="2033"/>
      <c r="J151" s="2033"/>
      <c r="K151" s="2033"/>
      <c r="L151" s="2033"/>
      <c r="M151" s="2034"/>
      <c r="N151" s="378"/>
    </row>
    <row r="152" spans="1:14" s="532" customFormat="1" ht="17.25" customHeight="1" x14ac:dyDescent="0.25">
      <c r="A152" s="378"/>
      <c r="B152" s="2032"/>
      <c r="C152" s="2033"/>
      <c r="D152" s="2033"/>
      <c r="E152" s="2033"/>
      <c r="F152" s="2033"/>
      <c r="G152" s="2033"/>
      <c r="H152" s="2033"/>
      <c r="I152" s="2033"/>
      <c r="J152" s="2033"/>
      <c r="K152" s="2033"/>
      <c r="L152" s="2033"/>
      <c r="M152" s="2034"/>
      <c r="N152" s="378"/>
    </row>
    <row r="153" spans="1:14" s="532" customFormat="1" ht="17.25" customHeight="1" x14ac:dyDescent="0.25">
      <c r="A153" s="378"/>
      <c r="B153" s="2032"/>
      <c r="C153" s="2033"/>
      <c r="D153" s="2033"/>
      <c r="E153" s="2033"/>
      <c r="F153" s="2033"/>
      <c r="G153" s="2033"/>
      <c r="H153" s="2033"/>
      <c r="I153" s="2033"/>
      <c r="J153" s="2033"/>
      <c r="K153" s="2033"/>
      <c r="L153" s="2033"/>
      <c r="M153" s="2034"/>
      <c r="N153" s="378"/>
    </row>
    <row r="154" spans="1:14" s="532" customFormat="1" ht="17.25" customHeight="1" x14ac:dyDescent="0.25">
      <c r="A154" s="378"/>
      <c r="B154" s="2032"/>
      <c r="C154" s="2033"/>
      <c r="D154" s="2033"/>
      <c r="E154" s="2033"/>
      <c r="F154" s="2033"/>
      <c r="G154" s="2033"/>
      <c r="H154" s="2033"/>
      <c r="I154" s="2033"/>
      <c r="J154" s="2033"/>
      <c r="K154" s="2033"/>
      <c r="L154" s="2033"/>
      <c r="M154" s="2034"/>
      <c r="N154" s="378"/>
    </row>
    <row r="155" spans="1:14" s="532" customFormat="1" ht="17.25" customHeight="1" x14ac:dyDescent="0.25">
      <c r="A155" s="378"/>
      <c r="B155" s="2032"/>
      <c r="C155" s="2033"/>
      <c r="D155" s="2033"/>
      <c r="E155" s="2033"/>
      <c r="F155" s="2033"/>
      <c r="G155" s="2033"/>
      <c r="H155" s="2033"/>
      <c r="I155" s="2033"/>
      <c r="J155" s="2033"/>
      <c r="K155" s="2033"/>
      <c r="L155" s="2033"/>
      <c r="M155" s="2034"/>
      <c r="N155" s="378"/>
    </row>
    <row r="156" spans="1:14" s="532" customFormat="1" ht="17.25" customHeight="1" x14ac:dyDescent="0.25">
      <c r="A156" s="378"/>
      <c r="B156" s="2032"/>
      <c r="C156" s="2033"/>
      <c r="D156" s="2033"/>
      <c r="E156" s="2033"/>
      <c r="F156" s="2033"/>
      <c r="G156" s="2033"/>
      <c r="H156" s="2033"/>
      <c r="I156" s="2033"/>
      <c r="J156" s="2033"/>
      <c r="K156" s="2033"/>
      <c r="L156" s="2033"/>
      <c r="M156" s="2034"/>
      <c r="N156" s="378"/>
    </row>
    <row r="157" spans="1:14" s="532" customFormat="1" ht="17.25" customHeight="1" x14ac:dyDescent="0.25">
      <c r="A157" s="378"/>
      <c r="B157" s="2032"/>
      <c r="C157" s="2033"/>
      <c r="D157" s="2033"/>
      <c r="E157" s="2033"/>
      <c r="F157" s="2033"/>
      <c r="G157" s="2033"/>
      <c r="H157" s="2033"/>
      <c r="I157" s="2033"/>
      <c r="J157" s="2033"/>
      <c r="K157" s="2033"/>
      <c r="L157" s="2033"/>
      <c r="M157" s="2034"/>
      <c r="N157" s="378"/>
    </row>
    <row r="158" spans="1:14" s="532" customFormat="1" ht="17.25" customHeight="1" x14ac:dyDescent="0.25">
      <c r="A158" s="378"/>
      <c r="B158" s="2035"/>
      <c r="C158" s="2036"/>
      <c r="D158" s="2036"/>
      <c r="E158" s="2036"/>
      <c r="F158" s="2036"/>
      <c r="G158" s="2036"/>
      <c r="H158" s="2036"/>
      <c r="I158" s="2036"/>
      <c r="J158" s="2036"/>
      <c r="K158" s="2036"/>
      <c r="L158" s="2036"/>
      <c r="M158" s="2037"/>
      <c r="N158" s="378"/>
    </row>
    <row r="159" spans="1:14" s="532" customFormat="1" ht="7.5" customHeight="1" x14ac:dyDescent="0.25">
      <c r="A159" s="378"/>
      <c r="B159" s="519"/>
      <c r="C159" s="13"/>
      <c r="D159" s="519"/>
      <c r="E159" s="13"/>
      <c r="F159" s="13"/>
      <c r="G159" s="13"/>
      <c r="H159" s="13"/>
      <c r="I159" s="13"/>
      <c r="J159" s="13"/>
      <c r="K159" s="13"/>
      <c r="L159" s="13"/>
      <c r="M159" s="13"/>
      <c r="N159" s="378"/>
    </row>
    <row r="160" spans="1:14" s="532" customFormat="1" ht="17.25" customHeight="1" x14ac:dyDescent="0.25">
      <c r="A160" s="660">
        <v>6</v>
      </c>
      <c r="B160" s="2038" t="s">
        <v>335</v>
      </c>
      <c r="C160" s="2038"/>
      <c r="D160" s="2038"/>
      <c r="E160" s="2038"/>
      <c r="F160" s="2038"/>
      <c r="G160" s="2038"/>
      <c r="H160" s="2038"/>
      <c r="I160" s="2038"/>
      <c r="J160" s="2038"/>
      <c r="K160" s="2038"/>
      <c r="L160" s="2038"/>
      <c r="M160" s="2038"/>
      <c r="N160" s="378"/>
    </row>
    <row r="161" spans="1:14" s="532" customFormat="1" ht="8.25" customHeight="1" x14ac:dyDescent="0.25">
      <c r="A161" s="378"/>
      <c r="B161" s="519"/>
      <c r="C161" s="13"/>
      <c r="D161" s="519"/>
      <c r="E161" s="13"/>
      <c r="F161" s="13"/>
      <c r="G161" s="13"/>
      <c r="H161" s="13"/>
      <c r="I161" s="13"/>
      <c r="J161" s="13"/>
      <c r="K161" s="13"/>
      <c r="L161" s="13"/>
      <c r="M161" s="13"/>
      <c r="N161" s="378"/>
    </row>
    <row r="162" spans="1:14" s="532" customFormat="1" ht="17.25" customHeight="1" x14ac:dyDescent="0.25">
      <c r="A162" s="378"/>
      <c r="B162" s="2039" t="s">
        <v>729</v>
      </c>
      <c r="C162" s="2039"/>
      <c r="D162" s="2039"/>
      <c r="E162" s="2039"/>
      <c r="F162" s="2039"/>
      <c r="G162" s="2039"/>
      <c r="H162" s="2039"/>
      <c r="I162" s="2039"/>
      <c r="J162" s="2039"/>
      <c r="K162" s="2039"/>
      <c r="L162" s="2039"/>
      <c r="M162" s="2039"/>
      <c r="N162" s="378"/>
    </row>
    <row r="163" spans="1:14" s="532" customFormat="1" ht="17.25" customHeight="1" x14ac:dyDescent="0.25">
      <c r="A163" s="378"/>
      <c r="B163" s="2039"/>
      <c r="C163" s="2039"/>
      <c r="D163" s="2039"/>
      <c r="E163" s="2039"/>
      <c r="F163" s="2039"/>
      <c r="G163" s="2039"/>
      <c r="H163" s="2039"/>
      <c r="I163" s="2039"/>
      <c r="J163" s="2039"/>
      <c r="K163" s="2039"/>
      <c r="L163" s="2039"/>
      <c r="M163" s="2039"/>
      <c r="N163" s="378"/>
    </row>
    <row r="164" spans="1:14" s="532" customFormat="1" ht="15" customHeight="1" x14ac:dyDescent="0.25">
      <c r="A164" s="378"/>
      <c r="B164" s="2039"/>
      <c r="C164" s="2039"/>
      <c r="D164" s="2039"/>
      <c r="E164" s="2039"/>
      <c r="F164" s="2039"/>
      <c r="G164" s="2039"/>
      <c r="H164" s="2039"/>
      <c r="I164" s="2039"/>
      <c r="J164" s="2039"/>
      <c r="K164" s="2039"/>
      <c r="L164" s="2039"/>
      <c r="M164" s="2039"/>
      <c r="N164" s="378"/>
    </row>
    <row r="165" spans="1:14" s="532" customFormat="1" ht="17.25" customHeight="1" x14ac:dyDescent="0.25">
      <c r="A165" s="378"/>
      <c r="B165" s="2039"/>
      <c r="C165" s="2039"/>
      <c r="D165" s="2039"/>
      <c r="E165" s="2039"/>
      <c r="F165" s="2039"/>
      <c r="G165" s="2039"/>
      <c r="H165" s="2039"/>
      <c r="I165" s="2039"/>
      <c r="J165" s="2039"/>
      <c r="K165" s="2039"/>
      <c r="L165" s="2039"/>
      <c r="M165" s="2039"/>
      <c r="N165" s="378"/>
    </row>
    <row r="166" spans="1:14" s="532" customFormat="1" ht="17.25" customHeight="1" x14ac:dyDescent="0.25">
      <c r="A166" s="378"/>
      <c r="B166" s="2039"/>
      <c r="C166" s="2039"/>
      <c r="D166" s="2039"/>
      <c r="E166" s="2039"/>
      <c r="F166" s="2039"/>
      <c r="G166" s="2039"/>
      <c r="H166" s="2039"/>
      <c r="I166" s="2039"/>
      <c r="J166" s="2039"/>
      <c r="K166" s="2039"/>
      <c r="L166" s="2039"/>
      <c r="M166" s="2039"/>
      <c r="N166" s="378"/>
    </row>
    <row r="167" spans="1:14" s="532" customFormat="1" ht="15" customHeight="1" x14ac:dyDescent="0.25">
      <c r="A167" s="378"/>
      <c r="B167" s="2039"/>
      <c r="C167" s="2039"/>
      <c r="D167" s="2039"/>
      <c r="E167" s="2039"/>
      <c r="F167" s="2039"/>
      <c r="G167" s="2039"/>
      <c r="H167" s="2039"/>
      <c r="I167" s="2039"/>
      <c r="J167" s="2039"/>
      <c r="K167" s="2039"/>
      <c r="L167" s="2039"/>
      <c r="M167" s="2039"/>
      <c r="N167" s="378"/>
    </row>
    <row r="168" spans="1:14" s="532" customFormat="1" ht="17.25" customHeight="1" x14ac:dyDescent="0.25">
      <c r="A168" s="378"/>
      <c r="B168" s="2039"/>
      <c r="C168" s="2039"/>
      <c r="D168" s="2039"/>
      <c r="E168" s="2039"/>
      <c r="F168" s="2039"/>
      <c r="G168" s="2039"/>
      <c r="H168" s="2039"/>
      <c r="I168" s="2039"/>
      <c r="J168" s="2039"/>
      <c r="K168" s="2039"/>
      <c r="L168" s="2039"/>
      <c r="M168" s="2039"/>
      <c r="N168" s="378"/>
    </row>
    <row r="169" spans="1:14" s="532" customFormat="1" ht="17.25" customHeight="1" x14ac:dyDescent="0.25">
      <c r="A169" s="378"/>
      <c r="B169" s="2039"/>
      <c r="C169" s="2039"/>
      <c r="D169" s="2039"/>
      <c r="E169" s="2039"/>
      <c r="F169" s="2039"/>
      <c r="G169" s="2039"/>
      <c r="H169" s="2039"/>
      <c r="I169" s="2039"/>
      <c r="J169" s="2039"/>
      <c r="K169" s="2039"/>
      <c r="L169" s="2039"/>
      <c r="M169" s="2039"/>
      <c r="N169" s="378"/>
    </row>
    <row r="170" spans="1:14" s="532" customFormat="1" ht="17.25" customHeight="1" x14ac:dyDescent="0.25">
      <c r="A170" s="378"/>
      <c r="B170" s="519"/>
      <c r="C170" s="13"/>
      <c r="D170" s="519"/>
      <c r="E170" s="13"/>
      <c r="F170" s="13"/>
      <c r="G170" s="13"/>
      <c r="H170" s="13"/>
      <c r="I170" s="13"/>
      <c r="J170" s="13"/>
      <c r="K170" s="13"/>
      <c r="L170" s="13"/>
      <c r="M170" s="13"/>
      <c r="N170" s="378"/>
    </row>
    <row r="171" spans="1:14" s="532" customFormat="1" ht="17.25" customHeight="1" x14ac:dyDescent="0.25">
      <c r="A171" s="660">
        <v>7</v>
      </c>
      <c r="B171" s="2038" t="s">
        <v>353</v>
      </c>
      <c r="C171" s="2038"/>
      <c r="D171" s="2038"/>
      <c r="E171" s="2038"/>
      <c r="F171" s="2038"/>
      <c r="G171" s="2038"/>
      <c r="H171" s="2038"/>
      <c r="I171" s="2038"/>
      <c r="J171" s="2038"/>
      <c r="K171" s="2038"/>
      <c r="L171" s="2038"/>
      <c r="M171" s="2038"/>
      <c r="N171" s="378"/>
    </row>
    <row r="172" spans="1:14" s="532" customFormat="1" ht="17.25" customHeight="1" x14ac:dyDescent="0.25">
      <c r="A172" s="378"/>
      <c r="B172" s="519"/>
      <c r="C172" s="13"/>
      <c r="D172" s="519"/>
      <c r="E172" s="13"/>
      <c r="F172" s="13"/>
      <c r="G172" s="13"/>
      <c r="H172" s="13"/>
      <c r="I172" s="13"/>
      <c r="J172" s="13"/>
      <c r="K172" s="13"/>
      <c r="L172" s="13"/>
      <c r="M172" s="13"/>
      <c r="N172" s="378"/>
    </row>
    <row r="173" spans="1:14" s="532" customFormat="1" ht="17.25" customHeight="1" x14ac:dyDescent="0.25">
      <c r="A173" s="378"/>
      <c r="B173" s="2029" t="s">
        <v>730</v>
      </c>
      <c r="C173" s="2030"/>
      <c r="D173" s="2030"/>
      <c r="E173" s="2030"/>
      <c r="F173" s="2030"/>
      <c r="G173" s="2030"/>
      <c r="H173" s="2030"/>
      <c r="I173" s="2030"/>
      <c r="J173" s="2030"/>
      <c r="K173" s="2030"/>
      <c r="L173" s="2030"/>
      <c r="M173" s="2031"/>
      <c r="N173" s="378"/>
    </row>
    <row r="174" spans="1:14" s="532" customFormat="1" ht="17.25" customHeight="1" x14ac:dyDescent="0.25">
      <c r="A174" s="378"/>
      <c r="B174" s="2032"/>
      <c r="C174" s="2033"/>
      <c r="D174" s="2033"/>
      <c r="E174" s="2033"/>
      <c r="F174" s="2033"/>
      <c r="G174" s="2033"/>
      <c r="H174" s="2033"/>
      <c r="I174" s="2033"/>
      <c r="J174" s="2033"/>
      <c r="K174" s="2033"/>
      <c r="L174" s="2033"/>
      <c r="M174" s="2034"/>
      <c r="N174" s="378"/>
    </row>
    <row r="175" spans="1:14" s="532" customFormat="1" ht="17.25" customHeight="1" x14ac:dyDescent="0.25">
      <c r="A175" s="378"/>
      <c r="B175" s="2032"/>
      <c r="C175" s="2033"/>
      <c r="D175" s="2033"/>
      <c r="E175" s="2033"/>
      <c r="F175" s="2033"/>
      <c r="G175" s="2033"/>
      <c r="H175" s="2033"/>
      <c r="I175" s="2033"/>
      <c r="J175" s="2033"/>
      <c r="K175" s="2033"/>
      <c r="L175" s="2033"/>
      <c r="M175" s="2034"/>
      <c r="N175" s="378"/>
    </row>
    <row r="176" spans="1:14" s="532" customFormat="1" ht="17.25" customHeight="1" x14ac:dyDescent="0.25">
      <c r="A176" s="378"/>
      <c r="B176" s="2032"/>
      <c r="C176" s="2033"/>
      <c r="D176" s="2033"/>
      <c r="E176" s="2033"/>
      <c r="F176" s="2033"/>
      <c r="G176" s="2033"/>
      <c r="H176" s="2033"/>
      <c r="I176" s="2033"/>
      <c r="J176" s="2033"/>
      <c r="K176" s="2033"/>
      <c r="L176" s="2033"/>
      <c r="M176" s="2034"/>
      <c r="N176" s="378"/>
    </row>
    <row r="177" spans="1:14" s="532" customFormat="1" ht="17.25" customHeight="1" x14ac:dyDescent="0.25">
      <c r="A177" s="378"/>
      <c r="B177" s="2032"/>
      <c r="C177" s="2033"/>
      <c r="D177" s="2033"/>
      <c r="E177" s="2033"/>
      <c r="F177" s="2033"/>
      <c r="G177" s="2033"/>
      <c r="H177" s="2033"/>
      <c r="I177" s="2033"/>
      <c r="J177" s="2033"/>
      <c r="K177" s="2033"/>
      <c r="L177" s="2033"/>
      <c r="M177" s="2034"/>
      <c r="N177" s="378"/>
    </row>
    <row r="178" spans="1:14" s="532" customFormat="1" ht="17.25" customHeight="1" x14ac:dyDescent="0.25">
      <c r="A178" s="378"/>
      <c r="B178" s="2032"/>
      <c r="C178" s="2033"/>
      <c r="D178" s="2033"/>
      <c r="E178" s="2033"/>
      <c r="F178" s="2033"/>
      <c r="G178" s="2033"/>
      <c r="H178" s="2033"/>
      <c r="I178" s="2033"/>
      <c r="J178" s="2033"/>
      <c r="K178" s="2033"/>
      <c r="L178" s="2033"/>
      <c r="M178" s="2034"/>
      <c r="N178" s="378"/>
    </row>
    <row r="179" spans="1:14" s="532" customFormat="1" ht="17.25" customHeight="1" x14ac:dyDescent="0.25">
      <c r="A179" s="378"/>
      <c r="B179" s="2035"/>
      <c r="C179" s="2036"/>
      <c r="D179" s="2036"/>
      <c r="E179" s="2036"/>
      <c r="F179" s="2036"/>
      <c r="G179" s="2036"/>
      <c r="H179" s="2036"/>
      <c r="I179" s="2036"/>
      <c r="J179" s="2036"/>
      <c r="K179" s="2036"/>
      <c r="L179" s="2036"/>
      <c r="M179" s="2037"/>
      <c r="N179" s="378"/>
    </row>
    <row r="180" spans="1:14" s="532" customFormat="1" ht="17.25" customHeight="1" x14ac:dyDescent="0.25">
      <c r="A180" s="378"/>
      <c r="B180" s="519"/>
      <c r="C180" s="13"/>
      <c r="D180" s="519"/>
      <c r="E180" s="13"/>
      <c r="F180" s="13"/>
      <c r="G180" s="13"/>
      <c r="H180" s="13"/>
      <c r="I180" s="13"/>
      <c r="J180" s="13"/>
      <c r="K180" s="13"/>
      <c r="L180" s="13"/>
      <c r="M180" s="13"/>
      <c r="N180" s="378"/>
    </row>
    <row r="181" spans="1:14" s="532" customFormat="1" ht="17.25" customHeight="1" x14ac:dyDescent="0.25">
      <c r="A181" s="660">
        <v>8</v>
      </c>
      <c r="B181" s="2038" t="s">
        <v>369</v>
      </c>
      <c r="C181" s="2038"/>
      <c r="D181" s="2038"/>
      <c r="E181" s="2038"/>
      <c r="F181" s="2038"/>
      <c r="G181" s="2038"/>
      <c r="H181" s="2038"/>
      <c r="I181" s="2038"/>
      <c r="J181" s="2038"/>
      <c r="K181" s="2038"/>
      <c r="L181" s="2038"/>
      <c r="M181" s="2038"/>
      <c r="N181" s="378"/>
    </row>
    <row r="182" spans="1:14" s="532" customFormat="1" ht="17.25" customHeight="1" x14ac:dyDescent="0.25">
      <c r="A182" s="378"/>
      <c r="B182" s="519"/>
      <c r="C182" s="13"/>
      <c r="D182" s="519"/>
      <c r="E182" s="13"/>
      <c r="F182" s="13"/>
      <c r="G182" s="13"/>
      <c r="H182" s="13"/>
      <c r="I182" s="13"/>
      <c r="J182" s="13"/>
      <c r="K182" s="13"/>
      <c r="L182" s="13"/>
      <c r="M182" s="13"/>
      <c r="N182" s="378"/>
    </row>
    <row r="183" spans="1:14" s="532" customFormat="1" ht="17.25" customHeight="1" x14ac:dyDescent="0.25">
      <c r="A183" s="378"/>
      <c r="B183" s="2029" t="s">
        <v>731</v>
      </c>
      <c r="C183" s="2030"/>
      <c r="D183" s="2030"/>
      <c r="E183" s="2030"/>
      <c r="F183" s="2030"/>
      <c r="G183" s="2030"/>
      <c r="H183" s="2030"/>
      <c r="I183" s="2030"/>
      <c r="J183" s="2030"/>
      <c r="K183" s="2030"/>
      <c r="L183" s="2030"/>
      <c r="M183" s="2031"/>
      <c r="N183" s="378"/>
    </row>
    <row r="184" spans="1:14" s="532" customFormat="1" ht="17.25" customHeight="1" x14ac:dyDescent="0.25">
      <c r="A184" s="378"/>
      <c r="B184" s="2032"/>
      <c r="C184" s="2033"/>
      <c r="D184" s="2033"/>
      <c r="E184" s="2033"/>
      <c r="F184" s="2033"/>
      <c r="G184" s="2033"/>
      <c r="H184" s="2033"/>
      <c r="I184" s="2033"/>
      <c r="J184" s="2033"/>
      <c r="K184" s="2033"/>
      <c r="L184" s="2033"/>
      <c r="M184" s="2034"/>
      <c r="N184" s="378"/>
    </row>
    <row r="185" spans="1:14" s="532" customFormat="1" ht="17.25" customHeight="1" x14ac:dyDescent="0.25">
      <c r="A185" s="378"/>
      <c r="B185" s="2032"/>
      <c r="C185" s="2033"/>
      <c r="D185" s="2033"/>
      <c r="E185" s="2033"/>
      <c r="F185" s="2033"/>
      <c r="G185" s="2033"/>
      <c r="H185" s="2033"/>
      <c r="I185" s="2033"/>
      <c r="J185" s="2033"/>
      <c r="K185" s="2033"/>
      <c r="L185" s="2033"/>
      <c r="M185" s="2034"/>
      <c r="N185" s="378"/>
    </row>
    <row r="186" spans="1:14" s="532" customFormat="1" ht="17.25" customHeight="1" x14ac:dyDescent="0.25">
      <c r="A186" s="378"/>
      <c r="B186" s="2032"/>
      <c r="C186" s="2033"/>
      <c r="D186" s="2033"/>
      <c r="E186" s="2033"/>
      <c r="F186" s="2033"/>
      <c r="G186" s="2033"/>
      <c r="H186" s="2033"/>
      <c r="I186" s="2033"/>
      <c r="J186" s="2033"/>
      <c r="K186" s="2033"/>
      <c r="L186" s="2033"/>
      <c r="M186" s="2034"/>
      <c r="N186" s="378"/>
    </row>
    <row r="187" spans="1:14" s="532" customFormat="1" ht="17.25" customHeight="1" x14ac:dyDescent="0.25">
      <c r="A187" s="378"/>
      <c r="B187" s="2032"/>
      <c r="C187" s="2033"/>
      <c r="D187" s="2033"/>
      <c r="E187" s="2033"/>
      <c r="F187" s="2033"/>
      <c r="G187" s="2033"/>
      <c r="H187" s="2033"/>
      <c r="I187" s="2033"/>
      <c r="J187" s="2033"/>
      <c r="K187" s="2033"/>
      <c r="L187" s="2033"/>
      <c r="M187" s="2034"/>
      <c r="N187" s="378"/>
    </row>
    <row r="188" spans="1:14" s="532" customFormat="1" ht="17.25" customHeight="1" x14ac:dyDescent="0.25">
      <c r="A188" s="378"/>
      <c r="B188" s="2032"/>
      <c r="C188" s="2033"/>
      <c r="D188" s="2033"/>
      <c r="E188" s="2033"/>
      <c r="F188" s="2033"/>
      <c r="G188" s="2033"/>
      <c r="H188" s="2033"/>
      <c r="I188" s="2033"/>
      <c r="J188" s="2033"/>
      <c r="K188" s="2033"/>
      <c r="L188" s="2033"/>
      <c r="M188" s="2034"/>
      <c r="N188" s="378"/>
    </row>
    <row r="189" spans="1:14" s="532" customFormat="1" ht="17.25" customHeight="1" x14ac:dyDescent="0.25">
      <c r="A189" s="378"/>
      <c r="B189" s="2032"/>
      <c r="C189" s="2033"/>
      <c r="D189" s="2033"/>
      <c r="E189" s="2033"/>
      <c r="F189" s="2033"/>
      <c r="G189" s="2033"/>
      <c r="H189" s="2033"/>
      <c r="I189" s="2033"/>
      <c r="J189" s="2033"/>
      <c r="K189" s="2033"/>
      <c r="L189" s="2033"/>
      <c r="M189" s="2034"/>
      <c r="N189" s="378"/>
    </row>
    <row r="190" spans="1:14" s="532" customFormat="1" ht="17.25" customHeight="1" x14ac:dyDescent="0.25">
      <c r="A190" s="378"/>
      <c r="B190" s="2032"/>
      <c r="C190" s="2033"/>
      <c r="D190" s="2033"/>
      <c r="E190" s="2033"/>
      <c r="F190" s="2033"/>
      <c r="G190" s="2033"/>
      <c r="H190" s="2033"/>
      <c r="I190" s="2033"/>
      <c r="J190" s="2033"/>
      <c r="K190" s="2033"/>
      <c r="L190" s="2033"/>
      <c r="M190" s="2034"/>
      <c r="N190" s="378"/>
    </row>
    <row r="191" spans="1:14" s="532" customFormat="1" ht="17.25" customHeight="1" x14ac:dyDescent="0.25">
      <c r="A191" s="378"/>
      <c r="B191" s="2032"/>
      <c r="C191" s="2033"/>
      <c r="D191" s="2033"/>
      <c r="E191" s="2033"/>
      <c r="F191" s="2033"/>
      <c r="G191" s="2033"/>
      <c r="H191" s="2033"/>
      <c r="I191" s="2033"/>
      <c r="J191" s="2033"/>
      <c r="K191" s="2033"/>
      <c r="L191" s="2033"/>
      <c r="M191" s="2034"/>
      <c r="N191" s="378"/>
    </row>
    <row r="192" spans="1:14" s="532" customFormat="1" ht="17.25" customHeight="1" x14ac:dyDescent="0.25">
      <c r="A192" s="378"/>
      <c r="B192" s="2032"/>
      <c r="C192" s="2033"/>
      <c r="D192" s="2033"/>
      <c r="E192" s="2033"/>
      <c r="F192" s="2033"/>
      <c r="G192" s="2033"/>
      <c r="H192" s="2033"/>
      <c r="I192" s="2033"/>
      <c r="J192" s="2033"/>
      <c r="K192" s="2033"/>
      <c r="L192" s="2033"/>
      <c r="M192" s="2034"/>
      <c r="N192" s="378"/>
    </row>
    <row r="193" spans="1:14" s="532" customFormat="1" ht="17.25" customHeight="1" x14ac:dyDescent="0.25">
      <c r="A193" s="378"/>
      <c r="B193" s="2032"/>
      <c r="C193" s="2033"/>
      <c r="D193" s="2033"/>
      <c r="E193" s="2033"/>
      <c r="F193" s="2033"/>
      <c r="G193" s="2033"/>
      <c r="H193" s="2033"/>
      <c r="I193" s="2033"/>
      <c r="J193" s="2033"/>
      <c r="K193" s="2033"/>
      <c r="L193" s="2033"/>
      <c r="M193" s="2034"/>
      <c r="N193" s="378"/>
    </row>
    <row r="194" spans="1:14" s="532" customFormat="1" ht="17.25" customHeight="1" x14ac:dyDescent="0.25">
      <c r="A194" s="378"/>
      <c r="B194" s="2032"/>
      <c r="C194" s="2033"/>
      <c r="D194" s="2033"/>
      <c r="E194" s="2033"/>
      <c r="F194" s="2033"/>
      <c r="G194" s="2033"/>
      <c r="H194" s="2033"/>
      <c r="I194" s="2033"/>
      <c r="J194" s="2033"/>
      <c r="K194" s="2033"/>
      <c r="L194" s="2033"/>
      <c r="M194" s="2034"/>
      <c r="N194" s="378"/>
    </row>
    <row r="195" spans="1:14" s="532" customFormat="1" ht="17.25" customHeight="1" x14ac:dyDescent="0.25">
      <c r="A195" s="378"/>
      <c r="B195" s="2032"/>
      <c r="C195" s="2033"/>
      <c r="D195" s="2033"/>
      <c r="E195" s="2033"/>
      <c r="F195" s="2033"/>
      <c r="G195" s="2033"/>
      <c r="H195" s="2033"/>
      <c r="I195" s="2033"/>
      <c r="J195" s="2033"/>
      <c r="K195" s="2033"/>
      <c r="L195" s="2033"/>
      <c r="M195" s="2034"/>
      <c r="N195" s="378"/>
    </row>
    <row r="196" spans="1:14" s="532" customFormat="1" ht="17.25" customHeight="1" x14ac:dyDescent="0.25">
      <c r="A196" s="378"/>
      <c r="B196" s="2032"/>
      <c r="C196" s="2033"/>
      <c r="D196" s="2033"/>
      <c r="E196" s="2033"/>
      <c r="F196" s="2033"/>
      <c r="G196" s="2033"/>
      <c r="H196" s="2033"/>
      <c r="I196" s="2033"/>
      <c r="J196" s="2033"/>
      <c r="K196" s="2033"/>
      <c r="L196" s="2033"/>
      <c r="M196" s="2034"/>
      <c r="N196" s="378"/>
    </row>
    <row r="197" spans="1:14" s="532" customFormat="1" ht="17.25" customHeight="1" x14ac:dyDescent="0.25">
      <c r="A197" s="378"/>
      <c r="B197" s="2035"/>
      <c r="C197" s="2036"/>
      <c r="D197" s="2036"/>
      <c r="E197" s="2036"/>
      <c r="F197" s="2036"/>
      <c r="G197" s="2036"/>
      <c r="H197" s="2036"/>
      <c r="I197" s="2036"/>
      <c r="J197" s="2036"/>
      <c r="K197" s="2036"/>
      <c r="L197" s="2036"/>
      <c r="M197" s="2037"/>
      <c r="N197" s="378"/>
    </row>
    <row r="198" spans="1:14" s="532" customFormat="1" ht="17.25" customHeight="1" x14ac:dyDescent="0.25">
      <c r="A198" s="378"/>
      <c r="B198" s="519"/>
      <c r="C198" s="13"/>
      <c r="D198" s="519"/>
      <c r="E198" s="13"/>
      <c r="F198" s="13"/>
      <c r="G198" s="13"/>
      <c r="H198" s="13"/>
      <c r="I198" s="13"/>
      <c r="J198" s="13"/>
      <c r="K198" s="13"/>
      <c r="L198" s="13"/>
      <c r="M198" s="13"/>
      <c r="N198" s="378"/>
    </row>
    <row r="199" spans="1:14" s="532" customFormat="1" ht="17.25" customHeight="1" x14ac:dyDescent="0.25">
      <c r="A199" s="660">
        <v>9</v>
      </c>
      <c r="B199" s="2018" t="s">
        <v>732</v>
      </c>
      <c r="C199" s="2018"/>
      <c r="D199" s="2018"/>
      <c r="E199" s="2018"/>
      <c r="F199" s="2018"/>
      <c r="G199" s="2018"/>
      <c r="H199" s="2018"/>
      <c r="I199" s="2018"/>
      <c r="J199" s="2018"/>
      <c r="K199" s="2018"/>
      <c r="L199" s="2018"/>
      <c r="M199" s="2018"/>
      <c r="N199" s="378"/>
    </row>
    <row r="200" spans="1:14" s="532" customFormat="1" ht="17.25" customHeight="1" x14ac:dyDescent="0.25">
      <c r="A200" s="378"/>
      <c r="B200" s="519"/>
      <c r="C200" s="13"/>
      <c r="D200" s="519"/>
      <c r="E200" s="13"/>
      <c r="F200" s="13"/>
      <c r="G200" s="13"/>
      <c r="H200" s="13"/>
      <c r="I200" s="13"/>
      <c r="J200" s="13"/>
      <c r="K200" s="13"/>
      <c r="L200" s="13"/>
      <c r="M200" s="13"/>
      <c r="N200" s="378"/>
    </row>
    <row r="201" spans="1:14" s="532" customFormat="1" ht="17.25" customHeight="1" x14ac:dyDescent="0.25">
      <c r="A201" s="378"/>
      <c r="B201" s="2029" t="s">
        <v>733</v>
      </c>
      <c r="C201" s="2030"/>
      <c r="D201" s="2030"/>
      <c r="E201" s="2030"/>
      <c r="F201" s="2030"/>
      <c r="G201" s="2030"/>
      <c r="H201" s="2030"/>
      <c r="I201" s="2030"/>
      <c r="J201" s="2030"/>
      <c r="K201" s="2030"/>
      <c r="L201" s="2030"/>
      <c r="M201" s="2031"/>
      <c r="N201" s="378"/>
    </row>
    <row r="202" spans="1:14" s="532" customFormat="1" ht="17.25" customHeight="1" x14ac:dyDescent="0.25">
      <c r="A202" s="378"/>
      <c r="B202" s="2032"/>
      <c r="C202" s="2033"/>
      <c r="D202" s="2033"/>
      <c r="E202" s="2033"/>
      <c r="F202" s="2033"/>
      <c r="G202" s="2033"/>
      <c r="H202" s="2033"/>
      <c r="I202" s="2033"/>
      <c r="J202" s="2033"/>
      <c r="K202" s="2033"/>
      <c r="L202" s="2033"/>
      <c r="M202" s="2034"/>
      <c r="N202" s="378"/>
    </row>
    <row r="203" spans="1:14" s="532" customFormat="1" ht="17.25" customHeight="1" x14ac:dyDescent="0.25">
      <c r="A203" s="378"/>
      <c r="B203" s="2032"/>
      <c r="C203" s="2033"/>
      <c r="D203" s="2033"/>
      <c r="E203" s="2033"/>
      <c r="F203" s="2033"/>
      <c r="G203" s="2033"/>
      <c r="H203" s="2033"/>
      <c r="I203" s="2033"/>
      <c r="J203" s="2033"/>
      <c r="K203" s="2033"/>
      <c r="L203" s="2033"/>
      <c r="M203" s="2034"/>
      <c r="N203" s="378"/>
    </row>
    <row r="204" spans="1:14" s="532" customFormat="1" ht="17.25" customHeight="1" x14ac:dyDescent="0.25">
      <c r="A204" s="378"/>
      <c r="B204" s="2032"/>
      <c r="C204" s="2033"/>
      <c r="D204" s="2033"/>
      <c r="E204" s="2033"/>
      <c r="F204" s="2033"/>
      <c r="G204" s="2033"/>
      <c r="H204" s="2033"/>
      <c r="I204" s="2033"/>
      <c r="J204" s="2033"/>
      <c r="K204" s="2033"/>
      <c r="L204" s="2033"/>
      <c r="M204" s="2034"/>
      <c r="N204" s="378"/>
    </row>
    <row r="205" spans="1:14" s="532" customFormat="1" ht="17.25" customHeight="1" x14ac:dyDescent="0.25">
      <c r="A205" s="378"/>
      <c r="B205" s="2032"/>
      <c r="C205" s="2033"/>
      <c r="D205" s="2033"/>
      <c r="E205" s="2033"/>
      <c r="F205" s="2033"/>
      <c r="G205" s="2033"/>
      <c r="H205" s="2033"/>
      <c r="I205" s="2033"/>
      <c r="J205" s="2033"/>
      <c r="K205" s="2033"/>
      <c r="L205" s="2033"/>
      <c r="M205" s="2034"/>
      <c r="N205" s="378"/>
    </row>
    <row r="206" spans="1:14" s="532" customFormat="1" ht="17.25" customHeight="1" x14ac:dyDescent="0.25">
      <c r="A206" s="378"/>
      <c r="B206" s="2032"/>
      <c r="C206" s="2033"/>
      <c r="D206" s="2033"/>
      <c r="E206" s="2033"/>
      <c r="F206" s="2033"/>
      <c r="G206" s="2033"/>
      <c r="H206" s="2033"/>
      <c r="I206" s="2033"/>
      <c r="J206" s="2033"/>
      <c r="K206" s="2033"/>
      <c r="L206" s="2033"/>
      <c r="M206" s="2034"/>
      <c r="N206" s="378"/>
    </row>
    <row r="207" spans="1:14" s="532" customFormat="1" ht="17.25" customHeight="1" x14ac:dyDescent="0.25">
      <c r="A207" s="378"/>
      <c r="B207" s="2032"/>
      <c r="C207" s="2033"/>
      <c r="D207" s="2033"/>
      <c r="E207" s="2033"/>
      <c r="F207" s="2033"/>
      <c r="G207" s="2033"/>
      <c r="H207" s="2033"/>
      <c r="I207" s="2033"/>
      <c r="J207" s="2033"/>
      <c r="K207" s="2033"/>
      <c r="L207" s="2033"/>
      <c r="M207" s="2034"/>
      <c r="N207" s="378"/>
    </row>
    <row r="208" spans="1:14" s="532" customFormat="1" ht="17.25" customHeight="1" x14ac:dyDescent="0.25">
      <c r="A208" s="378"/>
      <c r="B208" s="2032"/>
      <c r="C208" s="2033"/>
      <c r="D208" s="2033"/>
      <c r="E208" s="2033"/>
      <c r="F208" s="2033"/>
      <c r="G208" s="2033"/>
      <c r="H208" s="2033"/>
      <c r="I208" s="2033"/>
      <c r="J208" s="2033"/>
      <c r="K208" s="2033"/>
      <c r="L208" s="2033"/>
      <c r="M208" s="2034"/>
      <c r="N208" s="378"/>
    </row>
    <row r="209" spans="1:14" s="532" customFormat="1" ht="17.25" customHeight="1" x14ac:dyDescent="0.25">
      <c r="A209" s="378"/>
      <c r="B209" s="2032"/>
      <c r="C209" s="2033"/>
      <c r="D209" s="2033"/>
      <c r="E209" s="2033"/>
      <c r="F209" s="2033"/>
      <c r="G209" s="2033"/>
      <c r="H209" s="2033"/>
      <c r="I209" s="2033"/>
      <c r="J209" s="2033"/>
      <c r="K209" s="2033"/>
      <c r="L209" s="2033"/>
      <c r="M209" s="2034"/>
      <c r="N209" s="378"/>
    </row>
    <row r="210" spans="1:14" s="532" customFormat="1" ht="17.25" customHeight="1" x14ac:dyDescent="0.25">
      <c r="A210" s="378"/>
      <c r="B210" s="2032"/>
      <c r="C210" s="2033"/>
      <c r="D210" s="2033"/>
      <c r="E210" s="2033"/>
      <c r="F210" s="2033"/>
      <c r="G210" s="2033"/>
      <c r="H210" s="2033"/>
      <c r="I210" s="2033"/>
      <c r="J210" s="2033"/>
      <c r="K210" s="2033"/>
      <c r="L210" s="2033"/>
      <c r="M210" s="2034"/>
      <c r="N210" s="378"/>
    </row>
    <row r="211" spans="1:14" s="532" customFormat="1" ht="17.25" customHeight="1" x14ac:dyDescent="0.25">
      <c r="A211" s="378"/>
      <c r="B211" s="2032"/>
      <c r="C211" s="2033"/>
      <c r="D211" s="2033"/>
      <c r="E211" s="2033"/>
      <c r="F211" s="2033"/>
      <c r="G211" s="2033"/>
      <c r="H211" s="2033"/>
      <c r="I211" s="2033"/>
      <c r="J211" s="2033"/>
      <c r="K211" s="2033"/>
      <c r="L211" s="2033"/>
      <c r="M211" s="2034"/>
      <c r="N211" s="378"/>
    </row>
    <row r="212" spans="1:14" s="532" customFormat="1" ht="17.25" customHeight="1" x14ac:dyDescent="0.25">
      <c r="A212" s="378"/>
      <c r="B212" s="2035"/>
      <c r="C212" s="2036"/>
      <c r="D212" s="2036"/>
      <c r="E212" s="2036"/>
      <c r="F212" s="2036"/>
      <c r="G212" s="2036"/>
      <c r="H212" s="2036"/>
      <c r="I212" s="2036"/>
      <c r="J212" s="2036"/>
      <c r="K212" s="2036"/>
      <c r="L212" s="2036"/>
      <c r="M212" s="2037"/>
      <c r="N212" s="378"/>
    </row>
    <row r="213" spans="1:14" s="532" customFormat="1" ht="23.25" customHeight="1" x14ac:dyDescent="0.25">
      <c r="A213" s="378"/>
      <c r="B213" s="519"/>
      <c r="C213" s="13"/>
      <c r="D213" s="519"/>
      <c r="E213" s="13"/>
      <c r="F213" s="13"/>
      <c r="G213" s="13"/>
      <c r="H213" s="13"/>
      <c r="I213" s="13"/>
      <c r="J213" s="13"/>
      <c r="K213" s="13"/>
      <c r="L213" s="13"/>
      <c r="M213" s="13"/>
      <c r="N213" s="378"/>
    </row>
    <row r="214" spans="1:14" s="532" customFormat="1" ht="23.25" customHeight="1" x14ac:dyDescent="0.25">
      <c r="A214" s="378"/>
      <c r="B214" s="519"/>
      <c r="C214" s="13"/>
      <c r="D214" s="519"/>
      <c r="E214" s="13"/>
      <c r="F214" s="13"/>
      <c r="G214" s="13"/>
      <c r="H214" s="13"/>
      <c r="I214" s="13"/>
      <c r="J214" s="13"/>
      <c r="K214" s="13"/>
      <c r="L214" s="13"/>
      <c r="M214" s="13"/>
      <c r="N214" s="378"/>
    </row>
    <row r="215" spans="1:14" s="532" customFormat="1" ht="23.25" customHeight="1" x14ac:dyDescent="0.25">
      <c r="A215" s="378"/>
      <c r="B215" s="519"/>
      <c r="C215" s="13"/>
      <c r="D215" s="519"/>
      <c r="E215" s="13"/>
      <c r="F215" s="13"/>
      <c r="G215" s="13"/>
      <c r="H215" s="13"/>
      <c r="I215" s="13"/>
      <c r="J215" s="13"/>
      <c r="K215" s="13"/>
      <c r="L215" s="13"/>
      <c r="M215" s="13"/>
      <c r="N215" s="378"/>
    </row>
    <row r="216" spans="1:14" s="532" customFormat="1" ht="23.25" customHeight="1" x14ac:dyDescent="0.25">
      <c r="A216" s="378"/>
      <c r="B216" s="519"/>
      <c r="C216" s="13"/>
      <c r="D216" s="519"/>
      <c r="E216" s="13"/>
      <c r="F216" s="13"/>
      <c r="G216" s="13"/>
      <c r="H216" s="13"/>
      <c r="I216" s="13"/>
      <c r="J216" s="13"/>
      <c r="K216" s="13"/>
      <c r="L216" s="13"/>
      <c r="M216" s="13"/>
      <c r="N216" s="378"/>
    </row>
    <row r="217" spans="1:14" s="532" customFormat="1" ht="23.25" customHeight="1" x14ac:dyDescent="0.25">
      <c r="A217" s="378"/>
      <c r="B217" s="519"/>
      <c r="C217" s="13"/>
      <c r="D217" s="519"/>
      <c r="E217" s="13"/>
      <c r="F217" s="13"/>
      <c r="G217" s="13"/>
      <c r="H217" s="13"/>
      <c r="I217" s="13"/>
      <c r="J217" s="13"/>
      <c r="K217" s="13"/>
      <c r="L217" s="13"/>
      <c r="M217" s="13"/>
      <c r="N217" s="378"/>
    </row>
    <row r="218" spans="1:14" s="532" customFormat="1" ht="23.25" customHeight="1" x14ac:dyDescent="0.25">
      <c r="A218" s="378"/>
      <c r="B218" s="519"/>
      <c r="C218" s="13"/>
      <c r="D218" s="519"/>
      <c r="E218" s="13"/>
      <c r="F218" s="13"/>
      <c r="G218" s="13"/>
      <c r="H218" s="13"/>
      <c r="I218" s="13"/>
      <c r="J218" s="13"/>
      <c r="K218" s="13"/>
      <c r="L218" s="13"/>
      <c r="M218" s="13"/>
      <c r="N218" s="378"/>
    </row>
    <row r="219" spans="1:14" s="532" customFormat="1" ht="18.75" customHeight="1" x14ac:dyDescent="0.25">
      <c r="A219" s="378"/>
      <c r="B219" s="519"/>
      <c r="C219" s="13"/>
      <c r="D219" s="519"/>
      <c r="E219" s="13"/>
      <c r="F219" s="13"/>
      <c r="G219" s="13"/>
      <c r="H219" s="13"/>
      <c r="I219" s="13"/>
      <c r="J219" s="13"/>
      <c r="K219" s="13"/>
      <c r="L219" s="13"/>
      <c r="M219" s="13"/>
      <c r="N219" s="378"/>
    </row>
    <row r="220" spans="1:14" s="532" customFormat="1" ht="28.5" customHeight="1" x14ac:dyDescent="0.25">
      <c r="A220" s="378"/>
      <c r="B220" s="519"/>
      <c r="C220" s="13"/>
      <c r="D220" s="519"/>
      <c r="E220" s="13"/>
      <c r="F220" s="13"/>
      <c r="G220" s="13"/>
      <c r="H220" s="13"/>
      <c r="I220" s="13"/>
      <c r="J220" s="13"/>
      <c r="K220" s="13"/>
      <c r="L220" s="13"/>
      <c r="M220" s="13"/>
      <c r="N220" s="378"/>
    </row>
    <row r="221" spans="1:14" s="532" customFormat="1" ht="28.5" customHeight="1" x14ac:dyDescent="0.25">
      <c r="A221" s="378"/>
      <c r="B221" s="519"/>
      <c r="C221" s="13"/>
      <c r="D221" s="519"/>
      <c r="E221" s="13"/>
      <c r="F221" s="13"/>
      <c r="G221" s="13"/>
      <c r="H221" s="13"/>
      <c r="I221" s="13"/>
      <c r="J221" s="13"/>
      <c r="K221" s="13"/>
      <c r="L221" s="13"/>
      <c r="M221" s="13"/>
      <c r="N221" s="378"/>
    </row>
    <row r="222" spans="1:14" s="532" customFormat="1" ht="28.5" customHeight="1" x14ac:dyDescent="0.25">
      <c r="A222" s="378"/>
      <c r="B222" s="519"/>
      <c r="C222" s="13"/>
      <c r="D222" s="519"/>
      <c r="E222" s="13"/>
      <c r="F222" s="13"/>
      <c r="G222" s="13"/>
      <c r="H222" s="13"/>
      <c r="I222" s="13"/>
      <c r="J222" s="13"/>
      <c r="K222" s="13"/>
      <c r="L222" s="13"/>
      <c r="M222" s="13"/>
      <c r="N222" s="378"/>
    </row>
    <row r="223" spans="1:14" s="532" customFormat="1" ht="21.75" customHeight="1" x14ac:dyDescent="0.25">
      <c r="A223" s="660">
        <v>10</v>
      </c>
      <c r="B223" s="2018" t="s">
        <v>734</v>
      </c>
      <c r="C223" s="2018"/>
      <c r="D223" s="2018"/>
      <c r="E223" s="2018"/>
      <c r="F223" s="2018"/>
      <c r="G223" s="2018"/>
      <c r="H223" s="2018"/>
      <c r="I223" s="2018"/>
      <c r="J223" s="2018"/>
      <c r="K223" s="2018"/>
      <c r="L223" s="2018"/>
      <c r="M223" s="2018"/>
      <c r="N223" s="378"/>
    </row>
    <row r="224" spans="1:14" s="532" customFormat="1" ht="9.75" customHeight="1" x14ac:dyDescent="0.25">
      <c r="A224" s="378"/>
      <c r="B224" s="519"/>
      <c r="C224" s="13"/>
      <c r="D224" s="519"/>
      <c r="E224" s="13"/>
      <c r="F224" s="13"/>
      <c r="G224" s="13"/>
      <c r="H224" s="13"/>
      <c r="I224" s="13"/>
      <c r="J224" s="13"/>
      <c r="K224" s="13"/>
      <c r="L224" s="13"/>
      <c r="M224" s="13"/>
      <c r="N224" s="378"/>
    </row>
    <row r="225" spans="1:14" s="532" customFormat="1" ht="22.5" customHeight="1" x14ac:dyDescent="0.25">
      <c r="A225" s="378"/>
      <c r="B225" s="2029" t="s">
        <v>735</v>
      </c>
      <c r="C225" s="2030"/>
      <c r="D225" s="2030"/>
      <c r="E225" s="2030"/>
      <c r="F225" s="2030"/>
      <c r="G225" s="2030"/>
      <c r="H225" s="2030"/>
      <c r="I225" s="2030"/>
      <c r="J225" s="2030"/>
      <c r="K225" s="2030"/>
      <c r="L225" s="2030"/>
      <c r="M225" s="2031"/>
      <c r="N225" s="378"/>
    </row>
    <row r="226" spans="1:14" s="532" customFormat="1" ht="17.25" customHeight="1" x14ac:dyDescent="0.25">
      <c r="A226" s="378"/>
      <c r="B226" s="2032"/>
      <c r="C226" s="2033"/>
      <c r="D226" s="2033"/>
      <c r="E226" s="2033"/>
      <c r="F226" s="2033"/>
      <c r="G226" s="2033"/>
      <c r="H226" s="2033"/>
      <c r="I226" s="2033"/>
      <c r="J226" s="2033"/>
      <c r="K226" s="2033"/>
      <c r="L226" s="2033"/>
      <c r="M226" s="2034"/>
      <c r="N226" s="378"/>
    </row>
    <row r="227" spans="1:14" s="532" customFormat="1" ht="17.25" customHeight="1" x14ac:dyDescent="0.25">
      <c r="A227" s="378"/>
      <c r="B227" s="2032"/>
      <c r="C227" s="2033"/>
      <c r="D227" s="2033"/>
      <c r="E227" s="2033"/>
      <c r="F227" s="2033"/>
      <c r="G227" s="2033"/>
      <c r="H227" s="2033"/>
      <c r="I227" s="2033"/>
      <c r="J227" s="2033"/>
      <c r="K227" s="2033"/>
      <c r="L227" s="2033"/>
      <c r="M227" s="2034"/>
      <c r="N227" s="378"/>
    </row>
    <row r="228" spans="1:14" s="532" customFormat="1" ht="17.25" customHeight="1" x14ac:dyDescent="0.25">
      <c r="A228" s="378"/>
      <c r="B228" s="2032"/>
      <c r="C228" s="2033"/>
      <c r="D228" s="2033"/>
      <c r="E228" s="2033"/>
      <c r="F228" s="2033"/>
      <c r="G228" s="2033"/>
      <c r="H228" s="2033"/>
      <c r="I228" s="2033"/>
      <c r="J228" s="2033"/>
      <c r="K228" s="2033"/>
      <c r="L228" s="2033"/>
      <c r="M228" s="2034"/>
      <c r="N228" s="378"/>
    </row>
    <row r="229" spans="1:14" s="532" customFormat="1" ht="17.25" customHeight="1" x14ac:dyDescent="0.25">
      <c r="A229" s="378"/>
      <c r="B229" s="2032"/>
      <c r="C229" s="2033"/>
      <c r="D229" s="2033"/>
      <c r="E229" s="2033"/>
      <c r="F229" s="2033"/>
      <c r="G229" s="2033"/>
      <c r="H229" s="2033"/>
      <c r="I229" s="2033"/>
      <c r="J229" s="2033"/>
      <c r="K229" s="2033"/>
      <c r="L229" s="2033"/>
      <c r="M229" s="2034"/>
      <c r="N229" s="378"/>
    </row>
    <row r="230" spans="1:14" s="532" customFormat="1" ht="29.25" customHeight="1" x14ac:dyDescent="0.25">
      <c r="A230" s="378"/>
      <c r="B230" s="2032"/>
      <c r="C230" s="2033"/>
      <c r="D230" s="2033"/>
      <c r="E230" s="2033"/>
      <c r="F230" s="2033"/>
      <c r="G230" s="2033"/>
      <c r="H230" s="2033"/>
      <c r="I230" s="2033"/>
      <c r="J230" s="2033"/>
      <c r="K230" s="2033"/>
      <c r="L230" s="2033"/>
      <c r="M230" s="2034"/>
      <c r="N230" s="378"/>
    </row>
    <row r="231" spans="1:14" s="532" customFormat="1" ht="21.75" customHeight="1" x14ac:dyDescent="0.25">
      <c r="A231" s="378"/>
      <c r="B231" s="2032"/>
      <c r="C231" s="2033"/>
      <c r="D231" s="2033"/>
      <c r="E231" s="2033"/>
      <c r="F231" s="2033"/>
      <c r="G231" s="2033"/>
      <c r="H231" s="2033"/>
      <c r="I231" s="2033"/>
      <c r="J231" s="2033"/>
      <c r="K231" s="2033"/>
      <c r="L231" s="2033"/>
      <c r="M231" s="2034"/>
      <c r="N231" s="378"/>
    </row>
    <row r="232" spans="1:14" s="532" customFormat="1" ht="17.25" customHeight="1" x14ac:dyDescent="0.25">
      <c r="A232" s="378"/>
      <c r="B232" s="2032"/>
      <c r="C232" s="2033"/>
      <c r="D232" s="2033"/>
      <c r="E232" s="2033"/>
      <c r="F232" s="2033"/>
      <c r="G232" s="2033"/>
      <c r="H232" s="2033"/>
      <c r="I232" s="2033"/>
      <c r="J232" s="2033"/>
      <c r="K232" s="2033"/>
      <c r="L232" s="2033"/>
      <c r="M232" s="2034"/>
      <c r="N232" s="378"/>
    </row>
    <row r="233" spans="1:14" s="532" customFormat="1" ht="26.25" customHeight="1" x14ac:dyDescent="0.25">
      <c r="A233" s="378"/>
      <c r="B233" s="2032"/>
      <c r="C233" s="2033"/>
      <c r="D233" s="2033"/>
      <c r="E233" s="2033"/>
      <c r="F233" s="2033"/>
      <c r="G233" s="2033"/>
      <c r="H233" s="2033"/>
      <c r="I233" s="2033"/>
      <c r="J233" s="2033"/>
      <c r="K233" s="2033"/>
      <c r="L233" s="2033"/>
      <c r="M233" s="2034"/>
      <c r="N233" s="378"/>
    </row>
    <row r="234" spans="1:14" s="532" customFormat="1" ht="17.25" customHeight="1" x14ac:dyDescent="0.25">
      <c r="A234" s="378"/>
      <c r="B234" s="2032"/>
      <c r="C234" s="2033"/>
      <c r="D234" s="2033"/>
      <c r="E234" s="2033"/>
      <c r="F234" s="2033"/>
      <c r="G234" s="2033"/>
      <c r="H234" s="2033"/>
      <c r="I234" s="2033"/>
      <c r="J234" s="2033"/>
      <c r="K234" s="2033"/>
      <c r="L234" s="2033"/>
      <c r="M234" s="2034"/>
      <c r="N234" s="378"/>
    </row>
    <row r="235" spans="1:14" s="532" customFormat="1" ht="17.25" customHeight="1" x14ac:dyDescent="0.25">
      <c r="A235" s="378"/>
      <c r="B235" s="2032"/>
      <c r="C235" s="2033"/>
      <c r="D235" s="2033"/>
      <c r="E235" s="2033"/>
      <c r="F235" s="2033"/>
      <c r="G235" s="2033"/>
      <c r="H235" s="2033"/>
      <c r="I235" s="2033"/>
      <c r="J235" s="2033"/>
      <c r="K235" s="2033"/>
      <c r="L235" s="2033"/>
      <c r="M235" s="2034"/>
      <c r="N235" s="378"/>
    </row>
    <row r="236" spans="1:14" s="532" customFormat="1" ht="17.25" customHeight="1" x14ac:dyDescent="0.25">
      <c r="A236" s="378"/>
      <c r="B236" s="2032"/>
      <c r="C236" s="2033"/>
      <c r="D236" s="2033"/>
      <c r="E236" s="2033"/>
      <c r="F236" s="2033"/>
      <c r="G236" s="2033"/>
      <c r="H236" s="2033"/>
      <c r="I236" s="2033"/>
      <c r="J236" s="2033"/>
      <c r="K236" s="2033"/>
      <c r="L236" s="2033"/>
      <c r="M236" s="2034"/>
      <c r="N236" s="378"/>
    </row>
    <row r="237" spans="1:14" s="532" customFormat="1" ht="17.25" customHeight="1" x14ac:dyDescent="0.25">
      <c r="A237" s="378"/>
      <c r="B237" s="2032"/>
      <c r="C237" s="2033"/>
      <c r="D237" s="2033"/>
      <c r="E237" s="2033"/>
      <c r="F237" s="2033"/>
      <c r="G237" s="2033"/>
      <c r="H237" s="2033"/>
      <c r="I237" s="2033"/>
      <c r="J237" s="2033"/>
      <c r="K237" s="2033"/>
      <c r="L237" s="2033"/>
      <c r="M237" s="2034"/>
      <c r="N237" s="378"/>
    </row>
    <row r="238" spans="1:14" s="532" customFormat="1" ht="17.25" customHeight="1" x14ac:dyDescent="0.25">
      <c r="A238" s="378"/>
      <c r="B238" s="2035"/>
      <c r="C238" s="2036"/>
      <c r="D238" s="2036"/>
      <c r="E238" s="2036"/>
      <c r="F238" s="2036"/>
      <c r="G238" s="2036"/>
      <c r="H238" s="2036"/>
      <c r="I238" s="2036"/>
      <c r="J238" s="2036"/>
      <c r="K238" s="2036"/>
      <c r="L238" s="2036"/>
      <c r="M238" s="2037"/>
      <c r="N238" s="378"/>
    </row>
    <row r="239" spans="1:14" s="532" customFormat="1" ht="6.75" customHeight="1" x14ac:dyDescent="0.25">
      <c r="A239" s="378"/>
      <c r="B239" s="519"/>
      <c r="C239" s="13"/>
      <c r="D239" s="519"/>
      <c r="E239" s="13"/>
      <c r="F239" s="13"/>
      <c r="G239" s="13"/>
      <c r="H239" s="13"/>
      <c r="I239" s="13"/>
      <c r="J239" s="13"/>
      <c r="K239" s="13"/>
      <c r="L239" s="13"/>
      <c r="M239" s="13"/>
      <c r="N239" s="378"/>
    </row>
    <row r="240" spans="1:14" s="532" customFormat="1" ht="17.25" customHeight="1" x14ac:dyDescent="0.25">
      <c r="A240" s="660">
        <v>11</v>
      </c>
      <c r="B240" s="2018" t="s">
        <v>402</v>
      </c>
      <c r="C240" s="2018"/>
      <c r="D240" s="2018"/>
      <c r="E240" s="2018"/>
      <c r="F240" s="2018"/>
      <c r="G240" s="2018"/>
      <c r="H240" s="2018"/>
      <c r="I240" s="2018"/>
      <c r="J240" s="2018"/>
      <c r="K240" s="2018"/>
      <c r="L240" s="2018"/>
      <c r="M240" s="2018"/>
      <c r="N240" s="378"/>
    </row>
    <row r="241" spans="1:14" s="532" customFormat="1" ht="7.5" customHeight="1" x14ac:dyDescent="0.25">
      <c r="A241" s="378"/>
      <c r="B241" s="519"/>
      <c r="C241" s="13"/>
      <c r="D241" s="519"/>
      <c r="E241" s="13"/>
      <c r="F241" s="13"/>
      <c r="G241" s="13"/>
      <c r="H241" s="13"/>
      <c r="I241" s="13"/>
      <c r="J241" s="13"/>
      <c r="K241" s="13"/>
      <c r="L241" s="13"/>
      <c r="M241" s="13"/>
      <c r="N241" s="378"/>
    </row>
    <row r="242" spans="1:14" s="532" customFormat="1" ht="17.25" customHeight="1" x14ac:dyDescent="0.25">
      <c r="A242" s="378"/>
      <c r="B242" s="2029" t="s">
        <v>736</v>
      </c>
      <c r="C242" s="2030"/>
      <c r="D242" s="2030"/>
      <c r="E242" s="2030"/>
      <c r="F242" s="2030"/>
      <c r="G242" s="2030"/>
      <c r="H242" s="2030"/>
      <c r="I242" s="2030"/>
      <c r="J242" s="2030"/>
      <c r="K242" s="2030"/>
      <c r="L242" s="2030"/>
      <c r="M242" s="2031"/>
      <c r="N242" s="378"/>
    </row>
    <row r="243" spans="1:14" s="532" customFormat="1" ht="17.25" customHeight="1" x14ac:dyDescent="0.25">
      <c r="A243" s="378"/>
      <c r="B243" s="2032"/>
      <c r="C243" s="2033"/>
      <c r="D243" s="2033"/>
      <c r="E243" s="2033"/>
      <c r="F243" s="2033"/>
      <c r="G243" s="2033"/>
      <c r="H243" s="2033"/>
      <c r="I243" s="2033"/>
      <c r="J243" s="2033"/>
      <c r="K243" s="2033"/>
      <c r="L243" s="2033"/>
      <c r="M243" s="2034"/>
      <c r="N243" s="378"/>
    </row>
    <row r="244" spans="1:14" s="532" customFormat="1" ht="17.25" customHeight="1" x14ac:dyDescent="0.25">
      <c r="A244" s="378"/>
      <c r="B244" s="2032"/>
      <c r="C244" s="2033"/>
      <c r="D244" s="2033"/>
      <c r="E244" s="2033"/>
      <c r="F244" s="2033"/>
      <c r="G244" s="2033"/>
      <c r="H244" s="2033"/>
      <c r="I244" s="2033"/>
      <c r="J244" s="2033"/>
      <c r="K244" s="2033"/>
      <c r="L244" s="2033"/>
      <c r="M244" s="2034"/>
      <c r="N244" s="378"/>
    </row>
    <row r="245" spans="1:14" s="532" customFormat="1" ht="17.25" customHeight="1" x14ac:dyDescent="0.25">
      <c r="A245" s="378"/>
      <c r="B245" s="2032"/>
      <c r="C245" s="2033"/>
      <c r="D245" s="2033"/>
      <c r="E245" s="2033"/>
      <c r="F245" s="2033"/>
      <c r="G245" s="2033"/>
      <c r="H245" s="2033"/>
      <c r="I245" s="2033"/>
      <c r="J245" s="2033"/>
      <c r="K245" s="2033"/>
      <c r="L245" s="2033"/>
      <c r="M245" s="2034"/>
      <c r="N245" s="378"/>
    </row>
    <row r="246" spans="1:14" s="532" customFormat="1" ht="17.25" customHeight="1" x14ac:dyDescent="0.25">
      <c r="A246" s="378"/>
      <c r="B246" s="2032"/>
      <c r="C246" s="2033"/>
      <c r="D246" s="2033"/>
      <c r="E246" s="2033"/>
      <c r="F246" s="2033"/>
      <c r="G246" s="2033"/>
      <c r="H246" s="2033"/>
      <c r="I246" s="2033"/>
      <c r="J246" s="2033"/>
      <c r="K246" s="2033"/>
      <c r="L246" s="2033"/>
      <c r="M246" s="2034"/>
      <c r="N246" s="378"/>
    </row>
    <row r="247" spans="1:14" s="532" customFormat="1" ht="17.25" customHeight="1" x14ac:dyDescent="0.25">
      <c r="A247" s="378"/>
      <c r="B247" s="2032"/>
      <c r="C247" s="2033"/>
      <c r="D247" s="2033"/>
      <c r="E247" s="2033"/>
      <c r="F247" s="2033"/>
      <c r="G247" s="2033"/>
      <c r="H247" s="2033"/>
      <c r="I247" s="2033"/>
      <c r="J247" s="2033"/>
      <c r="K247" s="2033"/>
      <c r="L247" s="2033"/>
      <c r="M247" s="2034"/>
      <c r="N247" s="378"/>
    </row>
    <row r="248" spans="1:14" s="532" customFormat="1" ht="17.25" customHeight="1" x14ac:dyDescent="0.25">
      <c r="A248" s="378"/>
      <c r="B248" s="2032"/>
      <c r="C248" s="2033"/>
      <c r="D248" s="2033"/>
      <c r="E248" s="2033"/>
      <c r="F248" s="2033"/>
      <c r="G248" s="2033"/>
      <c r="H248" s="2033"/>
      <c r="I248" s="2033"/>
      <c r="J248" s="2033"/>
      <c r="K248" s="2033"/>
      <c r="L248" s="2033"/>
      <c r="M248" s="2034"/>
      <c r="N248" s="378"/>
    </row>
    <row r="249" spans="1:14" s="532" customFormat="1" ht="17.25" customHeight="1" x14ac:dyDescent="0.25">
      <c r="A249" s="378"/>
      <c r="B249" s="2032"/>
      <c r="C249" s="2033"/>
      <c r="D249" s="2033"/>
      <c r="E249" s="2033"/>
      <c r="F249" s="2033"/>
      <c r="G249" s="2033"/>
      <c r="H249" s="2033"/>
      <c r="I249" s="2033"/>
      <c r="J249" s="2033"/>
      <c r="K249" s="2033"/>
      <c r="L249" s="2033"/>
      <c r="M249" s="2034"/>
      <c r="N249" s="378"/>
    </row>
    <row r="250" spans="1:14" s="532" customFormat="1" ht="17.25" customHeight="1" x14ac:dyDescent="0.25">
      <c r="A250" s="378"/>
      <c r="B250" s="2035"/>
      <c r="C250" s="2036"/>
      <c r="D250" s="2036"/>
      <c r="E250" s="2036"/>
      <c r="F250" s="2036"/>
      <c r="G250" s="2036"/>
      <c r="H250" s="2036"/>
      <c r="I250" s="2036"/>
      <c r="J250" s="2036"/>
      <c r="K250" s="2036"/>
      <c r="L250" s="2036"/>
      <c r="M250" s="2037"/>
      <c r="N250" s="378"/>
    </row>
    <row r="251" spans="1:14" s="532" customFormat="1" ht="16.5" customHeight="1" x14ac:dyDescent="0.25">
      <c r="A251" s="378"/>
      <c r="B251" s="519"/>
      <c r="C251" s="13"/>
      <c r="D251" s="519"/>
      <c r="E251" s="13"/>
      <c r="F251" s="13"/>
      <c r="G251" s="13"/>
      <c r="H251" s="13"/>
      <c r="I251" s="13"/>
      <c r="J251" s="13"/>
      <c r="K251" s="13"/>
      <c r="L251" s="13"/>
      <c r="M251" s="13"/>
      <c r="N251" s="378"/>
    </row>
    <row r="252" spans="1:14" s="532" customFormat="1" ht="17.25" customHeight="1" x14ac:dyDescent="0.25">
      <c r="A252" s="660">
        <v>12</v>
      </c>
      <c r="B252" s="2018" t="s">
        <v>737</v>
      </c>
      <c r="C252" s="2018"/>
      <c r="D252" s="2018"/>
      <c r="E252" s="2018"/>
      <c r="F252" s="2018"/>
      <c r="G252" s="2018"/>
      <c r="H252" s="2018"/>
      <c r="I252" s="2018"/>
      <c r="J252" s="2018"/>
      <c r="K252" s="2018"/>
      <c r="L252" s="2018"/>
      <c r="M252" s="2018"/>
      <c r="N252" s="378"/>
    </row>
    <row r="253" spans="1:14" s="532" customFormat="1" ht="12.75" customHeight="1" x14ac:dyDescent="0.25">
      <c r="A253" s="378"/>
      <c r="B253" s="519"/>
      <c r="C253" s="13"/>
      <c r="D253" s="519"/>
      <c r="E253" s="13"/>
      <c r="F253" s="13"/>
      <c r="G253" s="13"/>
      <c r="H253" s="13"/>
      <c r="I253" s="13"/>
      <c r="J253" s="13"/>
      <c r="K253" s="13"/>
      <c r="L253" s="13"/>
      <c r="M253" s="13"/>
      <c r="N253" s="378"/>
    </row>
    <row r="254" spans="1:14" s="532" customFormat="1" ht="17.25" customHeight="1" x14ac:dyDescent="0.25">
      <c r="A254" s="378"/>
      <c r="B254" s="2029" t="s">
        <v>738</v>
      </c>
      <c r="C254" s="2030"/>
      <c r="D254" s="2030"/>
      <c r="E254" s="2030"/>
      <c r="F254" s="2030"/>
      <c r="G254" s="2030"/>
      <c r="H254" s="2030"/>
      <c r="I254" s="2030"/>
      <c r="J254" s="2030"/>
      <c r="K254" s="2030"/>
      <c r="L254" s="2030"/>
      <c r="M254" s="2031"/>
      <c r="N254" s="378"/>
    </row>
    <row r="255" spans="1:14" s="532" customFormat="1" ht="17.25" customHeight="1" x14ac:dyDescent="0.25">
      <c r="A255" s="378"/>
      <c r="B255" s="2032"/>
      <c r="C255" s="2033"/>
      <c r="D255" s="2033"/>
      <c r="E255" s="2033"/>
      <c r="F255" s="2033"/>
      <c r="G255" s="2033"/>
      <c r="H255" s="2033"/>
      <c r="I255" s="2033"/>
      <c r="J255" s="2033"/>
      <c r="K255" s="2033"/>
      <c r="L255" s="2033"/>
      <c r="M255" s="2034"/>
      <c r="N255" s="378"/>
    </row>
    <row r="256" spans="1:14" s="532" customFormat="1" ht="17.25" customHeight="1" x14ac:dyDescent="0.25">
      <c r="A256" s="378"/>
      <c r="B256" s="2032"/>
      <c r="C256" s="2033"/>
      <c r="D256" s="2033"/>
      <c r="E256" s="2033"/>
      <c r="F256" s="2033"/>
      <c r="G256" s="2033"/>
      <c r="H256" s="2033"/>
      <c r="I256" s="2033"/>
      <c r="J256" s="2033"/>
      <c r="K256" s="2033"/>
      <c r="L256" s="2033"/>
      <c r="M256" s="2034"/>
      <c r="N256" s="378"/>
    </row>
    <row r="257" spans="1:14" s="532" customFormat="1" ht="17.25" customHeight="1" x14ac:dyDescent="0.25">
      <c r="A257" s="378"/>
      <c r="B257" s="2032"/>
      <c r="C257" s="2033"/>
      <c r="D257" s="2033"/>
      <c r="E257" s="2033"/>
      <c r="F257" s="2033"/>
      <c r="G257" s="2033"/>
      <c r="H257" s="2033"/>
      <c r="I257" s="2033"/>
      <c r="J257" s="2033"/>
      <c r="K257" s="2033"/>
      <c r="L257" s="2033"/>
      <c r="M257" s="2034"/>
      <c r="N257" s="378"/>
    </row>
    <row r="258" spans="1:14" s="532" customFormat="1" ht="17.25" customHeight="1" x14ac:dyDescent="0.25">
      <c r="A258" s="378"/>
      <c r="B258" s="2032"/>
      <c r="C258" s="2033"/>
      <c r="D258" s="2033"/>
      <c r="E258" s="2033"/>
      <c r="F258" s="2033"/>
      <c r="G258" s="2033"/>
      <c r="H258" s="2033"/>
      <c r="I258" s="2033"/>
      <c r="J258" s="2033"/>
      <c r="K258" s="2033"/>
      <c r="L258" s="2033"/>
      <c r="M258" s="2034"/>
      <c r="N258" s="378"/>
    </row>
    <row r="259" spans="1:14" s="532" customFormat="1" ht="17.25" customHeight="1" x14ac:dyDescent="0.25">
      <c r="A259" s="378"/>
      <c r="B259" s="2032"/>
      <c r="C259" s="2033"/>
      <c r="D259" s="2033"/>
      <c r="E259" s="2033"/>
      <c r="F259" s="2033"/>
      <c r="G259" s="2033"/>
      <c r="H259" s="2033"/>
      <c r="I259" s="2033"/>
      <c r="J259" s="2033"/>
      <c r="K259" s="2033"/>
      <c r="L259" s="2033"/>
      <c r="M259" s="2034"/>
      <c r="N259" s="378"/>
    </row>
    <row r="260" spans="1:14" s="532" customFormat="1" ht="17.25" customHeight="1" x14ac:dyDescent="0.25">
      <c r="A260" s="378"/>
      <c r="B260" s="2032"/>
      <c r="C260" s="2033"/>
      <c r="D260" s="2033"/>
      <c r="E260" s="2033"/>
      <c r="F260" s="2033"/>
      <c r="G260" s="2033"/>
      <c r="H260" s="2033"/>
      <c r="I260" s="2033"/>
      <c r="J260" s="2033"/>
      <c r="K260" s="2033"/>
      <c r="L260" s="2033"/>
      <c r="M260" s="2034"/>
      <c r="N260" s="378"/>
    </row>
    <row r="261" spans="1:14" s="532" customFormat="1" ht="17.25" customHeight="1" x14ac:dyDescent="0.25">
      <c r="A261" s="378"/>
      <c r="B261" s="2032"/>
      <c r="C261" s="2033"/>
      <c r="D261" s="2033"/>
      <c r="E261" s="2033"/>
      <c r="F261" s="2033"/>
      <c r="G261" s="2033"/>
      <c r="H261" s="2033"/>
      <c r="I261" s="2033"/>
      <c r="J261" s="2033"/>
      <c r="K261" s="2033"/>
      <c r="L261" s="2033"/>
      <c r="M261" s="2034"/>
      <c r="N261" s="378"/>
    </row>
    <row r="262" spans="1:14" s="532" customFormat="1" ht="17.25" customHeight="1" x14ac:dyDescent="0.25">
      <c r="A262" s="378"/>
      <c r="B262" s="2032"/>
      <c r="C262" s="2033"/>
      <c r="D262" s="2033"/>
      <c r="E262" s="2033"/>
      <c r="F262" s="2033"/>
      <c r="G262" s="2033"/>
      <c r="H262" s="2033"/>
      <c r="I262" s="2033"/>
      <c r="J262" s="2033"/>
      <c r="K262" s="2033"/>
      <c r="L262" s="2033"/>
      <c r="M262" s="2034"/>
      <c r="N262" s="378"/>
    </row>
    <row r="263" spans="1:14" s="532" customFormat="1" ht="17.25" customHeight="1" x14ac:dyDescent="0.25">
      <c r="A263" s="378"/>
      <c r="B263" s="2032"/>
      <c r="C263" s="2033"/>
      <c r="D263" s="2033"/>
      <c r="E263" s="2033"/>
      <c r="F263" s="2033"/>
      <c r="G263" s="2033"/>
      <c r="H263" s="2033"/>
      <c r="I263" s="2033"/>
      <c r="J263" s="2033"/>
      <c r="K263" s="2033"/>
      <c r="L263" s="2033"/>
      <c r="M263" s="2034"/>
      <c r="N263" s="378"/>
    </row>
    <row r="264" spans="1:14" s="532" customFormat="1" ht="17.25" customHeight="1" x14ac:dyDescent="0.25">
      <c r="A264" s="378"/>
      <c r="B264" s="2032"/>
      <c r="C264" s="2033"/>
      <c r="D264" s="2033"/>
      <c r="E264" s="2033"/>
      <c r="F264" s="2033"/>
      <c r="G264" s="2033"/>
      <c r="H264" s="2033"/>
      <c r="I264" s="2033"/>
      <c r="J264" s="2033"/>
      <c r="K264" s="2033"/>
      <c r="L264" s="2033"/>
      <c r="M264" s="2034"/>
      <c r="N264" s="378"/>
    </row>
    <row r="265" spans="1:14" s="532" customFormat="1" ht="17.25" customHeight="1" x14ac:dyDescent="0.25">
      <c r="A265" s="378"/>
      <c r="B265" s="2032"/>
      <c r="C265" s="2033"/>
      <c r="D265" s="2033"/>
      <c r="E265" s="2033"/>
      <c r="F265" s="2033"/>
      <c r="G265" s="2033"/>
      <c r="H265" s="2033"/>
      <c r="I265" s="2033"/>
      <c r="J265" s="2033"/>
      <c r="K265" s="2033"/>
      <c r="L265" s="2033"/>
      <c r="M265" s="2034"/>
      <c r="N265" s="378"/>
    </row>
    <row r="266" spans="1:14" s="532" customFormat="1" ht="17.25" customHeight="1" x14ac:dyDescent="0.25">
      <c r="A266" s="378"/>
      <c r="B266" s="2032"/>
      <c r="C266" s="2033"/>
      <c r="D266" s="2033"/>
      <c r="E266" s="2033"/>
      <c r="F266" s="2033"/>
      <c r="G266" s="2033"/>
      <c r="H266" s="2033"/>
      <c r="I266" s="2033"/>
      <c r="J266" s="2033"/>
      <c r="K266" s="2033"/>
      <c r="L266" s="2033"/>
      <c r="M266" s="2034"/>
      <c r="N266" s="378"/>
    </row>
    <row r="267" spans="1:14" s="532" customFormat="1" ht="17.25" customHeight="1" x14ac:dyDescent="0.25">
      <c r="A267" s="378"/>
      <c r="B267" s="2032"/>
      <c r="C267" s="2033"/>
      <c r="D267" s="2033"/>
      <c r="E267" s="2033"/>
      <c r="F267" s="2033"/>
      <c r="G267" s="2033"/>
      <c r="H267" s="2033"/>
      <c r="I267" s="2033"/>
      <c r="J267" s="2033"/>
      <c r="K267" s="2033"/>
      <c r="L267" s="2033"/>
      <c r="M267" s="2034"/>
      <c r="N267" s="378"/>
    </row>
    <row r="268" spans="1:14" s="532" customFormat="1" ht="17.25" customHeight="1" x14ac:dyDescent="0.25">
      <c r="A268" s="378"/>
      <c r="B268" s="2035"/>
      <c r="C268" s="2036"/>
      <c r="D268" s="2036"/>
      <c r="E268" s="2036"/>
      <c r="F268" s="2036"/>
      <c r="G268" s="2036"/>
      <c r="H268" s="2036"/>
      <c r="I268" s="2036"/>
      <c r="J268" s="2036"/>
      <c r="K268" s="2036"/>
      <c r="L268" s="2036"/>
      <c r="M268" s="2037"/>
      <c r="N268" s="378"/>
    </row>
    <row r="269" spans="1:14" s="532" customFormat="1" ht="17.25" customHeight="1" x14ac:dyDescent="0.25">
      <c r="A269" s="378"/>
      <c r="B269" s="519"/>
      <c r="C269" s="13"/>
      <c r="D269" s="519"/>
      <c r="E269" s="13"/>
      <c r="F269" s="13"/>
      <c r="G269" s="13"/>
      <c r="H269" s="13"/>
      <c r="I269" s="13"/>
      <c r="J269" s="13"/>
      <c r="K269" s="13"/>
      <c r="L269" s="13"/>
      <c r="M269" s="13"/>
      <c r="N269" s="378"/>
    </row>
    <row r="270" spans="1:14" s="532" customFormat="1" ht="17.25" customHeight="1" x14ac:dyDescent="0.25">
      <c r="A270" s="378"/>
      <c r="B270" s="519"/>
      <c r="C270" s="13"/>
      <c r="D270" s="519"/>
      <c r="E270" s="13"/>
      <c r="F270" s="13"/>
      <c r="G270" s="13"/>
      <c r="H270" s="13"/>
      <c r="I270" s="13"/>
      <c r="J270" s="13"/>
      <c r="K270" s="13"/>
      <c r="L270" s="13"/>
      <c r="M270" s="13"/>
      <c r="N270" s="378"/>
    </row>
    <row r="271" spans="1:14" s="532" customFormat="1" ht="17.25" customHeight="1" x14ac:dyDescent="0.25">
      <c r="A271" s="378"/>
      <c r="B271" s="519"/>
      <c r="C271" s="13"/>
      <c r="D271" s="519"/>
      <c r="E271" s="13"/>
      <c r="F271" s="13"/>
      <c r="G271" s="13"/>
      <c r="H271" s="13"/>
      <c r="I271" s="13"/>
      <c r="J271" s="13"/>
      <c r="K271" s="13"/>
      <c r="L271" s="13"/>
      <c r="M271" s="13"/>
      <c r="N271" s="378"/>
    </row>
    <row r="272" spans="1:14" s="532" customFormat="1" ht="17.25" customHeight="1" x14ac:dyDescent="0.25">
      <c r="A272" s="378"/>
      <c r="B272" s="519"/>
      <c r="C272" s="13"/>
      <c r="D272" s="519"/>
      <c r="E272" s="13"/>
      <c r="F272" s="13"/>
      <c r="G272" s="13"/>
      <c r="H272" s="13"/>
      <c r="I272" s="13"/>
      <c r="J272" s="13"/>
      <c r="K272" s="13"/>
      <c r="L272" s="13"/>
      <c r="M272" s="13"/>
      <c r="N272" s="378"/>
    </row>
    <row r="273" spans="1:14" s="532" customFormat="1" ht="17.25" customHeight="1" x14ac:dyDescent="0.25">
      <c r="A273" s="378"/>
      <c r="B273" s="519"/>
      <c r="C273" s="13"/>
      <c r="D273" s="519"/>
      <c r="E273" s="13"/>
      <c r="F273" s="13"/>
      <c r="G273" s="13"/>
      <c r="H273" s="13"/>
      <c r="I273" s="13"/>
      <c r="J273" s="13"/>
      <c r="K273" s="13"/>
      <c r="L273" s="13"/>
      <c r="M273" s="13"/>
      <c r="N273" s="378"/>
    </row>
    <row r="274" spans="1:14" s="532" customFormat="1" ht="17.25" customHeight="1" x14ac:dyDescent="0.25">
      <c r="A274" s="378"/>
      <c r="B274" s="519"/>
      <c r="C274" s="13"/>
      <c r="D274" s="519"/>
      <c r="E274" s="13"/>
      <c r="F274" s="13"/>
      <c r="G274" s="13"/>
      <c r="H274" s="13"/>
      <c r="I274" s="13"/>
      <c r="J274" s="13"/>
      <c r="K274" s="13"/>
      <c r="L274" s="13"/>
      <c r="M274" s="13"/>
      <c r="N274" s="378"/>
    </row>
    <row r="275" spans="1:14" s="532" customFormat="1" ht="17.25" customHeight="1" x14ac:dyDescent="0.25">
      <c r="A275" s="378"/>
      <c r="B275" s="519"/>
      <c r="C275" s="13"/>
      <c r="D275" s="519"/>
      <c r="E275" s="13"/>
      <c r="F275" s="13"/>
      <c r="G275" s="13"/>
      <c r="H275" s="13"/>
      <c r="I275" s="13"/>
      <c r="J275" s="13"/>
      <c r="K275" s="13"/>
      <c r="L275" s="13"/>
      <c r="M275" s="13"/>
      <c r="N275" s="378"/>
    </row>
    <row r="276" spans="1:14" s="532" customFormat="1" ht="17.25" customHeight="1" x14ac:dyDescent="0.25">
      <c r="A276" s="378"/>
      <c r="B276" s="519"/>
      <c r="C276" s="13"/>
      <c r="D276" s="519"/>
      <c r="E276" s="13"/>
      <c r="F276" s="13"/>
      <c r="G276" s="13"/>
      <c r="H276" s="13"/>
      <c r="I276" s="13"/>
      <c r="J276" s="13"/>
      <c r="K276" s="13"/>
      <c r="L276" s="13"/>
      <c r="M276" s="13"/>
      <c r="N276" s="378"/>
    </row>
    <row r="277" spans="1:14" s="532" customFormat="1" ht="17.25" customHeight="1" x14ac:dyDescent="0.25">
      <c r="A277" s="378"/>
      <c r="B277" s="519"/>
      <c r="C277" s="13"/>
      <c r="D277" s="519"/>
      <c r="E277" s="13"/>
      <c r="F277" s="13"/>
      <c r="G277" s="13"/>
      <c r="H277" s="13"/>
      <c r="I277" s="13"/>
      <c r="J277" s="13"/>
      <c r="K277" s="13"/>
      <c r="L277" s="13"/>
      <c r="M277" s="13"/>
      <c r="N277" s="378"/>
    </row>
    <row r="278" spans="1:14" s="532" customFormat="1" ht="17.25" customHeight="1" x14ac:dyDescent="0.25">
      <c r="A278" s="378"/>
      <c r="B278" s="519"/>
      <c r="C278" s="13"/>
      <c r="D278" s="519"/>
      <c r="E278" s="13"/>
      <c r="F278" s="13"/>
      <c r="G278" s="13"/>
      <c r="H278" s="13"/>
      <c r="I278" s="13"/>
      <c r="J278" s="13"/>
      <c r="K278" s="13"/>
      <c r="L278" s="13"/>
      <c r="M278" s="13"/>
      <c r="N278" s="378"/>
    </row>
    <row r="279" spans="1:14" s="532" customFormat="1" ht="17.25" customHeight="1" x14ac:dyDescent="0.25">
      <c r="A279" s="378"/>
      <c r="B279" s="519"/>
      <c r="C279" s="13"/>
      <c r="D279" s="519"/>
      <c r="E279" s="13"/>
      <c r="F279" s="13"/>
      <c r="G279" s="13"/>
      <c r="H279" s="13"/>
      <c r="I279" s="13"/>
      <c r="J279" s="13"/>
      <c r="K279" s="13"/>
      <c r="L279" s="13"/>
      <c r="M279" s="13"/>
      <c r="N279" s="378"/>
    </row>
    <row r="280" spans="1:14" s="532" customFormat="1" ht="17.25" customHeight="1" x14ac:dyDescent="0.25">
      <c r="A280" s="660">
        <v>13</v>
      </c>
      <c r="B280" s="2018" t="s">
        <v>460</v>
      </c>
      <c r="C280" s="2018"/>
      <c r="D280" s="2018"/>
      <c r="E280" s="2018"/>
      <c r="F280" s="2018"/>
      <c r="G280" s="2018"/>
      <c r="H280" s="2018"/>
      <c r="I280" s="2018"/>
      <c r="J280" s="2018"/>
      <c r="K280" s="2018"/>
      <c r="L280" s="2018"/>
      <c r="M280" s="2018"/>
      <c r="N280" s="378"/>
    </row>
    <row r="281" spans="1:14" s="532" customFormat="1" ht="17.25" customHeight="1" x14ac:dyDescent="0.25">
      <c r="A281" s="378"/>
      <c r="B281" s="519"/>
      <c r="C281" s="13"/>
      <c r="D281" s="519"/>
      <c r="E281" s="13"/>
      <c r="F281" s="13"/>
      <c r="G281" s="13"/>
      <c r="H281" s="13"/>
      <c r="I281" s="13"/>
      <c r="J281" s="13"/>
      <c r="K281" s="13"/>
      <c r="L281" s="13"/>
      <c r="M281" s="13"/>
      <c r="N281" s="378"/>
    </row>
    <row r="282" spans="1:14" s="532" customFormat="1" ht="17.25" customHeight="1" x14ac:dyDescent="0.25">
      <c r="A282" s="378"/>
      <c r="B282" s="2029" t="s">
        <v>739</v>
      </c>
      <c r="C282" s="2030"/>
      <c r="D282" s="2030"/>
      <c r="E282" s="2030"/>
      <c r="F282" s="2030"/>
      <c r="G282" s="2030"/>
      <c r="H282" s="2030"/>
      <c r="I282" s="2030"/>
      <c r="J282" s="2030"/>
      <c r="K282" s="2030"/>
      <c r="L282" s="2030"/>
      <c r="M282" s="2031"/>
      <c r="N282" s="378"/>
    </row>
    <row r="283" spans="1:14" s="532" customFormat="1" ht="17.25" customHeight="1" x14ac:dyDescent="0.25">
      <c r="A283" s="378"/>
      <c r="B283" s="2032"/>
      <c r="C283" s="2033"/>
      <c r="D283" s="2033"/>
      <c r="E283" s="2033"/>
      <c r="F283" s="2033"/>
      <c r="G283" s="2033"/>
      <c r="H283" s="2033"/>
      <c r="I283" s="2033"/>
      <c r="J283" s="2033"/>
      <c r="K283" s="2033"/>
      <c r="L283" s="2033"/>
      <c r="M283" s="2034"/>
      <c r="N283" s="378"/>
    </row>
    <row r="284" spans="1:14" s="532" customFormat="1" ht="17.25" customHeight="1" x14ac:dyDescent="0.25">
      <c r="A284" s="378"/>
      <c r="B284" s="2032"/>
      <c r="C284" s="2033"/>
      <c r="D284" s="2033"/>
      <c r="E284" s="2033"/>
      <c r="F284" s="2033"/>
      <c r="G284" s="2033"/>
      <c r="H284" s="2033"/>
      <c r="I284" s="2033"/>
      <c r="J284" s="2033"/>
      <c r="K284" s="2033"/>
      <c r="L284" s="2033"/>
      <c r="M284" s="2034"/>
      <c r="N284" s="378"/>
    </row>
    <row r="285" spans="1:14" s="532" customFormat="1" ht="17.25" customHeight="1" x14ac:dyDescent="0.25">
      <c r="A285" s="378"/>
      <c r="B285" s="2032"/>
      <c r="C285" s="2033"/>
      <c r="D285" s="2033"/>
      <c r="E285" s="2033"/>
      <c r="F285" s="2033"/>
      <c r="G285" s="2033"/>
      <c r="H285" s="2033"/>
      <c r="I285" s="2033"/>
      <c r="J285" s="2033"/>
      <c r="K285" s="2033"/>
      <c r="L285" s="2033"/>
      <c r="M285" s="2034"/>
      <c r="N285" s="378"/>
    </row>
    <row r="286" spans="1:14" s="532" customFormat="1" ht="17.25" customHeight="1" x14ac:dyDescent="0.25">
      <c r="A286" s="378"/>
      <c r="B286" s="2032"/>
      <c r="C286" s="2033"/>
      <c r="D286" s="2033"/>
      <c r="E286" s="2033"/>
      <c r="F286" s="2033"/>
      <c r="G286" s="2033"/>
      <c r="H286" s="2033"/>
      <c r="I286" s="2033"/>
      <c r="J286" s="2033"/>
      <c r="K286" s="2033"/>
      <c r="L286" s="2033"/>
      <c r="M286" s="2034"/>
      <c r="N286" s="378"/>
    </row>
    <row r="287" spans="1:14" s="532" customFormat="1" ht="17.25" customHeight="1" x14ac:dyDescent="0.25">
      <c r="A287" s="378"/>
      <c r="B287" s="2032"/>
      <c r="C287" s="2033"/>
      <c r="D287" s="2033"/>
      <c r="E287" s="2033"/>
      <c r="F287" s="2033"/>
      <c r="G287" s="2033"/>
      <c r="H287" s="2033"/>
      <c r="I287" s="2033"/>
      <c r="J287" s="2033"/>
      <c r="K287" s="2033"/>
      <c r="L287" s="2033"/>
      <c r="M287" s="2034"/>
      <c r="N287" s="378"/>
    </row>
    <row r="288" spans="1:14" s="532" customFormat="1" ht="17.25" customHeight="1" x14ac:dyDescent="0.25">
      <c r="A288" s="378"/>
      <c r="B288" s="2032"/>
      <c r="C288" s="2033"/>
      <c r="D288" s="2033"/>
      <c r="E288" s="2033"/>
      <c r="F288" s="2033"/>
      <c r="G288" s="2033"/>
      <c r="H288" s="2033"/>
      <c r="I288" s="2033"/>
      <c r="J288" s="2033"/>
      <c r="K288" s="2033"/>
      <c r="L288" s="2033"/>
      <c r="M288" s="2034"/>
      <c r="N288" s="378"/>
    </row>
    <row r="289" spans="1:14" s="532" customFormat="1" ht="17.25" customHeight="1" x14ac:dyDescent="0.25">
      <c r="A289" s="378"/>
      <c r="B289" s="2032"/>
      <c r="C289" s="2033"/>
      <c r="D289" s="2033"/>
      <c r="E289" s="2033"/>
      <c r="F289" s="2033"/>
      <c r="G289" s="2033"/>
      <c r="H289" s="2033"/>
      <c r="I289" s="2033"/>
      <c r="J289" s="2033"/>
      <c r="K289" s="2033"/>
      <c r="L289" s="2033"/>
      <c r="M289" s="2034"/>
      <c r="N289" s="378"/>
    </row>
    <row r="290" spans="1:14" s="532" customFormat="1" ht="17.25" customHeight="1" x14ac:dyDescent="0.25">
      <c r="A290" s="378"/>
      <c r="B290" s="2032"/>
      <c r="C290" s="2033"/>
      <c r="D290" s="2033"/>
      <c r="E290" s="2033"/>
      <c r="F290" s="2033"/>
      <c r="G290" s="2033"/>
      <c r="H290" s="2033"/>
      <c r="I290" s="2033"/>
      <c r="J290" s="2033"/>
      <c r="K290" s="2033"/>
      <c r="L290" s="2033"/>
      <c r="M290" s="2034"/>
      <c r="N290" s="378"/>
    </row>
    <row r="291" spans="1:14" s="532" customFormat="1" ht="17.25" customHeight="1" x14ac:dyDescent="0.25">
      <c r="A291" s="378"/>
      <c r="B291" s="2032"/>
      <c r="C291" s="2033"/>
      <c r="D291" s="2033"/>
      <c r="E291" s="2033"/>
      <c r="F291" s="2033"/>
      <c r="G291" s="2033"/>
      <c r="H291" s="2033"/>
      <c r="I291" s="2033"/>
      <c r="J291" s="2033"/>
      <c r="K291" s="2033"/>
      <c r="L291" s="2033"/>
      <c r="M291" s="2034"/>
      <c r="N291" s="378"/>
    </row>
    <row r="292" spans="1:14" s="532" customFormat="1" ht="17.25" customHeight="1" x14ac:dyDescent="0.25">
      <c r="A292" s="378"/>
      <c r="B292" s="2032"/>
      <c r="C292" s="2033"/>
      <c r="D292" s="2033"/>
      <c r="E292" s="2033"/>
      <c r="F292" s="2033"/>
      <c r="G292" s="2033"/>
      <c r="H292" s="2033"/>
      <c r="I292" s="2033"/>
      <c r="J292" s="2033"/>
      <c r="K292" s="2033"/>
      <c r="L292" s="2033"/>
      <c r="M292" s="2034"/>
      <c r="N292" s="378"/>
    </row>
    <row r="293" spans="1:14" s="532" customFormat="1" ht="17.25" customHeight="1" x14ac:dyDescent="0.25">
      <c r="A293" s="378"/>
      <c r="B293" s="2032"/>
      <c r="C293" s="2033"/>
      <c r="D293" s="2033"/>
      <c r="E293" s="2033"/>
      <c r="F293" s="2033"/>
      <c r="G293" s="2033"/>
      <c r="H293" s="2033"/>
      <c r="I293" s="2033"/>
      <c r="J293" s="2033"/>
      <c r="K293" s="2033"/>
      <c r="L293" s="2033"/>
      <c r="M293" s="2034"/>
      <c r="N293" s="378"/>
    </row>
    <row r="294" spans="1:14" s="532" customFormat="1" ht="17.25" customHeight="1" x14ac:dyDescent="0.25">
      <c r="A294" s="378"/>
      <c r="B294" s="2032"/>
      <c r="C294" s="2033"/>
      <c r="D294" s="2033"/>
      <c r="E294" s="2033"/>
      <c r="F294" s="2033"/>
      <c r="G294" s="2033"/>
      <c r="H294" s="2033"/>
      <c r="I294" s="2033"/>
      <c r="J294" s="2033"/>
      <c r="K294" s="2033"/>
      <c r="L294" s="2033"/>
      <c r="M294" s="2034"/>
      <c r="N294" s="378"/>
    </row>
    <row r="295" spans="1:14" s="532" customFormat="1" ht="17.25" customHeight="1" x14ac:dyDescent="0.25">
      <c r="A295" s="378"/>
      <c r="B295" s="2032"/>
      <c r="C295" s="2033"/>
      <c r="D295" s="2033"/>
      <c r="E295" s="2033"/>
      <c r="F295" s="2033"/>
      <c r="G295" s="2033"/>
      <c r="H295" s="2033"/>
      <c r="I295" s="2033"/>
      <c r="J295" s="2033"/>
      <c r="K295" s="2033"/>
      <c r="L295" s="2033"/>
      <c r="M295" s="2034"/>
      <c r="N295" s="378"/>
    </row>
    <row r="296" spans="1:14" s="532" customFormat="1" ht="17.25" customHeight="1" x14ac:dyDescent="0.25">
      <c r="A296" s="378"/>
      <c r="B296" s="2032"/>
      <c r="C296" s="2033"/>
      <c r="D296" s="2033"/>
      <c r="E296" s="2033"/>
      <c r="F296" s="2033"/>
      <c r="G296" s="2033"/>
      <c r="H296" s="2033"/>
      <c r="I296" s="2033"/>
      <c r="J296" s="2033"/>
      <c r="K296" s="2033"/>
      <c r="L296" s="2033"/>
      <c r="M296" s="2034"/>
      <c r="N296" s="378"/>
    </row>
    <row r="297" spans="1:14" s="532" customFormat="1" ht="17.25" customHeight="1" x14ac:dyDescent="0.25">
      <c r="A297" s="378"/>
      <c r="B297" s="2032"/>
      <c r="C297" s="2033"/>
      <c r="D297" s="2033"/>
      <c r="E297" s="2033"/>
      <c r="F297" s="2033"/>
      <c r="G297" s="2033"/>
      <c r="H297" s="2033"/>
      <c r="I297" s="2033"/>
      <c r="J297" s="2033"/>
      <c r="K297" s="2033"/>
      <c r="L297" s="2033"/>
      <c r="M297" s="2034"/>
      <c r="N297" s="378"/>
    </row>
    <row r="298" spans="1:14" s="532" customFormat="1" ht="17.25" customHeight="1" x14ac:dyDescent="0.25">
      <c r="A298" s="378"/>
      <c r="B298" s="2032"/>
      <c r="C298" s="2033"/>
      <c r="D298" s="2033"/>
      <c r="E298" s="2033"/>
      <c r="F298" s="2033"/>
      <c r="G298" s="2033"/>
      <c r="H298" s="2033"/>
      <c r="I298" s="2033"/>
      <c r="J298" s="2033"/>
      <c r="K298" s="2033"/>
      <c r="L298" s="2033"/>
      <c r="M298" s="2034"/>
      <c r="N298" s="378"/>
    </row>
    <row r="299" spans="1:14" s="532" customFormat="1" ht="17.25" customHeight="1" x14ac:dyDescent="0.25">
      <c r="A299" s="378"/>
      <c r="B299" s="2032"/>
      <c r="C299" s="2033"/>
      <c r="D299" s="2033"/>
      <c r="E299" s="2033"/>
      <c r="F299" s="2033"/>
      <c r="G299" s="2033"/>
      <c r="H299" s="2033"/>
      <c r="I299" s="2033"/>
      <c r="J299" s="2033"/>
      <c r="K299" s="2033"/>
      <c r="L299" s="2033"/>
      <c r="M299" s="2034"/>
      <c r="N299" s="378"/>
    </row>
    <row r="300" spans="1:14" s="532" customFormat="1" ht="17.25" customHeight="1" x14ac:dyDescent="0.25">
      <c r="A300" s="378"/>
      <c r="B300" s="2032"/>
      <c r="C300" s="2033"/>
      <c r="D300" s="2033"/>
      <c r="E300" s="2033"/>
      <c r="F300" s="2033"/>
      <c r="G300" s="2033"/>
      <c r="H300" s="2033"/>
      <c r="I300" s="2033"/>
      <c r="J300" s="2033"/>
      <c r="K300" s="2033"/>
      <c r="L300" s="2033"/>
      <c r="M300" s="2034"/>
      <c r="N300" s="378"/>
    </row>
    <row r="301" spans="1:14" s="532" customFormat="1" ht="17.25" customHeight="1" x14ac:dyDescent="0.25">
      <c r="A301" s="378"/>
      <c r="B301" s="2032"/>
      <c r="C301" s="2033"/>
      <c r="D301" s="2033"/>
      <c r="E301" s="2033"/>
      <c r="F301" s="2033"/>
      <c r="G301" s="2033"/>
      <c r="H301" s="2033"/>
      <c r="I301" s="2033"/>
      <c r="J301" s="2033"/>
      <c r="K301" s="2033"/>
      <c r="L301" s="2033"/>
      <c r="M301" s="2034"/>
      <c r="N301" s="378"/>
    </row>
    <row r="302" spans="1:14" s="532" customFormat="1" ht="17.25" customHeight="1" x14ac:dyDescent="0.25">
      <c r="A302" s="378"/>
      <c r="B302" s="2032"/>
      <c r="C302" s="2033"/>
      <c r="D302" s="2033"/>
      <c r="E302" s="2033"/>
      <c r="F302" s="2033"/>
      <c r="G302" s="2033"/>
      <c r="H302" s="2033"/>
      <c r="I302" s="2033"/>
      <c r="J302" s="2033"/>
      <c r="K302" s="2033"/>
      <c r="L302" s="2033"/>
      <c r="M302" s="2034"/>
      <c r="N302" s="378"/>
    </row>
    <row r="303" spans="1:14" s="532" customFormat="1" ht="17.25" customHeight="1" x14ac:dyDescent="0.25">
      <c r="A303" s="378"/>
      <c r="B303" s="2035"/>
      <c r="C303" s="2036"/>
      <c r="D303" s="2036"/>
      <c r="E303" s="2036"/>
      <c r="F303" s="2036"/>
      <c r="G303" s="2036"/>
      <c r="H303" s="2036"/>
      <c r="I303" s="2036"/>
      <c r="J303" s="2036"/>
      <c r="K303" s="2036"/>
      <c r="L303" s="2036"/>
      <c r="M303" s="2037"/>
      <c r="N303" s="378"/>
    </row>
    <row r="304" spans="1:14" s="532" customFormat="1" ht="17.25" customHeight="1" x14ac:dyDescent="0.25">
      <c r="A304" s="378"/>
      <c r="B304" s="519"/>
      <c r="C304" s="13"/>
      <c r="D304" s="519"/>
      <c r="E304" s="13"/>
      <c r="F304" s="13"/>
      <c r="G304" s="13"/>
      <c r="H304" s="13"/>
      <c r="I304" s="13"/>
      <c r="J304" s="13"/>
      <c r="K304" s="13"/>
      <c r="L304" s="13"/>
      <c r="M304" s="13"/>
      <c r="N304" s="378"/>
    </row>
    <row r="305" spans="1:14" s="532" customFormat="1" ht="17.25" customHeight="1" x14ac:dyDescent="0.25">
      <c r="A305" s="378"/>
      <c r="B305" s="519"/>
      <c r="C305" s="13"/>
      <c r="D305" s="519"/>
      <c r="E305" s="13"/>
      <c r="F305" s="13"/>
      <c r="G305" s="13"/>
      <c r="H305" s="13"/>
      <c r="I305" s="13"/>
      <c r="J305" s="13"/>
      <c r="K305" s="13"/>
      <c r="L305" s="13"/>
      <c r="M305" s="13"/>
      <c r="N305" s="378"/>
    </row>
    <row r="306" spans="1:14" s="532" customFormat="1" ht="17.25" customHeight="1" x14ac:dyDescent="0.25">
      <c r="A306" s="378"/>
      <c r="B306" s="519"/>
      <c r="C306" s="13"/>
      <c r="D306" s="519"/>
      <c r="E306" s="13"/>
      <c r="F306" s="13"/>
      <c r="G306" s="13"/>
      <c r="H306" s="13"/>
      <c r="I306" s="13"/>
      <c r="J306" s="13"/>
      <c r="K306" s="13"/>
      <c r="L306" s="13"/>
      <c r="M306" s="13"/>
      <c r="N306" s="378"/>
    </row>
    <row r="307" spans="1:14" s="532" customFormat="1" ht="17.25" customHeight="1" x14ac:dyDescent="0.25">
      <c r="A307" s="378"/>
      <c r="B307" s="519"/>
      <c r="C307" s="13"/>
      <c r="D307" s="519"/>
      <c r="E307" s="13"/>
      <c r="F307" s="13"/>
      <c r="G307" s="13"/>
      <c r="H307" s="13"/>
      <c r="I307" s="13"/>
      <c r="J307" s="13"/>
      <c r="K307" s="13"/>
      <c r="L307" s="13"/>
      <c r="M307" s="13"/>
      <c r="N307" s="378"/>
    </row>
    <row r="308" spans="1:14" s="532" customFormat="1" ht="17.25" customHeight="1" x14ac:dyDescent="0.25">
      <c r="A308" s="378"/>
      <c r="B308" s="519"/>
      <c r="C308" s="13"/>
      <c r="D308" s="519"/>
      <c r="E308" s="13"/>
      <c r="F308" s="13"/>
      <c r="G308" s="13"/>
      <c r="H308" s="13"/>
      <c r="I308" s="13"/>
      <c r="J308" s="13"/>
      <c r="K308" s="13"/>
      <c r="L308" s="13"/>
      <c r="M308" s="13"/>
      <c r="N308" s="378"/>
    </row>
    <row r="309" spans="1:14" s="532" customFormat="1" ht="17.25" customHeight="1" x14ac:dyDescent="0.25">
      <c r="A309" s="660">
        <v>14</v>
      </c>
      <c r="B309" s="2018" t="s">
        <v>477</v>
      </c>
      <c r="C309" s="2018"/>
      <c r="D309" s="2018"/>
      <c r="E309" s="2018"/>
      <c r="F309" s="2018"/>
      <c r="G309" s="2018"/>
      <c r="H309" s="2018"/>
      <c r="I309" s="2018"/>
      <c r="J309" s="2018"/>
      <c r="K309" s="2018"/>
      <c r="L309" s="2018"/>
      <c r="M309" s="2018"/>
      <c r="N309" s="378"/>
    </row>
    <row r="310" spans="1:14" s="532" customFormat="1" ht="17.25" customHeight="1" x14ac:dyDescent="0.25">
      <c r="A310" s="378"/>
      <c r="B310" s="519"/>
      <c r="C310" s="13"/>
      <c r="D310" s="519"/>
      <c r="E310" s="13"/>
      <c r="F310" s="13"/>
      <c r="G310" s="13"/>
      <c r="H310" s="13"/>
      <c r="I310" s="13"/>
      <c r="J310" s="13"/>
      <c r="K310" s="13"/>
      <c r="L310" s="13"/>
      <c r="M310" s="13"/>
      <c r="N310" s="378"/>
    </row>
    <row r="311" spans="1:14" s="532" customFormat="1" ht="17.25" customHeight="1" x14ac:dyDescent="0.25">
      <c r="A311" s="378"/>
      <c r="B311" s="2029" t="s">
        <v>740</v>
      </c>
      <c r="C311" s="2030"/>
      <c r="D311" s="2030"/>
      <c r="E311" s="2030"/>
      <c r="F311" s="2030"/>
      <c r="G311" s="2030"/>
      <c r="H311" s="2030"/>
      <c r="I311" s="2030"/>
      <c r="J311" s="2030"/>
      <c r="K311" s="2030"/>
      <c r="L311" s="2030"/>
      <c r="M311" s="2031"/>
      <c r="N311" s="378"/>
    </row>
    <row r="312" spans="1:14" s="532" customFormat="1" ht="17.25" customHeight="1" x14ac:dyDescent="0.25">
      <c r="A312" s="378"/>
      <c r="B312" s="2032"/>
      <c r="C312" s="2033"/>
      <c r="D312" s="2033"/>
      <c r="E312" s="2033"/>
      <c r="F312" s="2033"/>
      <c r="G312" s="2033"/>
      <c r="H312" s="2033"/>
      <c r="I312" s="2033"/>
      <c r="J312" s="2033"/>
      <c r="K312" s="2033"/>
      <c r="L312" s="2033"/>
      <c r="M312" s="2034"/>
      <c r="N312" s="378"/>
    </row>
    <row r="313" spans="1:14" s="532" customFormat="1" ht="17.25" customHeight="1" x14ac:dyDescent="0.25">
      <c r="A313" s="378"/>
      <c r="B313" s="2032"/>
      <c r="C313" s="2033"/>
      <c r="D313" s="2033"/>
      <c r="E313" s="2033"/>
      <c r="F313" s="2033"/>
      <c r="G313" s="2033"/>
      <c r="H313" s="2033"/>
      <c r="I313" s="2033"/>
      <c r="J313" s="2033"/>
      <c r="K313" s="2033"/>
      <c r="L313" s="2033"/>
      <c r="M313" s="2034"/>
      <c r="N313" s="378"/>
    </row>
    <row r="314" spans="1:14" s="532" customFormat="1" ht="17.25" customHeight="1" x14ac:dyDescent="0.25">
      <c r="A314" s="378"/>
      <c r="B314" s="2032"/>
      <c r="C314" s="2033"/>
      <c r="D314" s="2033"/>
      <c r="E314" s="2033"/>
      <c r="F314" s="2033"/>
      <c r="G314" s="2033"/>
      <c r="H314" s="2033"/>
      <c r="I314" s="2033"/>
      <c r="J314" s="2033"/>
      <c r="K314" s="2033"/>
      <c r="L314" s="2033"/>
      <c r="M314" s="2034"/>
      <c r="N314" s="378"/>
    </row>
    <row r="315" spans="1:14" s="532" customFormat="1" ht="17.25" customHeight="1" x14ac:dyDescent="0.25">
      <c r="A315" s="378"/>
      <c r="B315" s="2032"/>
      <c r="C315" s="2033"/>
      <c r="D315" s="2033"/>
      <c r="E315" s="2033"/>
      <c r="F315" s="2033"/>
      <c r="G315" s="2033"/>
      <c r="H315" s="2033"/>
      <c r="I315" s="2033"/>
      <c r="J315" s="2033"/>
      <c r="K315" s="2033"/>
      <c r="L315" s="2033"/>
      <c r="M315" s="2034"/>
      <c r="N315" s="378"/>
    </row>
    <row r="316" spans="1:14" s="532" customFormat="1" ht="17.25" customHeight="1" x14ac:dyDescent="0.25">
      <c r="A316" s="378"/>
      <c r="B316" s="2032"/>
      <c r="C316" s="2033"/>
      <c r="D316" s="2033"/>
      <c r="E316" s="2033"/>
      <c r="F316" s="2033"/>
      <c r="G316" s="2033"/>
      <c r="H316" s="2033"/>
      <c r="I316" s="2033"/>
      <c r="J316" s="2033"/>
      <c r="K316" s="2033"/>
      <c r="L316" s="2033"/>
      <c r="M316" s="2034"/>
      <c r="N316" s="378"/>
    </row>
    <row r="317" spans="1:14" s="532" customFormat="1" ht="17.25" customHeight="1" x14ac:dyDescent="0.25">
      <c r="A317" s="378"/>
      <c r="B317" s="2032"/>
      <c r="C317" s="2033"/>
      <c r="D317" s="2033"/>
      <c r="E317" s="2033"/>
      <c r="F317" s="2033"/>
      <c r="G317" s="2033"/>
      <c r="H317" s="2033"/>
      <c r="I317" s="2033"/>
      <c r="J317" s="2033"/>
      <c r="K317" s="2033"/>
      <c r="L317" s="2033"/>
      <c r="M317" s="2034"/>
      <c r="N317" s="378"/>
    </row>
    <row r="318" spans="1:14" s="532" customFormat="1" ht="17.25" customHeight="1" x14ac:dyDescent="0.25">
      <c r="A318" s="378"/>
      <c r="B318" s="2032"/>
      <c r="C318" s="2033"/>
      <c r="D318" s="2033"/>
      <c r="E318" s="2033"/>
      <c r="F318" s="2033"/>
      <c r="G318" s="2033"/>
      <c r="H318" s="2033"/>
      <c r="I318" s="2033"/>
      <c r="J318" s="2033"/>
      <c r="K318" s="2033"/>
      <c r="L318" s="2033"/>
      <c r="M318" s="2034"/>
      <c r="N318" s="378"/>
    </row>
    <row r="319" spans="1:14" s="532" customFormat="1" ht="17.25" customHeight="1" x14ac:dyDescent="0.25">
      <c r="A319" s="378"/>
      <c r="B319" s="2032"/>
      <c r="C319" s="2033"/>
      <c r="D319" s="2033"/>
      <c r="E319" s="2033"/>
      <c r="F319" s="2033"/>
      <c r="G319" s="2033"/>
      <c r="H319" s="2033"/>
      <c r="I319" s="2033"/>
      <c r="J319" s="2033"/>
      <c r="K319" s="2033"/>
      <c r="L319" s="2033"/>
      <c r="M319" s="2034"/>
      <c r="N319" s="378"/>
    </row>
    <row r="320" spans="1:14" s="532" customFormat="1" ht="17.25" customHeight="1" x14ac:dyDescent="0.25">
      <c r="A320" s="378"/>
      <c r="B320" s="2032"/>
      <c r="C320" s="2033"/>
      <c r="D320" s="2033"/>
      <c r="E320" s="2033"/>
      <c r="F320" s="2033"/>
      <c r="G320" s="2033"/>
      <c r="H320" s="2033"/>
      <c r="I320" s="2033"/>
      <c r="J320" s="2033"/>
      <c r="K320" s="2033"/>
      <c r="L320" s="2033"/>
      <c r="M320" s="2034"/>
      <c r="N320" s="378"/>
    </row>
    <row r="321" spans="1:14" s="532" customFormat="1" ht="17.25" customHeight="1" x14ac:dyDescent="0.25">
      <c r="A321" s="378"/>
      <c r="B321" s="2032"/>
      <c r="C321" s="2033"/>
      <c r="D321" s="2033"/>
      <c r="E321" s="2033"/>
      <c r="F321" s="2033"/>
      <c r="G321" s="2033"/>
      <c r="H321" s="2033"/>
      <c r="I321" s="2033"/>
      <c r="J321" s="2033"/>
      <c r="K321" s="2033"/>
      <c r="L321" s="2033"/>
      <c r="M321" s="2034"/>
      <c r="N321" s="378"/>
    </row>
    <row r="322" spans="1:14" s="532" customFormat="1" ht="17.25" customHeight="1" x14ac:dyDescent="0.25">
      <c r="A322" s="378"/>
      <c r="B322" s="2032"/>
      <c r="C322" s="2033"/>
      <c r="D322" s="2033"/>
      <c r="E322" s="2033"/>
      <c r="F322" s="2033"/>
      <c r="G322" s="2033"/>
      <c r="H322" s="2033"/>
      <c r="I322" s="2033"/>
      <c r="J322" s="2033"/>
      <c r="K322" s="2033"/>
      <c r="L322" s="2033"/>
      <c r="M322" s="2034"/>
      <c r="N322" s="378"/>
    </row>
    <row r="323" spans="1:14" s="532" customFormat="1" ht="17.25" customHeight="1" x14ac:dyDescent="0.25">
      <c r="A323" s="378"/>
      <c r="B323" s="2032"/>
      <c r="C323" s="2033"/>
      <c r="D323" s="2033"/>
      <c r="E323" s="2033"/>
      <c r="F323" s="2033"/>
      <c r="G323" s="2033"/>
      <c r="H323" s="2033"/>
      <c r="I323" s="2033"/>
      <c r="J323" s="2033"/>
      <c r="K323" s="2033"/>
      <c r="L323" s="2033"/>
      <c r="M323" s="2034"/>
      <c r="N323" s="378"/>
    </row>
    <row r="324" spans="1:14" s="532" customFormat="1" ht="17.25" customHeight="1" x14ac:dyDescent="0.25">
      <c r="A324" s="378"/>
      <c r="B324" s="2032"/>
      <c r="C324" s="2033"/>
      <c r="D324" s="2033"/>
      <c r="E324" s="2033"/>
      <c r="F324" s="2033"/>
      <c r="G324" s="2033"/>
      <c r="H324" s="2033"/>
      <c r="I324" s="2033"/>
      <c r="J324" s="2033"/>
      <c r="K324" s="2033"/>
      <c r="L324" s="2033"/>
      <c r="M324" s="2034"/>
      <c r="N324" s="378"/>
    </row>
    <row r="325" spans="1:14" s="532" customFormat="1" ht="17.25" customHeight="1" x14ac:dyDescent="0.25">
      <c r="A325" s="378"/>
      <c r="B325" s="2032"/>
      <c r="C325" s="2033"/>
      <c r="D325" s="2033"/>
      <c r="E325" s="2033"/>
      <c r="F325" s="2033"/>
      <c r="G325" s="2033"/>
      <c r="H325" s="2033"/>
      <c r="I325" s="2033"/>
      <c r="J325" s="2033"/>
      <c r="K325" s="2033"/>
      <c r="L325" s="2033"/>
      <c r="M325" s="2034"/>
      <c r="N325" s="378"/>
    </row>
    <row r="326" spans="1:14" s="532" customFormat="1" ht="17.25" customHeight="1" x14ac:dyDescent="0.25">
      <c r="A326" s="378"/>
      <c r="B326" s="2032"/>
      <c r="C326" s="2033"/>
      <c r="D326" s="2033"/>
      <c r="E326" s="2033"/>
      <c r="F326" s="2033"/>
      <c r="G326" s="2033"/>
      <c r="H326" s="2033"/>
      <c r="I326" s="2033"/>
      <c r="J326" s="2033"/>
      <c r="K326" s="2033"/>
      <c r="L326" s="2033"/>
      <c r="M326" s="2034"/>
      <c r="N326" s="378"/>
    </row>
    <row r="327" spans="1:14" s="532" customFormat="1" ht="17.25" customHeight="1" x14ac:dyDescent="0.25">
      <c r="A327" s="378"/>
      <c r="B327" s="2032"/>
      <c r="C327" s="2033"/>
      <c r="D327" s="2033"/>
      <c r="E327" s="2033"/>
      <c r="F327" s="2033"/>
      <c r="G327" s="2033"/>
      <c r="H327" s="2033"/>
      <c r="I327" s="2033"/>
      <c r="J327" s="2033"/>
      <c r="K327" s="2033"/>
      <c r="L327" s="2033"/>
      <c r="M327" s="2034"/>
      <c r="N327" s="378"/>
    </row>
    <row r="328" spans="1:14" s="532" customFormat="1" ht="17.25" customHeight="1" x14ac:dyDescent="0.25">
      <c r="A328" s="378"/>
      <c r="B328" s="2032"/>
      <c r="C328" s="2033"/>
      <c r="D328" s="2033"/>
      <c r="E328" s="2033"/>
      <c r="F328" s="2033"/>
      <c r="G328" s="2033"/>
      <c r="H328" s="2033"/>
      <c r="I328" s="2033"/>
      <c r="J328" s="2033"/>
      <c r="K328" s="2033"/>
      <c r="L328" s="2033"/>
      <c r="M328" s="2034"/>
      <c r="N328" s="378"/>
    </row>
    <row r="329" spans="1:14" s="532" customFormat="1" ht="17.25" customHeight="1" x14ac:dyDescent="0.25">
      <c r="A329" s="378"/>
      <c r="B329" s="2032"/>
      <c r="C329" s="2033"/>
      <c r="D329" s="2033"/>
      <c r="E329" s="2033"/>
      <c r="F329" s="2033"/>
      <c r="G329" s="2033"/>
      <c r="H329" s="2033"/>
      <c r="I329" s="2033"/>
      <c r="J329" s="2033"/>
      <c r="K329" s="2033"/>
      <c r="L329" s="2033"/>
      <c r="M329" s="2034"/>
      <c r="N329" s="378"/>
    </row>
    <row r="330" spans="1:14" s="532" customFormat="1" ht="17.25" customHeight="1" x14ac:dyDescent="0.25">
      <c r="A330" s="378"/>
      <c r="B330" s="2032"/>
      <c r="C330" s="2033"/>
      <c r="D330" s="2033"/>
      <c r="E330" s="2033"/>
      <c r="F330" s="2033"/>
      <c r="G330" s="2033"/>
      <c r="H330" s="2033"/>
      <c r="I330" s="2033"/>
      <c r="J330" s="2033"/>
      <c r="K330" s="2033"/>
      <c r="L330" s="2033"/>
      <c r="M330" s="2034"/>
      <c r="N330" s="378"/>
    </row>
    <row r="331" spans="1:14" s="532" customFormat="1" ht="17.25" customHeight="1" x14ac:dyDescent="0.25">
      <c r="A331" s="378"/>
      <c r="B331" s="2032"/>
      <c r="C331" s="2033"/>
      <c r="D331" s="2033"/>
      <c r="E331" s="2033"/>
      <c r="F331" s="2033"/>
      <c r="G331" s="2033"/>
      <c r="H331" s="2033"/>
      <c r="I331" s="2033"/>
      <c r="J331" s="2033"/>
      <c r="K331" s="2033"/>
      <c r="L331" s="2033"/>
      <c r="M331" s="2034"/>
      <c r="N331" s="378"/>
    </row>
    <row r="332" spans="1:14" s="532" customFormat="1" ht="17.25" customHeight="1" x14ac:dyDescent="0.25">
      <c r="A332" s="378"/>
      <c r="B332" s="2035"/>
      <c r="C332" s="2036"/>
      <c r="D332" s="2036"/>
      <c r="E332" s="2036"/>
      <c r="F332" s="2036"/>
      <c r="G332" s="2036"/>
      <c r="H332" s="2036"/>
      <c r="I332" s="2036"/>
      <c r="J332" s="2036"/>
      <c r="K332" s="2036"/>
      <c r="L332" s="2036"/>
      <c r="M332" s="2037"/>
      <c r="N332" s="378"/>
    </row>
    <row r="333" spans="1:14" s="532" customFormat="1" ht="17.25" customHeight="1" x14ac:dyDescent="0.25">
      <c r="A333" s="378"/>
      <c r="B333" s="519"/>
      <c r="C333" s="13"/>
      <c r="D333" s="519"/>
      <c r="E333" s="13"/>
      <c r="F333" s="13"/>
      <c r="G333" s="13"/>
      <c r="H333" s="13"/>
      <c r="I333" s="13"/>
      <c r="J333" s="13"/>
      <c r="K333" s="13"/>
      <c r="L333" s="13"/>
      <c r="M333" s="13"/>
      <c r="N333" s="378"/>
    </row>
    <row r="334" spans="1:14" s="532" customFormat="1" ht="17.25" customHeight="1" x14ac:dyDescent="0.25">
      <c r="A334" s="378"/>
      <c r="B334" s="519"/>
      <c r="C334" s="13"/>
      <c r="D334" s="519"/>
      <c r="E334" s="13"/>
      <c r="F334" s="13"/>
      <c r="G334" s="13"/>
      <c r="H334" s="13"/>
      <c r="I334" s="13"/>
      <c r="J334" s="13"/>
      <c r="K334" s="13"/>
      <c r="L334" s="13"/>
      <c r="M334" s="13"/>
      <c r="N334" s="378"/>
    </row>
    <row r="335" spans="1:14" s="532" customFormat="1" ht="17.25" customHeight="1" x14ac:dyDescent="0.25">
      <c r="A335" s="378"/>
      <c r="B335" s="519"/>
      <c r="C335" s="13"/>
      <c r="D335" s="519"/>
      <c r="E335" s="13"/>
      <c r="F335" s="13"/>
      <c r="G335" s="13"/>
      <c r="H335" s="13"/>
      <c r="I335" s="13"/>
      <c r="J335" s="13"/>
      <c r="K335" s="13"/>
      <c r="L335" s="13"/>
      <c r="M335" s="13"/>
      <c r="N335" s="378"/>
    </row>
    <row r="336" spans="1:14" s="532" customFormat="1" ht="17.25" customHeight="1" x14ac:dyDescent="0.25">
      <c r="A336" s="378"/>
      <c r="B336" s="519"/>
      <c r="C336" s="13"/>
      <c r="D336" s="519"/>
      <c r="E336" s="13"/>
      <c r="F336" s="13"/>
      <c r="G336" s="13"/>
      <c r="H336" s="13"/>
      <c r="I336" s="13"/>
      <c r="J336" s="13"/>
      <c r="K336" s="13"/>
      <c r="L336" s="13"/>
      <c r="M336" s="13"/>
      <c r="N336" s="378"/>
    </row>
    <row r="337" spans="1:14" s="532" customFormat="1" ht="17.25" customHeight="1" x14ac:dyDescent="0.25">
      <c r="A337" s="378"/>
      <c r="B337" s="519"/>
      <c r="C337" s="13"/>
      <c r="D337" s="519"/>
      <c r="E337" s="13"/>
      <c r="F337" s="13"/>
      <c r="G337" s="13"/>
      <c r="H337" s="13"/>
      <c r="I337" s="13"/>
      <c r="J337" s="13"/>
      <c r="K337" s="13"/>
      <c r="L337" s="13"/>
      <c r="M337" s="13"/>
      <c r="N337" s="378"/>
    </row>
    <row r="338" spans="1:14" s="532" customFormat="1" ht="17.25" customHeight="1" x14ac:dyDescent="0.25">
      <c r="A338" s="660">
        <v>15</v>
      </c>
      <c r="B338" s="2018" t="s">
        <v>503</v>
      </c>
      <c r="C338" s="2018"/>
      <c r="D338" s="2018"/>
      <c r="E338" s="2018"/>
      <c r="F338" s="2018"/>
      <c r="G338" s="2018"/>
      <c r="H338" s="2018"/>
      <c r="I338" s="2018"/>
      <c r="J338" s="2018"/>
      <c r="K338" s="2018"/>
      <c r="L338" s="2018"/>
      <c r="M338" s="2018"/>
      <c r="N338" s="378"/>
    </row>
    <row r="339" spans="1:14" s="532" customFormat="1" ht="17.25" customHeight="1" x14ac:dyDescent="0.25">
      <c r="A339" s="378"/>
      <c r="B339" s="519"/>
      <c r="C339" s="13"/>
      <c r="D339" s="519"/>
      <c r="E339" s="13"/>
      <c r="F339" s="13"/>
      <c r="G339" s="13"/>
      <c r="H339" s="13"/>
      <c r="I339" s="13"/>
      <c r="J339" s="13"/>
      <c r="K339" s="13"/>
      <c r="L339" s="13"/>
      <c r="M339" s="13"/>
      <c r="N339" s="378"/>
    </row>
    <row r="340" spans="1:14" s="532" customFormat="1" ht="17.25" customHeight="1" x14ac:dyDescent="0.25">
      <c r="A340" s="378"/>
      <c r="B340" s="2029" t="s">
        <v>741</v>
      </c>
      <c r="C340" s="2030"/>
      <c r="D340" s="2030"/>
      <c r="E340" s="2030"/>
      <c r="F340" s="2030"/>
      <c r="G340" s="2030"/>
      <c r="H340" s="2030"/>
      <c r="I340" s="2030"/>
      <c r="J340" s="2030"/>
      <c r="K340" s="2030"/>
      <c r="L340" s="2030"/>
      <c r="M340" s="2031"/>
      <c r="N340" s="378"/>
    </row>
    <row r="341" spans="1:14" s="532" customFormat="1" ht="17.25" customHeight="1" x14ac:dyDescent="0.25">
      <c r="A341" s="378"/>
      <c r="B341" s="2032"/>
      <c r="C341" s="2033"/>
      <c r="D341" s="2033"/>
      <c r="E341" s="2033"/>
      <c r="F341" s="2033"/>
      <c r="G341" s="2033"/>
      <c r="H341" s="2033"/>
      <c r="I341" s="2033"/>
      <c r="J341" s="2033"/>
      <c r="K341" s="2033"/>
      <c r="L341" s="2033"/>
      <c r="M341" s="2034"/>
      <c r="N341" s="378"/>
    </row>
    <row r="342" spans="1:14" s="532" customFormat="1" ht="17.25" customHeight="1" x14ac:dyDescent="0.25">
      <c r="A342" s="378"/>
      <c r="B342" s="2032"/>
      <c r="C342" s="2033"/>
      <c r="D342" s="2033"/>
      <c r="E342" s="2033"/>
      <c r="F342" s="2033"/>
      <c r="G342" s="2033"/>
      <c r="H342" s="2033"/>
      <c r="I342" s="2033"/>
      <c r="J342" s="2033"/>
      <c r="K342" s="2033"/>
      <c r="L342" s="2033"/>
      <c r="M342" s="2034"/>
      <c r="N342" s="378"/>
    </row>
    <row r="343" spans="1:14" s="532" customFormat="1" ht="17.25" customHeight="1" x14ac:dyDescent="0.25">
      <c r="A343" s="378"/>
      <c r="B343" s="2032"/>
      <c r="C343" s="2033"/>
      <c r="D343" s="2033"/>
      <c r="E343" s="2033"/>
      <c r="F343" s="2033"/>
      <c r="G343" s="2033"/>
      <c r="H343" s="2033"/>
      <c r="I343" s="2033"/>
      <c r="J343" s="2033"/>
      <c r="K343" s="2033"/>
      <c r="L343" s="2033"/>
      <c r="M343" s="2034"/>
      <c r="N343" s="378"/>
    </row>
    <row r="344" spans="1:14" s="532" customFormat="1" ht="17.25" customHeight="1" x14ac:dyDescent="0.25">
      <c r="A344" s="378"/>
      <c r="B344" s="2032"/>
      <c r="C344" s="2033"/>
      <c r="D344" s="2033"/>
      <c r="E344" s="2033"/>
      <c r="F344" s="2033"/>
      <c r="G344" s="2033"/>
      <c r="H344" s="2033"/>
      <c r="I344" s="2033"/>
      <c r="J344" s="2033"/>
      <c r="K344" s="2033"/>
      <c r="L344" s="2033"/>
      <c r="M344" s="2034"/>
      <c r="N344" s="378"/>
    </row>
    <row r="345" spans="1:14" s="532" customFormat="1" ht="17.25" customHeight="1" x14ac:dyDescent="0.25">
      <c r="A345" s="378"/>
      <c r="B345" s="2032"/>
      <c r="C345" s="2033"/>
      <c r="D345" s="2033"/>
      <c r="E345" s="2033"/>
      <c r="F345" s="2033"/>
      <c r="G345" s="2033"/>
      <c r="H345" s="2033"/>
      <c r="I345" s="2033"/>
      <c r="J345" s="2033"/>
      <c r="K345" s="2033"/>
      <c r="L345" s="2033"/>
      <c r="M345" s="2034"/>
      <c r="N345" s="378"/>
    </row>
    <row r="346" spans="1:14" s="532" customFormat="1" ht="17.25" customHeight="1" x14ac:dyDescent="0.25">
      <c r="A346" s="378"/>
      <c r="B346" s="2032"/>
      <c r="C346" s="2033"/>
      <c r="D346" s="2033"/>
      <c r="E346" s="2033"/>
      <c r="F346" s="2033"/>
      <c r="G346" s="2033"/>
      <c r="H346" s="2033"/>
      <c r="I346" s="2033"/>
      <c r="J346" s="2033"/>
      <c r="K346" s="2033"/>
      <c r="L346" s="2033"/>
      <c r="M346" s="2034"/>
      <c r="N346" s="378"/>
    </row>
    <row r="347" spans="1:14" s="532" customFormat="1" ht="17.25" customHeight="1" x14ac:dyDescent="0.25">
      <c r="A347" s="378"/>
      <c r="B347" s="2032"/>
      <c r="C347" s="2033"/>
      <c r="D347" s="2033"/>
      <c r="E347" s="2033"/>
      <c r="F347" s="2033"/>
      <c r="G347" s="2033"/>
      <c r="H347" s="2033"/>
      <c r="I347" s="2033"/>
      <c r="J347" s="2033"/>
      <c r="K347" s="2033"/>
      <c r="L347" s="2033"/>
      <c r="M347" s="2034"/>
      <c r="N347" s="378"/>
    </row>
    <row r="348" spans="1:14" s="532" customFormat="1" ht="17.25" customHeight="1" x14ac:dyDescent="0.25">
      <c r="A348" s="378"/>
      <c r="B348" s="2032"/>
      <c r="C348" s="2033"/>
      <c r="D348" s="2033"/>
      <c r="E348" s="2033"/>
      <c r="F348" s="2033"/>
      <c r="G348" s="2033"/>
      <c r="H348" s="2033"/>
      <c r="I348" s="2033"/>
      <c r="J348" s="2033"/>
      <c r="K348" s="2033"/>
      <c r="L348" s="2033"/>
      <c r="M348" s="2034"/>
      <c r="N348" s="378"/>
    </row>
    <row r="349" spans="1:14" s="532" customFormat="1" ht="17.25" customHeight="1" x14ac:dyDescent="0.25">
      <c r="A349" s="378"/>
      <c r="B349" s="2032"/>
      <c r="C349" s="2033"/>
      <c r="D349" s="2033"/>
      <c r="E349" s="2033"/>
      <c r="F349" s="2033"/>
      <c r="G349" s="2033"/>
      <c r="H349" s="2033"/>
      <c r="I349" s="2033"/>
      <c r="J349" s="2033"/>
      <c r="K349" s="2033"/>
      <c r="L349" s="2033"/>
      <c r="M349" s="2034"/>
      <c r="N349" s="378"/>
    </row>
    <row r="350" spans="1:14" s="532" customFormat="1" ht="17.25" customHeight="1" x14ac:dyDescent="0.25">
      <c r="A350" s="378"/>
      <c r="B350" s="2032"/>
      <c r="C350" s="2033"/>
      <c r="D350" s="2033"/>
      <c r="E350" s="2033"/>
      <c r="F350" s="2033"/>
      <c r="G350" s="2033"/>
      <c r="H350" s="2033"/>
      <c r="I350" s="2033"/>
      <c r="J350" s="2033"/>
      <c r="K350" s="2033"/>
      <c r="L350" s="2033"/>
      <c r="M350" s="2034"/>
      <c r="N350" s="378"/>
    </row>
    <row r="351" spans="1:14" s="532" customFormat="1" ht="17.25" customHeight="1" x14ac:dyDescent="0.25">
      <c r="A351" s="378"/>
      <c r="B351" s="2035"/>
      <c r="C351" s="2036"/>
      <c r="D351" s="2036"/>
      <c r="E351" s="2036"/>
      <c r="F351" s="2036"/>
      <c r="G351" s="2036"/>
      <c r="H351" s="2036"/>
      <c r="I351" s="2036"/>
      <c r="J351" s="2036"/>
      <c r="K351" s="2036"/>
      <c r="L351" s="2036"/>
      <c r="M351" s="2037"/>
      <c r="N351" s="378"/>
    </row>
    <row r="352" spans="1:14" s="532" customFormat="1" ht="17.25" customHeight="1" x14ac:dyDescent="0.25">
      <c r="A352" s="378"/>
      <c r="B352" s="519"/>
      <c r="C352" s="13"/>
      <c r="D352" s="519"/>
      <c r="E352" s="13"/>
      <c r="F352" s="13"/>
      <c r="G352" s="13"/>
      <c r="H352" s="13"/>
      <c r="I352" s="13"/>
      <c r="J352" s="13"/>
      <c r="K352" s="13"/>
      <c r="L352" s="13"/>
      <c r="M352" s="13"/>
      <c r="N352" s="378"/>
    </row>
    <row r="353" spans="1:14" s="532" customFormat="1" ht="25.5" customHeight="1" x14ac:dyDescent="0.25">
      <c r="A353" s="378"/>
      <c r="B353" s="2251" t="s">
        <v>742</v>
      </c>
      <c r="C353" s="2251"/>
      <c r="D353" s="2251"/>
      <c r="E353" s="2251"/>
      <c r="F353" s="2251"/>
      <c r="G353" s="2251"/>
      <c r="H353" s="13"/>
      <c r="I353" s="13"/>
      <c r="J353" s="13"/>
      <c r="K353" s="13"/>
      <c r="L353" s="13"/>
      <c r="M353" s="13"/>
      <c r="N353" s="378"/>
    </row>
    <row r="354" spans="1:14" s="532" customFormat="1" ht="17.25" customHeight="1" x14ac:dyDescent="0.25">
      <c r="A354" s="378"/>
      <c r="B354" s="1327"/>
      <c r="C354" s="1551" t="s">
        <v>507</v>
      </c>
      <c r="D354" s="2252" t="s">
        <v>508</v>
      </c>
      <c r="E354" s="2252"/>
      <c r="F354" s="2252" t="s">
        <v>509</v>
      </c>
      <c r="G354" s="2252"/>
      <c r="H354" s="13"/>
      <c r="I354" s="13"/>
      <c r="J354" s="13"/>
      <c r="K354" s="13"/>
      <c r="L354" s="13"/>
      <c r="M354" s="13"/>
      <c r="N354" s="378"/>
    </row>
    <row r="355" spans="1:14" s="532" customFormat="1" ht="52.5" customHeight="1" x14ac:dyDescent="0.25">
      <c r="A355" s="378"/>
      <c r="B355" s="1328" t="s">
        <v>743</v>
      </c>
      <c r="C355" s="1326" t="s">
        <v>744</v>
      </c>
      <c r="D355" s="2254" t="s">
        <v>745</v>
      </c>
      <c r="E355" s="2255"/>
      <c r="F355" s="2253"/>
      <c r="G355" s="2253"/>
      <c r="H355" s="13"/>
      <c r="I355" s="13"/>
      <c r="J355" s="13"/>
      <c r="K355" s="13"/>
      <c r="L355" s="13"/>
      <c r="M355" s="13"/>
      <c r="N355" s="378"/>
    </row>
    <row r="356" spans="1:14" s="532" customFormat="1" ht="43.5" customHeight="1" x14ac:dyDescent="0.25">
      <c r="A356" s="378"/>
      <c r="B356" s="1328" t="s">
        <v>746</v>
      </c>
      <c r="C356" s="1023"/>
      <c r="D356" s="2254" t="s">
        <v>747</v>
      </c>
      <c r="E356" s="2255"/>
      <c r="F356" s="2254" t="s">
        <v>748</v>
      </c>
      <c r="G356" s="2255"/>
      <c r="H356" s="13"/>
      <c r="I356" s="13"/>
      <c r="J356" s="13"/>
      <c r="K356" s="13"/>
      <c r="L356" s="13"/>
      <c r="M356" s="13"/>
      <c r="N356" s="378"/>
    </row>
    <row r="357" spans="1:14" s="532" customFormat="1" ht="82.5" customHeight="1" x14ac:dyDescent="0.25">
      <c r="A357" s="378"/>
      <c r="B357" s="1328" t="s">
        <v>749</v>
      </c>
      <c r="C357" s="1023"/>
      <c r="D357" s="2253"/>
      <c r="E357" s="2253"/>
      <c r="F357" s="2254" t="s">
        <v>750</v>
      </c>
      <c r="G357" s="2255"/>
      <c r="H357" s="13"/>
      <c r="I357" s="13"/>
      <c r="J357" s="13"/>
      <c r="K357" s="13"/>
      <c r="L357" s="13"/>
      <c r="M357" s="13"/>
      <c r="N357" s="378"/>
    </row>
    <row r="358" spans="1:14" s="532" customFormat="1" ht="17.25" customHeight="1" x14ac:dyDescent="0.25">
      <c r="A358" s="378"/>
      <c r="B358" s="519"/>
      <c r="C358" s="13"/>
      <c r="D358" s="519"/>
      <c r="E358" s="13"/>
      <c r="F358" s="13"/>
      <c r="G358" s="13"/>
      <c r="H358" s="13"/>
      <c r="I358" s="13"/>
      <c r="J358" s="13"/>
      <c r="K358" s="13"/>
      <c r="L358" s="13"/>
      <c r="M358" s="13"/>
      <c r="N358" s="378"/>
    </row>
    <row r="359" spans="1:14" s="532" customFormat="1" ht="17.25" customHeight="1" x14ac:dyDescent="0.25">
      <c r="A359" s="660">
        <v>16</v>
      </c>
      <c r="B359" s="2018" t="s">
        <v>518</v>
      </c>
      <c r="C359" s="2018"/>
      <c r="D359" s="2018"/>
      <c r="E359" s="2018"/>
      <c r="F359" s="2018"/>
      <c r="G359" s="2018"/>
      <c r="H359" s="2018"/>
      <c r="I359" s="2018"/>
      <c r="J359" s="2018"/>
      <c r="K359" s="2018"/>
      <c r="L359" s="2018"/>
      <c r="M359" s="2018"/>
      <c r="N359" s="378"/>
    </row>
    <row r="360" spans="1:14" s="532" customFormat="1" ht="17.25" customHeight="1" x14ac:dyDescent="0.25">
      <c r="A360" s="378"/>
      <c r="B360" s="519"/>
      <c r="C360" s="13"/>
      <c r="D360" s="519"/>
      <c r="E360" s="13"/>
      <c r="F360" s="13"/>
      <c r="G360" s="13"/>
      <c r="H360" s="13"/>
      <c r="I360" s="13"/>
      <c r="J360" s="13"/>
      <c r="K360" s="13"/>
      <c r="L360" s="13"/>
      <c r="M360" s="13"/>
      <c r="N360" s="378"/>
    </row>
    <row r="361" spans="1:14" s="532" customFormat="1" ht="17.25" customHeight="1" x14ac:dyDescent="0.25">
      <c r="A361" s="378"/>
      <c r="B361" s="2029" t="s">
        <v>751</v>
      </c>
      <c r="C361" s="2030"/>
      <c r="D361" s="2030"/>
      <c r="E361" s="2030"/>
      <c r="F361" s="2030"/>
      <c r="G361" s="2030"/>
      <c r="H361" s="2030"/>
      <c r="I361" s="2030"/>
      <c r="J361" s="2030"/>
      <c r="K361" s="2030"/>
      <c r="L361" s="2030"/>
      <c r="M361" s="2031"/>
      <c r="N361" s="378"/>
    </row>
    <row r="362" spans="1:14" s="532" customFormat="1" ht="17.25" customHeight="1" x14ac:dyDescent="0.25">
      <c r="A362" s="378"/>
      <c r="B362" s="2032"/>
      <c r="C362" s="2033"/>
      <c r="D362" s="2033"/>
      <c r="E362" s="2033"/>
      <c r="F362" s="2033"/>
      <c r="G362" s="2033"/>
      <c r="H362" s="2033"/>
      <c r="I362" s="2033"/>
      <c r="J362" s="2033"/>
      <c r="K362" s="2033"/>
      <c r="L362" s="2033"/>
      <c r="M362" s="2034"/>
      <c r="N362" s="378"/>
    </row>
    <row r="363" spans="1:14" s="532" customFormat="1" ht="17.25" customHeight="1" x14ac:dyDescent="0.25">
      <c r="A363" s="378"/>
      <c r="B363" s="2032"/>
      <c r="C363" s="2033"/>
      <c r="D363" s="2033"/>
      <c r="E363" s="2033"/>
      <c r="F363" s="2033"/>
      <c r="G363" s="2033"/>
      <c r="H363" s="2033"/>
      <c r="I363" s="2033"/>
      <c r="J363" s="2033"/>
      <c r="K363" s="2033"/>
      <c r="L363" s="2033"/>
      <c r="M363" s="2034"/>
      <c r="N363" s="378"/>
    </row>
    <row r="364" spans="1:14" s="532" customFormat="1" ht="17.25" customHeight="1" x14ac:dyDescent="0.25">
      <c r="A364" s="378"/>
      <c r="B364" s="2032"/>
      <c r="C364" s="2033"/>
      <c r="D364" s="2033"/>
      <c r="E364" s="2033"/>
      <c r="F364" s="2033"/>
      <c r="G364" s="2033"/>
      <c r="H364" s="2033"/>
      <c r="I364" s="2033"/>
      <c r="J364" s="2033"/>
      <c r="K364" s="2033"/>
      <c r="L364" s="2033"/>
      <c r="M364" s="2034"/>
      <c r="N364" s="378"/>
    </row>
    <row r="365" spans="1:14" s="532" customFormat="1" ht="17.25" customHeight="1" x14ac:dyDescent="0.25">
      <c r="A365" s="378"/>
      <c r="B365" s="2032"/>
      <c r="C365" s="2033"/>
      <c r="D365" s="2033"/>
      <c r="E365" s="2033"/>
      <c r="F365" s="2033"/>
      <c r="G365" s="2033"/>
      <c r="H365" s="2033"/>
      <c r="I365" s="2033"/>
      <c r="J365" s="2033"/>
      <c r="K365" s="2033"/>
      <c r="L365" s="2033"/>
      <c r="M365" s="2034"/>
      <c r="N365" s="378"/>
    </row>
    <row r="366" spans="1:14" s="532" customFormat="1" ht="17.25" customHeight="1" x14ac:dyDescent="0.25">
      <c r="A366" s="378"/>
      <c r="B366" s="2032"/>
      <c r="C366" s="2033"/>
      <c r="D366" s="2033"/>
      <c r="E366" s="2033"/>
      <c r="F366" s="2033"/>
      <c r="G366" s="2033"/>
      <c r="H366" s="2033"/>
      <c r="I366" s="2033"/>
      <c r="J366" s="2033"/>
      <c r="K366" s="2033"/>
      <c r="L366" s="2033"/>
      <c r="M366" s="2034"/>
      <c r="N366" s="378"/>
    </row>
    <row r="367" spans="1:14" s="532" customFormat="1" ht="17.25" customHeight="1" x14ac:dyDescent="0.25">
      <c r="A367" s="378"/>
      <c r="B367" s="2032"/>
      <c r="C367" s="2033"/>
      <c r="D367" s="2033"/>
      <c r="E367" s="2033"/>
      <c r="F367" s="2033"/>
      <c r="G367" s="2033"/>
      <c r="H367" s="2033"/>
      <c r="I367" s="2033"/>
      <c r="J367" s="2033"/>
      <c r="K367" s="2033"/>
      <c r="L367" s="2033"/>
      <c r="M367" s="2034"/>
      <c r="N367" s="378"/>
    </row>
    <row r="368" spans="1:14" s="532" customFormat="1" ht="17.25" customHeight="1" x14ac:dyDescent="0.25">
      <c r="A368" s="378"/>
      <c r="B368" s="2032"/>
      <c r="C368" s="2033"/>
      <c r="D368" s="2033"/>
      <c r="E368" s="2033"/>
      <c r="F368" s="2033"/>
      <c r="G368" s="2033"/>
      <c r="H368" s="2033"/>
      <c r="I368" s="2033"/>
      <c r="J368" s="2033"/>
      <c r="K368" s="2033"/>
      <c r="L368" s="2033"/>
      <c r="M368" s="2034"/>
      <c r="N368" s="378"/>
    </row>
    <row r="369" spans="1:14" s="532" customFormat="1" ht="17.25" customHeight="1" x14ac:dyDescent="0.25">
      <c r="A369" s="378"/>
      <c r="B369" s="2032"/>
      <c r="C369" s="2033"/>
      <c r="D369" s="2033"/>
      <c r="E369" s="2033"/>
      <c r="F369" s="2033"/>
      <c r="G369" s="2033"/>
      <c r="H369" s="2033"/>
      <c r="I369" s="2033"/>
      <c r="J369" s="2033"/>
      <c r="K369" s="2033"/>
      <c r="L369" s="2033"/>
      <c r="M369" s="2034"/>
      <c r="N369" s="378"/>
    </row>
    <row r="370" spans="1:14" s="532" customFormat="1" ht="17.25" customHeight="1" x14ac:dyDescent="0.25">
      <c r="A370" s="378"/>
      <c r="B370" s="2032"/>
      <c r="C370" s="2033"/>
      <c r="D370" s="2033"/>
      <c r="E370" s="2033"/>
      <c r="F370" s="2033"/>
      <c r="G370" s="2033"/>
      <c r="H370" s="2033"/>
      <c r="I370" s="2033"/>
      <c r="J370" s="2033"/>
      <c r="K370" s="2033"/>
      <c r="L370" s="2033"/>
      <c r="M370" s="2034"/>
      <c r="N370" s="378"/>
    </row>
    <row r="371" spans="1:14" s="532" customFormat="1" ht="17.25" customHeight="1" x14ac:dyDescent="0.25">
      <c r="A371" s="378"/>
      <c r="B371" s="2032"/>
      <c r="C371" s="2033"/>
      <c r="D371" s="2033"/>
      <c r="E371" s="2033"/>
      <c r="F371" s="2033"/>
      <c r="G371" s="2033"/>
      <c r="H371" s="2033"/>
      <c r="I371" s="2033"/>
      <c r="J371" s="2033"/>
      <c r="K371" s="2033"/>
      <c r="L371" s="2033"/>
      <c r="M371" s="2034"/>
      <c r="N371" s="378"/>
    </row>
    <row r="372" spans="1:14" s="532" customFormat="1" ht="17.25" customHeight="1" x14ac:dyDescent="0.25">
      <c r="A372" s="378"/>
      <c r="B372" s="2032"/>
      <c r="C372" s="2033"/>
      <c r="D372" s="2033"/>
      <c r="E372" s="2033"/>
      <c r="F372" s="2033"/>
      <c r="G372" s="2033"/>
      <c r="H372" s="2033"/>
      <c r="I372" s="2033"/>
      <c r="J372" s="2033"/>
      <c r="K372" s="2033"/>
      <c r="L372" s="2033"/>
      <c r="M372" s="2034"/>
      <c r="N372" s="378"/>
    </row>
    <row r="373" spans="1:14" s="532" customFormat="1" ht="17.25" customHeight="1" x14ac:dyDescent="0.25">
      <c r="A373" s="378"/>
      <c r="B373" s="2035"/>
      <c r="C373" s="2036"/>
      <c r="D373" s="2036"/>
      <c r="E373" s="2036"/>
      <c r="F373" s="2036"/>
      <c r="G373" s="2036"/>
      <c r="H373" s="2036"/>
      <c r="I373" s="2036"/>
      <c r="J373" s="2036"/>
      <c r="K373" s="2036"/>
      <c r="L373" s="2036"/>
      <c r="M373" s="2037"/>
      <c r="N373" s="378"/>
    </row>
    <row r="374" spans="1:14" s="532" customFormat="1" ht="12.75" customHeight="1" x14ac:dyDescent="0.25">
      <c r="A374" s="378"/>
      <c r="B374" s="519"/>
      <c r="C374" s="13"/>
      <c r="D374" s="519"/>
      <c r="E374" s="13"/>
      <c r="F374" s="13"/>
      <c r="G374" s="13"/>
      <c r="H374" s="13"/>
      <c r="I374" s="13"/>
      <c r="J374" s="13"/>
      <c r="K374" s="13"/>
      <c r="L374" s="13"/>
      <c r="M374" s="13"/>
      <c r="N374" s="378"/>
    </row>
    <row r="375" spans="1:14" s="532" customFormat="1" ht="16.5" customHeight="1" x14ac:dyDescent="0.25">
      <c r="A375" s="378"/>
      <c r="B375" s="2029" t="s">
        <v>752</v>
      </c>
      <c r="C375" s="2030"/>
      <c r="D375" s="2030"/>
      <c r="E375" s="2030"/>
      <c r="F375" s="2030"/>
      <c r="G375" s="2030"/>
      <c r="H375" s="2030"/>
      <c r="I375" s="2030"/>
      <c r="J375" s="2030"/>
      <c r="K375" s="2030"/>
      <c r="L375" s="2030"/>
      <c r="M375" s="2031"/>
      <c r="N375" s="378"/>
    </row>
    <row r="376" spans="1:14" s="532" customFormat="1" ht="16.5" customHeight="1" x14ac:dyDescent="0.25">
      <c r="A376" s="378"/>
      <c r="B376" s="2032"/>
      <c r="C376" s="2033"/>
      <c r="D376" s="2033"/>
      <c r="E376" s="2033"/>
      <c r="F376" s="2033"/>
      <c r="G376" s="2033"/>
      <c r="H376" s="2033"/>
      <c r="I376" s="2033"/>
      <c r="J376" s="2033"/>
      <c r="K376" s="2033"/>
      <c r="L376" s="2033"/>
      <c r="M376" s="2034"/>
      <c r="N376" s="378"/>
    </row>
    <row r="377" spans="1:14" s="532" customFormat="1" ht="16.5" customHeight="1" x14ac:dyDescent="0.25">
      <c r="A377" s="378"/>
      <c r="B377" s="2032"/>
      <c r="C377" s="2033"/>
      <c r="D377" s="2033"/>
      <c r="E377" s="2033"/>
      <c r="F377" s="2033"/>
      <c r="G377" s="2033"/>
      <c r="H377" s="2033"/>
      <c r="I377" s="2033"/>
      <c r="J377" s="2033"/>
      <c r="K377" s="2033"/>
      <c r="L377" s="2033"/>
      <c r="M377" s="2034"/>
      <c r="N377" s="378"/>
    </row>
    <row r="378" spans="1:14" s="532" customFormat="1" ht="16.5" customHeight="1" x14ac:dyDescent="0.25">
      <c r="A378" s="378"/>
      <c r="B378" s="2032"/>
      <c r="C378" s="2033"/>
      <c r="D378" s="2033"/>
      <c r="E378" s="2033"/>
      <c r="F378" s="2033"/>
      <c r="G378" s="2033"/>
      <c r="H378" s="2033"/>
      <c r="I378" s="2033"/>
      <c r="J378" s="2033"/>
      <c r="K378" s="2033"/>
      <c r="L378" s="2033"/>
      <c r="M378" s="2034"/>
      <c r="N378" s="378"/>
    </row>
    <row r="379" spans="1:14" s="532" customFormat="1" ht="16.5" customHeight="1" x14ac:dyDescent="0.25">
      <c r="A379" s="378"/>
      <c r="B379" s="2032"/>
      <c r="C379" s="2033"/>
      <c r="D379" s="2033"/>
      <c r="E379" s="2033"/>
      <c r="F379" s="2033"/>
      <c r="G379" s="2033"/>
      <c r="H379" s="2033"/>
      <c r="I379" s="2033"/>
      <c r="J379" s="2033"/>
      <c r="K379" s="2033"/>
      <c r="L379" s="2033"/>
      <c r="M379" s="2034"/>
      <c r="N379" s="378"/>
    </row>
    <row r="380" spans="1:14" s="532" customFormat="1" ht="16.5" customHeight="1" x14ac:dyDescent="0.25">
      <c r="A380" s="378"/>
      <c r="B380" s="2035"/>
      <c r="C380" s="2036"/>
      <c r="D380" s="2036"/>
      <c r="E380" s="2036"/>
      <c r="F380" s="2036"/>
      <c r="G380" s="2036"/>
      <c r="H380" s="2036"/>
      <c r="I380" s="2036"/>
      <c r="J380" s="2036"/>
      <c r="K380" s="2036"/>
      <c r="L380" s="2036"/>
      <c r="M380" s="2037"/>
      <c r="N380" s="378"/>
    </row>
    <row r="381" spans="1:14" s="532" customFormat="1" ht="12.75" customHeight="1" x14ac:dyDescent="0.25">
      <c r="A381" s="378"/>
      <c r="B381" s="519"/>
      <c r="C381" s="13"/>
      <c r="D381" s="519"/>
      <c r="E381" s="13"/>
      <c r="F381" s="13"/>
      <c r="G381" s="13"/>
      <c r="H381" s="13"/>
      <c r="I381" s="13"/>
      <c r="J381" s="13"/>
      <c r="K381" s="13"/>
      <c r="L381" s="13"/>
      <c r="M381" s="13"/>
      <c r="N381" s="378"/>
    </row>
    <row r="382" spans="1:14" s="532" customFormat="1" ht="16.5" customHeight="1" x14ac:dyDescent="0.25">
      <c r="A382" s="378"/>
      <c r="B382" s="2029" t="s">
        <v>753</v>
      </c>
      <c r="C382" s="2030"/>
      <c r="D382" s="2030"/>
      <c r="E382" s="2030"/>
      <c r="F382" s="2030"/>
      <c r="G382" s="2030"/>
      <c r="H382" s="2030"/>
      <c r="I382" s="2030"/>
      <c r="J382" s="2030"/>
      <c r="K382" s="2030"/>
      <c r="L382" s="2030"/>
      <c r="M382" s="2031"/>
      <c r="N382" s="378"/>
    </row>
    <row r="383" spans="1:14" s="532" customFormat="1" ht="16.5" customHeight="1" x14ac:dyDescent="0.25">
      <c r="A383" s="378"/>
      <c r="B383" s="2032"/>
      <c r="C383" s="2033"/>
      <c r="D383" s="2033"/>
      <c r="E383" s="2033"/>
      <c r="F383" s="2033"/>
      <c r="G383" s="2033"/>
      <c r="H383" s="2033"/>
      <c r="I383" s="2033"/>
      <c r="J383" s="2033"/>
      <c r="K383" s="2033"/>
      <c r="L383" s="2033"/>
      <c r="M383" s="2034"/>
      <c r="N383" s="378"/>
    </row>
    <row r="384" spans="1:14" s="532" customFormat="1" ht="16.5" customHeight="1" x14ac:dyDescent="0.25">
      <c r="A384" s="378"/>
      <c r="B384" s="2032"/>
      <c r="C384" s="2033"/>
      <c r="D384" s="2033"/>
      <c r="E384" s="2033"/>
      <c r="F384" s="2033"/>
      <c r="G384" s="2033"/>
      <c r="H384" s="2033"/>
      <c r="I384" s="2033"/>
      <c r="J384" s="2033"/>
      <c r="K384" s="2033"/>
      <c r="L384" s="2033"/>
      <c r="M384" s="2034"/>
      <c r="N384" s="378"/>
    </row>
    <row r="385" spans="1:14" s="532" customFormat="1" ht="16.5" customHeight="1" x14ac:dyDescent="0.25">
      <c r="A385" s="378"/>
      <c r="B385" s="2032"/>
      <c r="C385" s="2033"/>
      <c r="D385" s="2033"/>
      <c r="E385" s="2033"/>
      <c r="F385" s="2033"/>
      <c r="G385" s="2033"/>
      <c r="H385" s="2033"/>
      <c r="I385" s="2033"/>
      <c r="J385" s="2033"/>
      <c r="K385" s="2033"/>
      <c r="L385" s="2033"/>
      <c r="M385" s="2034"/>
      <c r="N385" s="378"/>
    </row>
    <row r="386" spans="1:14" s="532" customFormat="1" ht="18.75" customHeight="1" x14ac:dyDescent="0.25">
      <c r="A386" s="378"/>
      <c r="B386" s="2032"/>
      <c r="C386" s="2033"/>
      <c r="D386" s="2033"/>
      <c r="E386" s="2033"/>
      <c r="F386" s="2033"/>
      <c r="G386" s="2033"/>
      <c r="H386" s="2033"/>
      <c r="I386" s="2033"/>
      <c r="J386" s="2033"/>
      <c r="K386" s="2033"/>
      <c r="L386" s="2033"/>
      <c r="M386" s="2034"/>
      <c r="N386" s="378"/>
    </row>
    <row r="387" spans="1:14" s="532" customFormat="1" ht="21.75" customHeight="1" x14ac:dyDescent="0.25">
      <c r="A387" s="378"/>
      <c r="B387" s="2035"/>
      <c r="C387" s="2036"/>
      <c r="D387" s="2036"/>
      <c r="E387" s="2036"/>
      <c r="F387" s="2036"/>
      <c r="G387" s="2036"/>
      <c r="H387" s="2036"/>
      <c r="I387" s="2036"/>
      <c r="J387" s="2036"/>
      <c r="K387" s="2036"/>
      <c r="L387" s="2036"/>
      <c r="M387" s="2037"/>
      <c r="N387" s="378"/>
    </row>
    <row r="388" spans="1:14" s="532" customFormat="1" ht="12.75" customHeight="1" x14ac:dyDescent="0.25">
      <c r="A388" s="378"/>
      <c r="B388" s="1045"/>
      <c r="C388" s="1045"/>
      <c r="D388" s="1045"/>
      <c r="E388" s="1045"/>
      <c r="F388" s="1045"/>
      <c r="G388" s="1045"/>
      <c r="H388" s="1045"/>
      <c r="I388" s="1045"/>
      <c r="J388" s="1045"/>
      <c r="K388" s="1045"/>
      <c r="L388" s="1045"/>
      <c r="M388" s="1045"/>
      <c r="N388" s="378"/>
    </row>
    <row r="389" spans="1:14" s="532" customFormat="1" ht="18.75" customHeight="1" x14ac:dyDescent="0.25">
      <c r="A389" s="378"/>
      <c r="B389" s="1045"/>
      <c r="C389" s="1045"/>
      <c r="D389" s="1045"/>
      <c r="E389" s="1045"/>
      <c r="F389" s="1045"/>
      <c r="G389" s="1045"/>
      <c r="H389" s="1045"/>
      <c r="I389" s="1045"/>
      <c r="J389" s="1045"/>
      <c r="K389" s="1045"/>
      <c r="L389" s="1045"/>
      <c r="M389" s="1045"/>
      <c r="N389" s="378"/>
    </row>
    <row r="390" spans="1:14" s="532" customFormat="1" ht="18.75" customHeight="1" x14ac:dyDescent="0.25">
      <c r="A390" s="378"/>
      <c r="B390" s="2029" t="s">
        <v>754</v>
      </c>
      <c r="C390" s="2030"/>
      <c r="D390" s="2030"/>
      <c r="E390" s="2030"/>
      <c r="F390" s="2030"/>
      <c r="G390" s="2030"/>
      <c r="H390" s="2030"/>
      <c r="I390" s="2030"/>
      <c r="J390" s="2030"/>
      <c r="K390" s="2030"/>
      <c r="L390" s="2030"/>
      <c r="M390" s="2031"/>
      <c r="N390" s="378"/>
    </row>
    <row r="391" spans="1:14" s="532" customFormat="1" ht="18.75" customHeight="1" x14ac:dyDescent="0.25">
      <c r="A391" s="378"/>
      <c r="B391" s="2032"/>
      <c r="C391" s="2033"/>
      <c r="D391" s="2033"/>
      <c r="E391" s="2033"/>
      <c r="F391" s="2033"/>
      <c r="G391" s="2033"/>
      <c r="H391" s="2033"/>
      <c r="I391" s="2033"/>
      <c r="J391" s="2033"/>
      <c r="K391" s="2033"/>
      <c r="L391" s="2033"/>
      <c r="M391" s="2034"/>
      <c r="N391" s="378"/>
    </row>
    <row r="392" spans="1:14" s="532" customFormat="1" ht="18.75" customHeight="1" x14ac:dyDescent="0.25">
      <c r="A392" s="378"/>
      <c r="B392" s="2032"/>
      <c r="C392" s="2033"/>
      <c r="D392" s="2033"/>
      <c r="E392" s="2033"/>
      <c r="F392" s="2033"/>
      <c r="G392" s="2033"/>
      <c r="H392" s="2033"/>
      <c r="I392" s="2033"/>
      <c r="J392" s="2033"/>
      <c r="K392" s="2033"/>
      <c r="L392" s="2033"/>
      <c r="M392" s="2034"/>
      <c r="N392" s="378"/>
    </row>
    <row r="393" spans="1:14" s="532" customFormat="1" ht="18.75" customHeight="1" x14ac:dyDescent="0.25">
      <c r="A393" s="378"/>
      <c r="B393" s="2032"/>
      <c r="C393" s="2033"/>
      <c r="D393" s="2033"/>
      <c r="E393" s="2033"/>
      <c r="F393" s="2033"/>
      <c r="G393" s="2033"/>
      <c r="H393" s="2033"/>
      <c r="I393" s="2033"/>
      <c r="J393" s="2033"/>
      <c r="K393" s="2033"/>
      <c r="L393" s="2033"/>
      <c r="M393" s="2034"/>
      <c r="N393" s="378"/>
    </row>
    <row r="394" spans="1:14" s="532" customFormat="1" ht="18.75" customHeight="1" x14ac:dyDescent="0.25">
      <c r="A394" s="378"/>
      <c r="B394" s="2032"/>
      <c r="C394" s="2033"/>
      <c r="D394" s="2033"/>
      <c r="E394" s="2033"/>
      <c r="F394" s="2033"/>
      <c r="G394" s="2033"/>
      <c r="H394" s="2033"/>
      <c r="I394" s="2033"/>
      <c r="J394" s="2033"/>
      <c r="K394" s="2033"/>
      <c r="L394" s="2033"/>
      <c r="M394" s="2034"/>
      <c r="N394" s="378"/>
    </row>
    <row r="395" spans="1:14" s="532" customFormat="1" ht="18.75" customHeight="1" x14ac:dyDescent="0.25">
      <c r="A395" s="378"/>
      <c r="B395" s="2032"/>
      <c r="C395" s="2033"/>
      <c r="D395" s="2033"/>
      <c r="E395" s="2033"/>
      <c r="F395" s="2033"/>
      <c r="G395" s="2033"/>
      <c r="H395" s="2033"/>
      <c r="I395" s="2033"/>
      <c r="J395" s="2033"/>
      <c r="K395" s="2033"/>
      <c r="L395" s="2033"/>
      <c r="M395" s="2034"/>
      <c r="N395" s="378"/>
    </row>
    <row r="396" spans="1:14" s="532" customFormat="1" ht="18.75" customHeight="1" x14ac:dyDescent="0.25">
      <c r="A396" s="378"/>
      <c r="B396" s="2032"/>
      <c r="C396" s="2033"/>
      <c r="D396" s="2033"/>
      <c r="E396" s="2033"/>
      <c r="F396" s="2033"/>
      <c r="G396" s="2033"/>
      <c r="H396" s="2033"/>
      <c r="I396" s="2033"/>
      <c r="J396" s="2033"/>
      <c r="K396" s="2033"/>
      <c r="L396" s="2033"/>
      <c r="M396" s="2034"/>
      <c r="N396" s="378"/>
    </row>
    <row r="397" spans="1:14" s="532" customFormat="1" ht="18.75" customHeight="1" x14ac:dyDescent="0.25">
      <c r="A397" s="378"/>
      <c r="B397" s="2032"/>
      <c r="C397" s="2033"/>
      <c r="D397" s="2033"/>
      <c r="E397" s="2033"/>
      <c r="F397" s="2033"/>
      <c r="G397" s="2033"/>
      <c r="H397" s="2033"/>
      <c r="I397" s="2033"/>
      <c r="J397" s="2033"/>
      <c r="K397" s="2033"/>
      <c r="L397" s="2033"/>
      <c r="M397" s="2034"/>
      <c r="N397" s="378"/>
    </row>
    <row r="398" spans="1:14" s="532" customFormat="1" ht="18.75" customHeight="1" x14ac:dyDescent="0.25">
      <c r="A398" s="378"/>
      <c r="B398" s="2032"/>
      <c r="C398" s="2033"/>
      <c r="D398" s="2033"/>
      <c r="E398" s="2033"/>
      <c r="F398" s="2033"/>
      <c r="G398" s="2033"/>
      <c r="H398" s="2033"/>
      <c r="I398" s="2033"/>
      <c r="J398" s="2033"/>
      <c r="K398" s="2033"/>
      <c r="L398" s="2033"/>
      <c r="M398" s="2034"/>
      <c r="N398" s="378"/>
    </row>
    <row r="399" spans="1:14" s="532" customFormat="1" ht="18.75" customHeight="1" x14ac:dyDescent="0.25">
      <c r="A399" s="378"/>
      <c r="B399" s="2032"/>
      <c r="C399" s="2033"/>
      <c r="D399" s="2033"/>
      <c r="E399" s="2033"/>
      <c r="F399" s="2033"/>
      <c r="G399" s="2033"/>
      <c r="H399" s="2033"/>
      <c r="I399" s="2033"/>
      <c r="J399" s="2033"/>
      <c r="K399" s="2033"/>
      <c r="L399" s="2033"/>
      <c r="M399" s="2034"/>
      <c r="N399" s="378"/>
    </row>
    <row r="400" spans="1:14" s="532" customFormat="1" ht="18.75" customHeight="1" x14ac:dyDescent="0.25">
      <c r="A400" s="378"/>
      <c r="B400" s="2032"/>
      <c r="C400" s="2033"/>
      <c r="D400" s="2033"/>
      <c r="E400" s="2033"/>
      <c r="F400" s="2033"/>
      <c r="G400" s="2033"/>
      <c r="H400" s="2033"/>
      <c r="I400" s="2033"/>
      <c r="J400" s="2033"/>
      <c r="K400" s="2033"/>
      <c r="L400" s="2033"/>
      <c r="M400" s="2034"/>
      <c r="N400" s="378"/>
    </row>
    <row r="401" spans="1:14" s="532" customFormat="1" ht="18.75" customHeight="1" x14ac:dyDescent="0.25">
      <c r="A401" s="378"/>
      <c r="B401" s="2032"/>
      <c r="C401" s="2033"/>
      <c r="D401" s="2033"/>
      <c r="E401" s="2033"/>
      <c r="F401" s="2033"/>
      <c r="G401" s="2033"/>
      <c r="H401" s="2033"/>
      <c r="I401" s="2033"/>
      <c r="J401" s="2033"/>
      <c r="K401" s="2033"/>
      <c r="L401" s="2033"/>
      <c r="M401" s="2034"/>
      <c r="N401" s="378"/>
    </row>
    <row r="402" spans="1:14" s="532" customFormat="1" ht="18.75" customHeight="1" x14ac:dyDescent="0.25">
      <c r="A402" s="378"/>
      <c r="B402" s="2032"/>
      <c r="C402" s="2033"/>
      <c r="D402" s="2033"/>
      <c r="E402" s="2033"/>
      <c r="F402" s="2033"/>
      <c r="G402" s="2033"/>
      <c r="H402" s="2033"/>
      <c r="I402" s="2033"/>
      <c r="J402" s="2033"/>
      <c r="K402" s="2033"/>
      <c r="L402" s="2033"/>
      <c r="M402" s="2034"/>
      <c r="N402" s="378"/>
    </row>
    <row r="403" spans="1:14" s="532" customFormat="1" ht="18.75" customHeight="1" x14ac:dyDescent="0.25">
      <c r="A403" s="378"/>
      <c r="B403" s="2032"/>
      <c r="C403" s="2033"/>
      <c r="D403" s="2033"/>
      <c r="E403" s="2033"/>
      <c r="F403" s="2033"/>
      <c r="G403" s="2033"/>
      <c r="H403" s="2033"/>
      <c r="I403" s="2033"/>
      <c r="J403" s="2033"/>
      <c r="K403" s="2033"/>
      <c r="L403" s="2033"/>
      <c r="M403" s="2034"/>
      <c r="N403" s="378"/>
    </row>
    <row r="404" spans="1:14" s="532" customFormat="1" ht="18.75" customHeight="1" x14ac:dyDescent="0.25">
      <c r="A404" s="378"/>
      <c r="B404" s="2032"/>
      <c r="C404" s="2033"/>
      <c r="D404" s="2033"/>
      <c r="E404" s="2033"/>
      <c r="F404" s="2033"/>
      <c r="G404" s="2033"/>
      <c r="H404" s="2033"/>
      <c r="I404" s="2033"/>
      <c r="J404" s="2033"/>
      <c r="K404" s="2033"/>
      <c r="L404" s="2033"/>
      <c r="M404" s="2034"/>
      <c r="N404" s="378"/>
    </row>
    <row r="405" spans="1:14" s="532" customFormat="1" ht="18.75" customHeight="1" x14ac:dyDescent="0.25">
      <c r="A405" s="378"/>
      <c r="B405" s="2032"/>
      <c r="C405" s="2033"/>
      <c r="D405" s="2033"/>
      <c r="E405" s="2033"/>
      <c r="F405" s="2033"/>
      <c r="G405" s="2033"/>
      <c r="H405" s="2033"/>
      <c r="I405" s="2033"/>
      <c r="J405" s="2033"/>
      <c r="K405" s="2033"/>
      <c r="L405" s="2033"/>
      <c r="M405" s="2034"/>
      <c r="N405" s="378"/>
    </row>
    <row r="406" spans="1:14" s="532" customFormat="1" ht="18.75" customHeight="1" x14ac:dyDescent="0.25">
      <c r="A406" s="378"/>
      <c r="B406" s="2032"/>
      <c r="C406" s="2033"/>
      <c r="D406" s="2033"/>
      <c r="E406" s="2033"/>
      <c r="F406" s="2033"/>
      <c r="G406" s="2033"/>
      <c r="H406" s="2033"/>
      <c r="I406" s="2033"/>
      <c r="J406" s="2033"/>
      <c r="K406" s="2033"/>
      <c r="L406" s="2033"/>
      <c r="M406" s="2034"/>
      <c r="N406" s="378"/>
    </row>
    <row r="407" spans="1:14" s="532" customFormat="1" ht="18.75" customHeight="1" x14ac:dyDescent="0.25">
      <c r="A407" s="378"/>
      <c r="B407" s="2032"/>
      <c r="C407" s="2033"/>
      <c r="D407" s="2033"/>
      <c r="E407" s="2033"/>
      <c r="F407" s="2033"/>
      <c r="G407" s="2033"/>
      <c r="H407" s="2033"/>
      <c r="I407" s="2033"/>
      <c r="J407" s="2033"/>
      <c r="K407" s="2033"/>
      <c r="L407" s="2033"/>
      <c r="M407" s="2034"/>
      <c r="N407" s="378"/>
    </row>
    <row r="408" spans="1:14" s="532" customFormat="1" ht="18.75" customHeight="1" x14ac:dyDescent="0.25">
      <c r="A408" s="378"/>
      <c r="B408" s="2032"/>
      <c r="C408" s="2033"/>
      <c r="D408" s="2033"/>
      <c r="E408" s="2033"/>
      <c r="F408" s="2033"/>
      <c r="G408" s="2033"/>
      <c r="H408" s="2033"/>
      <c r="I408" s="2033"/>
      <c r="J408" s="2033"/>
      <c r="K408" s="2033"/>
      <c r="L408" s="2033"/>
      <c r="M408" s="2034"/>
      <c r="N408" s="378"/>
    </row>
    <row r="409" spans="1:14" s="532" customFormat="1" ht="18.75" customHeight="1" x14ac:dyDescent="0.25">
      <c r="A409" s="378"/>
      <c r="B409" s="2032"/>
      <c r="C409" s="2033"/>
      <c r="D409" s="2033"/>
      <c r="E409" s="2033"/>
      <c r="F409" s="2033"/>
      <c r="G409" s="2033"/>
      <c r="H409" s="2033"/>
      <c r="I409" s="2033"/>
      <c r="J409" s="2033"/>
      <c r="K409" s="2033"/>
      <c r="L409" s="2033"/>
      <c r="M409" s="2034"/>
      <c r="N409" s="378"/>
    </row>
    <row r="410" spans="1:14" s="532" customFormat="1" ht="18.75" customHeight="1" x14ac:dyDescent="0.25">
      <c r="A410" s="378"/>
      <c r="B410" s="2032"/>
      <c r="C410" s="2033"/>
      <c r="D410" s="2033"/>
      <c r="E410" s="2033"/>
      <c r="F410" s="2033"/>
      <c r="G410" s="2033"/>
      <c r="H410" s="2033"/>
      <c r="I410" s="2033"/>
      <c r="J410" s="2033"/>
      <c r="K410" s="2033"/>
      <c r="L410" s="2033"/>
      <c r="M410" s="2034"/>
      <c r="N410" s="378"/>
    </row>
    <row r="411" spans="1:14" s="532" customFormat="1" ht="18.75" customHeight="1" x14ac:dyDescent="0.25">
      <c r="A411" s="378"/>
      <c r="B411" s="2032"/>
      <c r="C411" s="2033"/>
      <c r="D411" s="2033"/>
      <c r="E411" s="2033"/>
      <c r="F411" s="2033"/>
      <c r="G411" s="2033"/>
      <c r="H411" s="2033"/>
      <c r="I411" s="2033"/>
      <c r="J411" s="2033"/>
      <c r="K411" s="2033"/>
      <c r="L411" s="2033"/>
      <c r="M411" s="2034"/>
      <c r="N411" s="378"/>
    </row>
    <row r="412" spans="1:14" s="532" customFormat="1" ht="18.75" customHeight="1" x14ac:dyDescent="0.25">
      <c r="A412" s="378"/>
      <c r="B412" s="2032"/>
      <c r="C412" s="2033"/>
      <c r="D412" s="2033"/>
      <c r="E412" s="2033"/>
      <c r="F412" s="2033"/>
      <c r="G412" s="2033"/>
      <c r="H412" s="2033"/>
      <c r="I412" s="2033"/>
      <c r="J412" s="2033"/>
      <c r="K412" s="2033"/>
      <c r="L412" s="2033"/>
      <c r="M412" s="2034"/>
      <c r="N412" s="378"/>
    </row>
    <row r="413" spans="1:14" s="532" customFormat="1" ht="18.75" customHeight="1" x14ac:dyDescent="0.25">
      <c r="A413" s="378"/>
      <c r="B413" s="2035"/>
      <c r="C413" s="2036"/>
      <c r="D413" s="2036"/>
      <c r="E413" s="2036"/>
      <c r="F413" s="2036"/>
      <c r="G413" s="2036"/>
      <c r="H413" s="2036"/>
      <c r="I413" s="2036"/>
      <c r="J413" s="2036"/>
      <c r="K413" s="2036"/>
      <c r="L413" s="2036"/>
      <c r="M413" s="2037"/>
      <c r="N413" s="378"/>
    </row>
    <row r="414" spans="1:14" s="532" customFormat="1" ht="18.75" customHeight="1" x14ac:dyDescent="0.25">
      <c r="A414" s="378"/>
      <c r="B414" s="1045"/>
      <c r="C414" s="1045"/>
      <c r="D414" s="1045"/>
      <c r="E414" s="1045"/>
      <c r="F414" s="1045"/>
      <c r="G414" s="1045"/>
      <c r="H414" s="1045"/>
      <c r="I414" s="1045"/>
      <c r="J414" s="1045"/>
      <c r="K414" s="1045"/>
      <c r="L414" s="1045"/>
      <c r="M414" s="1045"/>
      <c r="N414" s="378"/>
    </row>
    <row r="415" spans="1:14" s="532" customFormat="1" ht="17.25" customHeight="1" x14ac:dyDescent="0.25">
      <c r="A415" s="660">
        <v>17</v>
      </c>
      <c r="B415" s="2018" t="s">
        <v>755</v>
      </c>
      <c r="C415" s="2018"/>
      <c r="D415" s="2018"/>
      <c r="E415" s="2018"/>
      <c r="F415" s="2018"/>
      <c r="G415" s="2018"/>
      <c r="H415" s="2018"/>
      <c r="I415" s="2018"/>
      <c r="J415" s="2018"/>
      <c r="K415" s="2018"/>
      <c r="L415" s="2018"/>
      <c r="M415" s="2018"/>
      <c r="N415" s="378"/>
    </row>
    <row r="416" spans="1:14" s="532" customFormat="1" ht="10.5" customHeight="1" x14ac:dyDescent="0.25">
      <c r="A416" s="378"/>
      <c r="B416" s="519"/>
      <c r="C416" s="13"/>
      <c r="D416" s="519"/>
      <c r="E416" s="13"/>
      <c r="F416" s="13"/>
      <c r="G416" s="13"/>
      <c r="H416" s="13"/>
      <c r="I416" s="13"/>
      <c r="J416" s="13"/>
      <c r="K416" s="13"/>
      <c r="L416" s="13"/>
      <c r="M416" s="13"/>
      <c r="N416" s="378"/>
    </row>
    <row r="417" spans="1:14" s="532" customFormat="1" ht="17.25" customHeight="1" x14ac:dyDescent="0.25">
      <c r="A417" s="378"/>
      <c r="B417" s="2039" t="s">
        <v>756</v>
      </c>
      <c r="C417" s="2039"/>
      <c r="D417" s="2039"/>
      <c r="E417" s="2039"/>
      <c r="F417" s="2039"/>
      <c r="G417" s="2039"/>
      <c r="H417" s="2039"/>
      <c r="I417" s="2039"/>
      <c r="J417" s="2039"/>
      <c r="K417" s="2039"/>
      <c r="L417" s="2039"/>
      <c r="M417" s="2039"/>
      <c r="N417" s="378"/>
    </row>
    <row r="418" spans="1:14" s="532" customFormat="1" ht="17.25" customHeight="1" x14ac:dyDescent="0.25">
      <c r="A418" s="378"/>
      <c r="B418" s="2039"/>
      <c r="C418" s="2039"/>
      <c r="D418" s="2039"/>
      <c r="E418" s="2039"/>
      <c r="F418" s="2039"/>
      <c r="G418" s="2039"/>
      <c r="H418" s="2039"/>
      <c r="I418" s="2039"/>
      <c r="J418" s="2039"/>
      <c r="K418" s="2039"/>
      <c r="L418" s="2039"/>
      <c r="M418" s="2039"/>
      <c r="N418" s="378"/>
    </row>
    <row r="419" spans="1:14" s="532" customFormat="1" ht="17.25" customHeight="1" x14ac:dyDescent="0.25">
      <c r="A419" s="378"/>
      <c r="B419" s="2039"/>
      <c r="C419" s="2039"/>
      <c r="D419" s="2039"/>
      <c r="E419" s="2039"/>
      <c r="F419" s="2039"/>
      <c r="G419" s="2039"/>
      <c r="H419" s="2039"/>
      <c r="I419" s="2039"/>
      <c r="J419" s="2039"/>
      <c r="K419" s="2039"/>
      <c r="L419" s="2039"/>
      <c r="M419" s="2039"/>
      <c r="N419" s="378"/>
    </row>
    <row r="420" spans="1:14" s="532" customFormat="1" ht="17.25" customHeight="1" x14ac:dyDescent="0.25">
      <c r="A420" s="378"/>
      <c r="B420" s="2039"/>
      <c r="C420" s="2039"/>
      <c r="D420" s="2039"/>
      <c r="E420" s="2039"/>
      <c r="F420" s="2039"/>
      <c r="G420" s="2039"/>
      <c r="H420" s="2039"/>
      <c r="I420" s="2039"/>
      <c r="J420" s="2039"/>
      <c r="K420" s="2039"/>
      <c r="L420" s="2039"/>
      <c r="M420" s="2039"/>
      <c r="N420" s="378"/>
    </row>
    <row r="421" spans="1:14" s="532" customFormat="1" ht="17.25" customHeight="1" x14ac:dyDescent="0.25">
      <c r="A421" s="378"/>
      <c r="B421" s="2039"/>
      <c r="C421" s="2039"/>
      <c r="D421" s="2039"/>
      <c r="E421" s="2039"/>
      <c r="F421" s="2039"/>
      <c r="G421" s="2039"/>
      <c r="H421" s="2039"/>
      <c r="I421" s="2039"/>
      <c r="J421" s="2039"/>
      <c r="K421" s="2039"/>
      <c r="L421" s="2039"/>
      <c r="M421" s="2039"/>
      <c r="N421" s="378"/>
    </row>
    <row r="422" spans="1:14" s="532" customFormat="1" ht="17.25" customHeight="1" x14ac:dyDescent="0.25">
      <c r="A422" s="378"/>
      <c r="B422" s="2039"/>
      <c r="C422" s="2039"/>
      <c r="D422" s="2039"/>
      <c r="E422" s="2039"/>
      <c r="F422" s="2039"/>
      <c r="G422" s="2039"/>
      <c r="H422" s="2039"/>
      <c r="I422" s="2039"/>
      <c r="J422" s="2039"/>
      <c r="K422" s="2039"/>
      <c r="L422" s="2039"/>
      <c r="M422" s="2039"/>
      <c r="N422" s="378"/>
    </row>
    <row r="423" spans="1:14" s="532" customFormat="1" ht="17.25" customHeight="1" x14ac:dyDescent="0.25">
      <c r="A423" s="378"/>
      <c r="B423" s="2039"/>
      <c r="C423" s="2039"/>
      <c r="D423" s="2039"/>
      <c r="E423" s="2039"/>
      <c r="F423" s="2039"/>
      <c r="G423" s="2039"/>
      <c r="H423" s="2039"/>
      <c r="I423" s="2039"/>
      <c r="J423" s="2039"/>
      <c r="K423" s="2039"/>
      <c r="L423" s="2039"/>
      <c r="M423" s="2039"/>
      <c r="N423" s="378"/>
    </row>
    <row r="424" spans="1:14" s="532" customFormat="1" ht="17.25" customHeight="1" x14ac:dyDescent="0.25">
      <c r="A424" s="378"/>
      <c r="B424" s="2039"/>
      <c r="C424" s="2039"/>
      <c r="D424" s="2039"/>
      <c r="E424" s="2039"/>
      <c r="F424" s="2039"/>
      <c r="G424" s="2039"/>
      <c r="H424" s="2039"/>
      <c r="I424" s="2039"/>
      <c r="J424" s="2039"/>
      <c r="K424" s="2039"/>
      <c r="L424" s="2039"/>
      <c r="M424" s="2039"/>
      <c r="N424" s="378"/>
    </row>
    <row r="425" spans="1:14" s="532" customFormat="1" ht="17.25" customHeight="1" x14ac:dyDescent="0.25">
      <c r="A425" s="378"/>
      <c r="B425" s="2039"/>
      <c r="C425" s="2039"/>
      <c r="D425" s="2039"/>
      <c r="E425" s="2039"/>
      <c r="F425" s="2039"/>
      <c r="G425" s="2039"/>
      <c r="H425" s="2039"/>
      <c r="I425" s="2039"/>
      <c r="J425" s="2039"/>
      <c r="K425" s="2039"/>
      <c r="L425" s="2039"/>
      <c r="M425" s="2039"/>
      <c r="N425" s="378"/>
    </row>
    <row r="426" spans="1:14" s="532" customFormat="1" ht="17.25" customHeight="1" x14ac:dyDescent="0.25">
      <c r="A426" s="378"/>
      <c r="B426" s="2039"/>
      <c r="C426" s="2039"/>
      <c r="D426" s="2039"/>
      <c r="E426" s="2039"/>
      <c r="F426" s="2039"/>
      <c r="G426" s="2039"/>
      <c r="H426" s="2039"/>
      <c r="I426" s="2039"/>
      <c r="J426" s="2039"/>
      <c r="K426" s="2039"/>
      <c r="L426" s="2039"/>
      <c r="M426" s="2039"/>
      <c r="N426" s="378"/>
    </row>
    <row r="427" spans="1:14" s="532" customFormat="1" ht="17.25" customHeight="1" x14ac:dyDescent="0.25">
      <c r="A427" s="378"/>
      <c r="B427" s="2039"/>
      <c r="C427" s="2039"/>
      <c r="D427" s="2039"/>
      <c r="E427" s="2039"/>
      <c r="F427" s="2039"/>
      <c r="G427" s="2039"/>
      <c r="H427" s="2039"/>
      <c r="I427" s="2039"/>
      <c r="J427" s="2039"/>
      <c r="K427" s="2039"/>
      <c r="L427" s="2039"/>
      <c r="M427" s="2039"/>
      <c r="N427" s="378"/>
    </row>
    <row r="428" spans="1:14" s="532" customFormat="1" ht="17.25" customHeight="1" x14ac:dyDescent="0.25">
      <c r="A428" s="378"/>
      <c r="B428" s="2039"/>
      <c r="C428" s="2039"/>
      <c r="D428" s="2039"/>
      <c r="E428" s="2039"/>
      <c r="F428" s="2039"/>
      <c r="G428" s="2039"/>
      <c r="H428" s="2039"/>
      <c r="I428" s="2039"/>
      <c r="J428" s="2039"/>
      <c r="K428" s="2039"/>
      <c r="L428" s="2039"/>
      <c r="M428" s="2039"/>
      <c r="N428" s="378"/>
    </row>
    <row r="429" spans="1:14" s="532" customFormat="1" ht="17.25" customHeight="1" x14ac:dyDescent="0.25">
      <c r="A429" s="378"/>
      <c r="B429" s="2039"/>
      <c r="C429" s="2039"/>
      <c r="D429" s="2039"/>
      <c r="E429" s="2039"/>
      <c r="F429" s="2039"/>
      <c r="G429" s="2039"/>
      <c r="H429" s="2039"/>
      <c r="I429" s="2039"/>
      <c r="J429" s="2039"/>
      <c r="K429" s="2039"/>
      <c r="L429" s="2039"/>
      <c r="M429" s="2039"/>
      <c r="N429" s="378"/>
    </row>
    <row r="430" spans="1:14" s="532" customFormat="1" ht="17.25" customHeight="1" x14ac:dyDescent="0.25">
      <c r="A430" s="378"/>
      <c r="B430" s="519"/>
      <c r="C430" s="13"/>
      <c r="D430" s="519"/>
      <c r="E430" s="13"/>
      <c r="F430" s="13"/>
      <c r="G430" s="13"/>
      <c r="H430" s="13"/>
      <c r="I430" s="13"/>
      <c r="J430" s="13"/>
      <c r="K430" s="13"/>
      <c r="L430" s="13"/>
      <c r="M430" s="13"/>
      <c r="N430" s="378"/>
    </row>
    <row r="431" spans="1:14" s="532" customFormat="1" ht="17.25" customHeight="1" x14ac:dyDescent="0.25">
      <c r="A431" s="378"/>
      <c r="B431" s="2029" t="s">
        <v>757</v>
      </c>
      <c r="C431" s="2030"/>
      <c r="D431" s="2030"/>
      <c r="E431" s="2030"/>
      <c r="F431" s="2030"/>
      <c r="G431" s="2030"/>
      <c r="H431" s="2030"/>
      <c r="I431" s="2030"/>
      <c r="J431" s="2030"/>
      <c r="K431" s="2030"/>
      <c r="L431" s="2030"/>
      <c r="M431" s="2031"/>
      <c r="N431" s="378"/>
    </row>
    <row r="432" spans="1:14" s="532" customFormat="1" ht="17.25" customHeight="1" x14ac:dyDescent="0.25">
      <c r="A432" s="378"/>
      <c r="B432" s="2032"/>
      <c r="C432" s="2033"/>
      <c r="D432" s="2033"/>
      <c r="E432" s="2033"/>
      <c r="F432" s="2033"/>
      <c r="G432" s="2033"/>
      <c r="H432" s="2033"/>
      <c r="I432" s="2033"/>
      <c r="J432" s="2033"/>
      <c r="K432" s="2033"/>
      <c r="L432" s="2033"/>
      <c r="M432" s="2034"/>
      <c r="N432" s="378"/>
    </row>
    <row r="433" spans="1:14" s="532" customFormat="1" ht="17.25" customHeight="1" x14ac:dyDescent="0.25">
      <c r="A433" s="378"/>
      <c r="B433" s="2032"/>
      <c r="C433" s="2033"/>
      <c r="D433" s="2033"/>
      <c r="E433" s="2033"/>
      <c r="F433" s="2033"/>
      <c r="G433" s="2033"/>
      <c r="H433" s="2033"/>
      <c r="I433" s="2033"/>
      <c r="J433" s="2033"/>
      <c r="K433" s="2033"/>
      <c r="L433" s="2033"/>
      <c r="M433" s="2034"/>
      <c r="N433" s="378"/>
    </row>
    <row r="434" spans="1:14" s="532" customFormat="1" ht="17.25" customHeight="1" x14ac:dyDescent="0.25">
      <c r="A434" s="378"/>
      <c r="B434" s="2032"/>
      <c r="C434" s="2033"/>
      <c r="D434" s="2033"/>
      <c r="E434" s="2033"/>
      <c r="F434" s="2033"/>
      <c r="G434" s="2033"/>
      <c r="H434" s="2033"/>
      <c r="I434" s="2033"/>
      <c r="J434" s="2033"/>
      <c r="K434" s="2033"/>
      <c r="L434" s="2033"/>
      <c r="M434" s="2034"/>
      <c r="N434" s="378"/>
    </row>
    <row r="435" spans="1:14" s="532" customFormat="1" ht="17.25" customHeight="1" x14ac:dyDescent="0.25">
      <c r="A435" s="378"/>
      <c r="B435" s="2032"/>
      <c r="C435" s="2033"/>
      <c r="D435" s="2033"/>
      <c r="E435" s="2033"/>
      <c r="F435" s="2033"/>
      <c r="G435" s="2033"/>
      <c r="H435" s="2033"/>
      <c r="I435" s="2033"/>
      <c r="J435" s="2033"/>
      <c r="K435" s="2033"/>
      <c r="L435" s="2033"/>
      <c r="M435" s="2034"/>
      <c r="N435" s="378"/>
    </row>
    <row r="436" spans="1:14" s="532" customFormat="1" ht="17.25" customHeight="1" x14ac:dyDescent="0.25">
      <c r="A436" s="378"/>
      <c r="B436" s="2032"/>
      <c r="C436" s="2033"/>
      <c r="D436" s="2033"/>
      <c r="E436" s="2033"/>
      <c r="F436" s="2033"/>
      <c r="G436" s="2033"/>
      <c r="H436" s="2033"/>
      <c r="I436" s="2033"/>
      <c r="J436" s="2033"/>
      <c r="K436" s="2033"/>
      <c r="L436" s="2033"/>
      <c r="M436" s="2034"/>
      <c r="N436" s="378"/>
    </row>
    <row r="437" spans="1:14" s="532" customFormat="1" ht="17.25" customHeight="1" x14ac:dyDescent="0.25">
      <c r="A437" s="378"/>
      <c r="B437" s="2032"/>
      <c r="C437" s="2033"/>
      <c r="D437" s="2033"/>
      <c r="E437" s="2033"/>
      <c r="F437" s="2033"/>
      <c r="G437" s="2033"/>
      <c r="H437" s="2033"/>
      <c r="I437" s="2033"/>
      <c r="J437" s="2033"/>
      <c r="K437" s="2033"/>
      <c r="L437" s="2033"/>
      <c r="M437" s="2034"/>
      <c r="N437" s="378"/>
    </row>
    <row r="438" spans="1:14" s="532" customFormat="1" ht="17.25" customHeight="1" x14ac:dyDescent="0.25">
      <c r="A438" s="378"/>
      <c r="B438" s="2032"/>
      <c r="C438" s="2033"/>
      <c r="D438" s="2033"/>
      <c r="E438" s="2033"/>
      <c r="F438" s="2033"/>
      <c r="G438" s="2033"/>
      <c r="H438" s="2033"/>
      <c r="I438" s="2033"/>
      <c r="J438" s="2033"/>
      <c r="K438" s="2033"/>
      <c r="L438" s="2033"/>
      <c r="M438" s="2034"/>
      <c r="N438" s="378"/>
    </row>
    <row r="439" spans="1:14" s="532" customFormat="1" ht="17.25" customHeight="1" x14ac:dyDescent="0.25">
      <c r="A439" s="378"/>
      <c r="B439" s="2035"/>
      <c r="C439" s="2036"/>
      <c r="D439" s="2036"/>
      <c r="E439" s="2036"/>
      <c r="F439" s="2036"/>
      <c r="G439" s="2036"/>
      <c r="H439" s="2036"/>
      <c r="I439" s="2036"/>
      <c r="J439" s="2036"/>
      <c r="K439" s="2036"/>
      <c r="L439" s="2036"/>
      <c r="M439" s="2037"/>
      <c r="N439" s="378"/>
    </row>
    <row r="440" spans="1:14" s="532" customFormat="1" ht="17.25" customHeight="1" x14ac:dyDescent="0.25">
      <c r="A440" s="378"/>
      <c r="B440" s="519"/>
      <c r="C440" s="13"/>
      <c r="D440" s="519"/>
      <c r="E440" s="13"/>
      <c r="F440" s="13"/>
      <c r="G440" s="13"/>
      <c r="H440" s="13"/>
      <c r="I440" s="13"/>
      <c r="J440" s="13"/>
      <c r="K440" s="13"/>
      <c r="L440" s="13"/>
      <c r="M440" s="13"/>
      <c r="N440" s="378"/>
    </row>
    <row r="441" spans="1:14" s="532" customFormat="1" ht="17.25" customHeight="1" x14ac:dyDescent="0.25">
      <c r="A441" s="378"/>
      <c r="B441" s="519"/>
      <c r="C441" s="13"/>
      <c r="D441" s="519"/>
      <c r="E441" s="13"/>
      <c r="F441" s="13"/>
      <c r="G441" s="13"/>
      <c r="H441" s="13"/>
      <c r="I441" s="13"/>
      <c r="J441" s="13"/>
      <c r="K441" s="13"/>
      <c r="L441" s="13"/>
      <c r="M441" s="13"/>
      <c r="N441" s="378"/>
    </row>
    <row r="442" spans="1:14" s="532" customFormat="1" ht="17.25" customHeight="1" x14ac:dyDescent="0.25">
      <c r="A442" s="378"/>
      <c r="B442" s="519"/>
      <c r="C442" s="13"/>
      <c r="D442" s="519"/>
      <c r="E442" s="13"/>
      <c r="F442" s="13"/>
      <c r="G442" s="13"/>
      <c r="H442" s="13"/>
      <c r="I442" s="13"/>
      <c r="J442" s="13"/>
      <c r="K442" s="13"/>
      <c r="L442" s="13"/>
      <c r="M442" s="13"/>
      <c r="N442" s="378"/>
    </row>
    <row r="443" spans="1:14" s="532" customFormat="1" ht="17.25" customHeight="1" x14ac:dyDescent="0.25">
      <c r="A443" s="378"/>
      <c r="B443" s="519"/>
      <c r="C443" s="13"/>
      <c r="D443" s="519"/>
      <c r="E443" s="13"/>
      <c r="F443" s="13"/>
      <c r="G443" s="13"/>
      <c r="H443" s="13"/>
      <c r="I443" s="13"/>
      <c r="J443" s="13"/>
      <c r="K443" s="13"/>
      <c r="L443" s="13"/>
      <c r="M443" s="13"/>
      <c r="N443" s="378"/>
    </row>
    <row r="444" spans="1:14" s="532" customFormat="1" ht="17.25" customHeight="1" x14ac:dyDescent="0.25">
      <c r="A444" s="660">
        <v>18</v>
      </c>
      <c r="B444" s="2018" t="s">
        <v>541</v>
      </c>
      <c r="C444" s="2018"/>
      <c r="D444" s="2018"/>
      <c r="E444" s="2018"/>
      <c r="F444" s="2018"/>
      <c r="G444" s="2018"/>
      <c r="H444" s="2018"/>
      <c r="I444" s="2018"/>
      <c r="J444" s="2018"/>
      <c r="K444" s="2018"/>
      <c r="L444" s="2018"/>
      <c r="M444" s="2018"/>
      <c r="N444" s="378"/>
    </row>
    <row r="445" spans="1:14" s="532" customFormat="1" ht="10.5" customHeight="1" x14ac:dyDescent="0.25">
      <c r="A445" s="378"/>
      <c r="B445" s="519"/>
      <c r="C445" s="13"/>
      <c r="D445" s="519"/>
      <c r="E445" s="13"/>
      <c r="F445" s="13"/>
      <c r="G445" s="13"/>
      <c r="H445" s="13"/>
      <c r="I445" s="13"/>
      <c r="J445" s="13"/>
      <c r="K445" s="13"/>
      <c r="L445" s="13"/>
      <c r="M445" s="13"/>
      <c r="N445" s="378"/>
    </row>
    <row r="446" spans="1:14" s="532" customFormat="1" ht="17.25" customHeight="1" x14ac:dyDescent="0.25">
      <c r="A446" s="378"/>
      <c r="B446" s="2029" t="s">
        <v>758</v>
      </c>
      <c r="C446" s="2030"/>
      <c r="D446" s="2030"/>
      <c r="E446" s="2030"/>
      <c r="F446" s="2030"/>
      <c r="G446" s="2030"/>
      <c r="H446" s="2030"/>
      <c r="I446" s="2030"/>
      <c r="J446" s="2030"/>
      <c r="K446" s="2030"/>
      <c r="L446" s="2030"/>
      <c r="M446" s="2031"/>
      <c r="N446" s="378"/>
    </row>
    <row r="447" spans="1:14" s="532" customFormat="1" ht="17.25" customHeight="1" x14ac:dyDescent="0.25">
      <c r="A447" s="378"/>
      <c r="B447" s="2032"/>
      <c r="C447" s="2033"/>
      <c r="D447" s="2033"/>
      <c r="E447" s="2033"/>
      <c r="F447" s="2033"/>
      <c r="G447" s="2033"/>
      <c r="H447" s="2033"/>
      <c r="I447" s="2033"/>
      <c r="J447" s="2033"/>
      <c r="K447" s="2033"/>
      <c r="L447" s="2033"/>
      <c r="M447" s="2034"/>
      <c r="N447" s="378"/>
    </row>
    <row r="448" spans="1:14" s="532" customFormat="1" ht="17.25" customHeight="1" x14ac:dyDescent="0.25">
      <c r="A448" s="378"/>
      <c r="B448" s="2032"/>
      <c r="C448" s="2033"/>
      <c r="D448" s="2033"/>
      <c r="E448" s="2033"/>
      <c r="F448" s="2033"/>
      <c r="G448" s="2033"/>
      <c r="H448" s="2033"/>
      <c r="I448" s="2033"/>
      <c r="J448" s="2033"/>
      <c r="K448" s="2033"/>
      <c r="L448" s="2033"/>
      <c r="M448" s="2034"/>
      <c r="N448" s="378"/>
    </row>
    <row r="449" spans="1:14" s="532" customFormat="1" ht="17.25" customHeight="1" x14ac:dyDescent="0.25">
      <c r="A449" s="378"/>
      <c r="B449" s="2032"/>
      <c r="C449" s="2033"/>
      <c r="D449" s="2033"/>
      <c r="E449" s="2033"/>
      <c r="F449" s="2033"/>
      <c r="G449" s="2033"/>
      <c r="H449" s="2033"/>
      <c r="I449" s="2033"/>
      <c r="J449" s="2033"/>
      <c r="K449" s="2033"/>
      <c r="L449" s="2033"/>
      <c r="M449" s="2034"/>
      <c r="N449" s="378"/>
    </row>
    <row r="450" spans="1:14" s="532" customFormat="1" ht="17.25" customHeight="1" x14ac:dyDescent="0.25">
      <c r="A450" s="378"/>
      <c r="B450" s="2032"/>
      <c r="C450" s="2033"/>
      <c r="D450" s="2033"/>
      <c r="E450" s="2033"/>
      <c r="F450" s="2033"/>
      <c r="G450" s="2033"/>
      <c r="H450" s="2033"/>
      <c r="I450" s="2033"/>
      <c r="J450" s="2033"/>
      <c r="K450" s="2033"/>
      <c r="L450" s="2033"/>
      <c r="M450" s="2034"/>
      <c r="N450" s="378"/>
    </row>
    <row r="451" spans="1:14" s="532" customFormat="1" ht="17.25" customHeight="1" x14ac:dyDescent="0.25">
      <c r="A451" s="378"/>
      <c r="B451" s="2032"/>
      <c r="C451" s="2033"/>
      <c r="D451" s="2033"/>
      <c r="E451" s="2033"/>
      <c r="F451" s="2033"/>
      <c r="G451" s="2033"/>
      <c r="H451" s="2033"/>
      <c r="I451" s="2033"/>
      <c r="J451" s="2033"/>
      <c r="K451" s="2033"/>
      <c r="L451" s="2033"/>
      <c r="M451" s="2034"/>
      <c r="N451" s="378"/>
    </row>
    <row r="452" spans="1:14" s="532" customFormat="1" ht="17.25" customHeight="1" x14ac:dyDescent="0.25">
      <c r="A452" s="378"/>
      <c r="B452" s="2032"/>
      <c r="C452" s="2033"/>
      <c r="D452" s="2033"/>
      <c r="E452" s="2033"/>
      <c r="F452" s="2033"/>
      <c r="G452" s="2033"/>
      <c r="H452" s="2033"/>
      <c r="I452" s="2033"/>
      <c r="J452" s="2033"/>
      <c r="K452" s="2033"/>
      <c r="L452" s="2033"/>
      <c r="M452" s="2034"/>
      <c r="N452" s="378"/>
    </row>
    <row r="453" spans="1:14" s="532" customFormat="1" ht="22.5" customHeight="1" x14ac:dyDescent="0.25">
      <c r="A453" s="378"/>
      <c r="B453" s="2032"/>
      <c r="C453" s="2033"/>
      <c r="D453" s="2033"/>
      <c r="E453" s="2033"/>
      <c r="F453" s="2033"/>
      <c r="G453" s="2033"/>
      <c r="H453" s="2033"/>
      <c r="I453" s="2033"/>
      <c r="J453" s="2033"/>
      <c r="K453" s="2033"/>
      <c r="L453" s="2033"/>
      <c r="M453" s="2034"/>
      <c r="N453" s="378"/>
    </row>
    <row r="454" spans="1:14" s="532" customFormat="1" ht="17.25" customHeight="1" x14ac:dyDescent="0.25">
      <c r="A454" s="378"/>
      <c r="B454" s="2032"/>
      <c r="C454" s="2033"/>
      <c r="D454" s="2033"/>
      <c r="E454" s="2033"/>
      <c r="F454" s="2033"/>
      <c r="G454" s="2033"/>
      <c r="H454" s="2033"/>
      <c r="I454" s="2033"/>
      <c r="J454" s="2033"/>
      <c r="K454" s="2033"/>
      <c r="L454" s="2033"/>
      <c r="M454" s="2034"/>
      <c r="N454" s="378"/>
    </row>
    <row r="455" spans="1:14" s="532" customFormat="1" ht="17.25" customHeight="1" x14ac:dyDescent="0.25">
      <c r="A455" s="378"/>
      <c r="B455" s="2032"/>
      <c r="C455" s="2033"/>
      <c r="D455" s="2033"/>
      <c r="E455" s="2033"/>
      <c r="F455" s="2033"/>
      <c r="G455" s="2033"/>
      <c r="H455" s="2033"/>
      <c r="I455" s="2033"/>
      <c r="J455" s="2033"/>
      <c r="K455" s="2033"/>
      <c r="L455" s="2033"/>
      <c r="M455" s="2034"/>
      <c r="N455" s="378"/>
    </row>
    <row r="456" spans="1:14" s="532" customFormat="1" ht="17.25" customHeight="1" x14ac:dyDescent="0.25">
      <c r="A456" s="378"/>
      <c r="B456" s="2032"/>
      <c r="C456" s="2033"/>
      <c r="D456" s="2033"/>
      <c r="E456" s="2033"/>
      <c r="F456" s="2033"/>
      <c r="G456" s="2033"/>
      <c r="H456" s="2033"/>
      <c r="I456" s="2033"/>
      <c r="J456" s="2033"/>
      <c r="K456" s="2033"/>
      <c r="L456" s="2033"/>
      <c r="M456" s="2034"/>
      <c r="N456" s="378"/>
    </row>
    <row r="457" spans="1:14" s="532" customFormat="1" ht="17.25" customHeight="1" x14ac:dyDescent="0.25">
      <c r="A457" s="378"/>
      <c r="B457" s="2035"/>
      <c r="C457" s="2036"/>
      <c r="D457" s="2036"/>
      <c r="E457" s="2036"/>
      <c r="F457" s="2036"/>
      <c r="G457" s="2036"/>
      <c r="H457" s="2036"/>
      <c r="I457" s="2036"/>
      <c r="J457" s="2036"/>
      <c r="K457" s="2036"/>
      <c r="L457" s="2036"/>
      <c r="M457" s="2037"/>
      <c r="N457" s="378"/>
    </row>
    <row r="458" spans="1:14" s="532" customFormat="1" ht="9.75" customHeight="1" x14ac:dyDescent="0.25">
      <c r="A458" s="378"/>
      <c r="B458" s="519"/>
      <c r="C458" s="13"/>
      <c r="D458" s="519"/>
      <c r="E458" s="13"/>
      <c r="F458" s="13"/>
      <c r="G458" s="13"/>
      <c r="H458" s="13"/>
      <c r="I458" s="13"/>
      <c r="J458" s="13"/>
      <c r="K458" s="13"/>
      <c r="L458" s="13"/>
      <c r="M458" s="13"/>
      <c r="N458" s="378"/>
    </row>
    <row r="459" spans="1:14" s="532" customFormat="1" ht="17.25" customHeight="1" x14ac:dyDescent="0.25">
      <c r="A459" s="378"/>
      <c r="B459" s="2029" t="s">
        <v>759</v>
      </c>
      <c r="C459" s="2030"/>
      <c r="D459" s="2030"/>
      <c r="E459" s="2030"/>
      <c r="F459" s="2030"/>
      <c r="G459" s="2030"/>
      <c r="H459" s="2030"/>
      <c r="I459" s="2030"/>
      <c r="J459" s="2030"/>
      <c r="K459" s="2030"/>
      <c r="L459" s="2030"/>
      <c r="M459" s="2031"/>
      <c r="N459" s="378"/>
    </row>
    <row r="460" spans="1:14" s="532" customFormat="1" ht="17.25" customHeight="1" x14ac:dyDescent="0.25">
      <c r="A460" s="378"/>
      <c r="B460" s="2032"/>
      <c r="C460" s="2033"/>
      <c r="D460" s="2033"/>
      <c r="E460" s="2033"/>
      <c r="F460" s="2033"/>
      <c r="G460" s="2033"/>
      <c r="H460" s="2033"/>
      <c r="I460" s="2033"/>
      <c r="J460" s="2033"/>
      <c r="K460" s="2033"/>
      <c r="L460" s="2033"/>
      <c r="M460" s="2034"/>
      <c r="N460" s="378"/>
    </row>
    <row r="461" spans="1:14" s="532" customFormat="1" ht="17.25" customHeight="1" x14ac:dyDescent="0.25">
      <c r="A461" s="378"/>
      <c r="B461" s="2032"/>
      <c r="C461" s="2033"/>
      <c r="D461" s="2033"/>
      <c r="E461" s="2033"/>
      <c r="F461" s="2033"/>
      <c r="G461" s="2033"/>
      <c r="H461" s="2033"/>
      <c r="I461" s="2033"/>
      <c r="J461" s="2033"/>
      <c r="K461" s="2033"/>
      <c r="L461" s="2033"/>
      <c r="M461" s="2034"/>
      <c r="N461" s="378"/>
    </row>
    <row r="462" spans="1:14" s="532" customFormat="1" ht="15" customHeight="1" x14ac:dyDescent="0.25">
      <c r="A462" s="378"/>
      <c r="B462" s="2032"/>
      <c r="C462" s="2033"/>
      <c r="D462" s="2033"/>
      <c r="E462" s="2033"/>
      <c r="F462" s="2033"/>
      <c r="G462" s="2033"/>
      <c r="H462" s="2033"/>
      <c r="I462" s="2033"/>
      <c r="J462" s="2033"/>
      <c r="K462" s="2033"/>
      <c r="L462" s="2033"/>
      <c r="M462" s="2034"/>
      <c r="N462" s="378"/>
    </row>
    <row r="463" spans="1:14" s="532" customFormat="1" ht="17.25" customHeight="1" x14ac:dyDescent="0.25">
      <c r="A463" s="378"/>
      <c r="B463" s="2032"/>
      <c r="C463" s="2033"/>
      <c r="D463" s="2033"/>
      <c r="E463" s="2033"/>
      <c r="F463" s="2033"/>
      <c r="G463" s="2033"/>
      <c r="H463" s="2033"/>
      <c r="I463" s="2033"/>
      <c r="J463" s="2033"/>
      <c r="K463" s="2033"/>
      <c r="L463" s="2033"/>
      <c r="M463" s="2034"/>
      <c r="N463" s="378"/>
    </row>
    <row r="464" spans="1:14" s="532" customFormat="1" ht="17.25" customHeight="1" x14ac:dyDescent="0.25">
      <c r="A464" s="378"/>
      <c r="B464" s="2032"/>
      <c r="C464" s="2033"/>
      <c r="D464" s="2033"/>
      <c r="E464" s="2033"/>
      <c r="F464" s="2033"/>
      <c r="G464" s="2033"/>
      <c r="H464" s="2033"/>
      <c r="I464" s="2033"/>
      <c r="J464" s="2033"/>
      <c r="K464" s="2033"/>
      <c r="L464" s="2033"/>
      <c r="M464" s="2034"/>
      <c r="N464" s="378"/>
    </row>
    <row r="465" spans="1:14" s="532" customFormat="1" ht="17.25" customHeight="1" x14ac:dyDescent="0.25">
      <c r="A465" s="378"/>
      <c r="B465" s="2035"/>
      <c r="C465" s="2036"/>
      <c r="D465" s="2036"/>
      <c r="E465" s="2036"/>
      <c r="F465" s="2036"/>
      <c r="G465" s="2036"/>
      <c r="H465" s="2036"/>
      <c r="I465" s="2036"/>
      <c r="J465" s="2036"/>
      <c r="K465" s="2036"/>
      <c r="L465" s="2036"/>
      <c r="M465" s="2037"/>
      <c r="N465" s="378"/>
    </row>
    <row r="466" spans="1:14" s="532" customFormat="1" ht="10.5" customHeight="1" x14ac:dyDescent="0.25">
      <c r="A466" s="378"/>
      <c r="B466" s="519"/>
      <c r="C466" s="13"/>
      <c r="D466" s="519"/>
      <c r="E466" s="13"/>
      <c r="F466" s="13"/>
      <c r="G466" s="13"/>
      <c r="H466" s="13"/>
      <c r="I466" s="13"/>
      <c r="J466" s="13"/>
      <c r="K466" s="13"/>
      <c r="L466" s="13"/>
      <c r="M466" s="13"/>
      <c r="N466" s="378"/>
    </row>
    <row r="467" spans="1:14" s="532" customFormat="1" ht="17.25" customHeight="1" x14ac:dyDescent="0.25">
      <c r="A467" s="378"/>
      <c r="B467" s="2029" t="s">
        <v>760</v>
      </c>
      <c r="C467" s="2030"/>
      <c r="D467" s="2030"/>
      <c r="E467" s="2030"/>
      <c r="F467" s="2030"/>
      <c r="G467" s="2030"/>
      <c r="H467" s="2030"/>
      <c r="I467" s="2030"/>
      <c r="J467" s="2030"/>
      <c r="K467" s="2030"/>
      <c r="L467" s="2030"/>
      <c r="M467" s="2031"/>
      <c r="N467" s="378"/>
    </row>
    <row r="468" spans="1:14" s="532" customFormat="1" ht="17.25" customHeight="1" x14ac:dyDescent="0.25">
      <c r="A468" s="378"/>
      <c r="B468" s="2032"/>
      <c r="C468" s="2033"/>
      <c r="D468" s="2033"/>
      <c r="E468" s="2033"/>
      <c r="F468" s="2033"/>
      <c r="G468" s="2033"/>
      <c r="H468" s="2033"/>
      <c r="I468" s="2033"/>
      <c r="J468" s="2033"/>
      <c r="K468" s="2033"/>
      <c r="L468" s="2033"/>
      <c r="M468" s="2034"/>
      <c r="N468" s="378"/>
    </row>
    <row r="469" spans="1:14" s="532" customFormat="1" ht="24.75" customHeight="1" x14ac:dyDescent="0.25">
      <c r="A469" s="378"/>
      <c r="B469" s="2032"/>
      <c r="C469" s="2033"/>
      <c r="D469" s="2033"/>
      <c r="E469" s="2033"/>
      <c r="F469" s="2033"/>
      <c r="G469" s="2033"/>
      <c r="H469" s="2033"/>
      <c r="I469" s="2033"/>
      <c r="J469" s="2033"/>
      <c r="K469" s="2033"/>
      <c r="L469" s="2033"/>
      <c r="M469" s="2034"/>
      <c r="N469" s="378"/>
    </row>
    <row r="470" spans="1:14" s="532" customFormat="1" ht="17.25" customHeight="1" x14ac:dyDescent="0.25">
      <c r="A470" s="378"/>
      <c r="B470" s="2032"/>
      <c r="C470" s="2033"/>
      <c r="D470" s="2033"/>
      <c r="E470" s="2033"/>
      <c r="F470" s="2033"/>
      <c r="G470" s="2033"/>
      <c r="H470" s="2033"/>
      <c r="I470" s="2033"/>
      <c r="J470" s="2033"/>
      <c r="K470" s="2033"/>
      <c r="L470" s="2033"/>
      <c r="M470" s="2034"/>
      <c r="N470" s="378"/>
    </row>
    <row r="471" spans="1:14" s="532" customFormat="1" ht="17.25" customHeight="1" x14ac:dyDescent="0.25">
      <c r="A471" s="378"/>
      <c r="B471" s="2032"/>
      <c r="C471" s="2033"/>
      <c r="D471" s="2033"/>
      <c r="E471" s="2033"/>
      <c r="F471" s="2033"/>
      <c r="G471" s="2033"/>
      <c r="H471" s="2033"/>
      <c r="I471" s="2033"/>
      <c r="J471" s="2033"/>
      <c r="K471" s="2033"/>
      <c r="L471" s="2033"/>
      <c r="M471" s="2034"/>
      <c r="N471" s="378"/>
    </row>
    <row r="472" spans="1:14" s="532" customFormat="1" ht="17.25" customHeight="1" x14ac:dyDescent="0.25">
      <c r="A472" s="378"/>
      <c r="B472" s="2035"/>
      <c r="C472" s="2036"/>
      <c r="D472" s="2036"/>
      <c r="E472" s="2036"/>
      <c r="F472" s="2036"/>
      <c r="G472" s="2036"/>
      <c r="H472" s="2036"/>
      <c r="I472" s="2036"/>
      <c r="J472" s="2036"/>
      <c r="K472" s="2036"/>
      <c r="L472" s="2036"/>
      <c r="M472" s="2037"/>
      <c r="N472" s="378"/>
    </row>
    <row r="473" spans="1:14" s="532" customFormat="1" ht="9.75" customHeight="1" x14ac:dyDescent="0.25">
      <c r="A473" s="378"/>
      <c r="B473" s="519"/>
      <c r="C473" s="13"/>
      <c r="D473" s="519"/>
      <c r="E473" s="13"/>
      <c r="F473" s="13"/>
      <c r="G473" s="13"/>
      <c r="H473" s="13"/>
      <c r="I473" s="13"/>
      <c r="J473" s="13"/>
      <c r="K473" s="13"/>
      <c r="L473" s="13"/>
      <c r="M473" s="13"/>
      <c r="N473" s="378"/>
    </row>
    <row r="474" spans="1:14" s="532" customFormat="1" ht="17.25" customHeight="1" x14ac:dyDescent="0.25">
      <c r="A474" s="378"/>
      <c r="B474" s="2029" t="s">
        <v>761</v>
      </c>
      <c r="C474" s="2030"/>
      <c r="D474" s="2030"/>
      <c r="E474" s="2030"/>
      <c r="F474" s="2030"/>
      <c r="G474" s="2030"/>
      <c r="H474" s="2030"/>
      <c r="I474" s="2030"/>
      <c r="J474" s="2030"/>
      <c r="K474" s="2030"/>
      <c r="L474" s="2030"/>
      <c r="M474" s="2031"/>
      <c r="N474" s="378"/>
    </row>
    <row r="475" spans="1:14" s="532" customFormat="1" ht="17.25" customHeight="1" x14ac:dyDescent="0.25">
      <c r="A475" s="378"/>
      <c r="B475" s="2032"/>
      <c r="C475" s="2033"/>
      <c r="D475" s="2033"/>
      <c r="E475" s="2033"/>
      <c r="F475" s="2033"/>
      <c r="G475" s="2033"/>
      <c r="H475" s="2033"/>
      <c r="I475" s="2033"/>
      <c r="J475" s="2033"/>
      <c r="K475" s="2033"/>
      <c r="L475" s="2033"/>
      <c r="M475" s="2034"/>
      <c r="N475" s="378"/>
    </row>
    <row r="476" spans="1:14" s="532" customFormat="1" ht="17.25" customHeight="1" x14ac:dyDescent="0.25">
      <c r="A476" s="378"/>
      <c r="B476" s="2032"/>
      <c r="C476" s="2033"/>
      <c r="D476" s="2033"/>
      <c r="E476" s="2033"/>
      <c r="F476" s="2033"/>
      <c r="G476" s="2033"/>
      <c r="H476" s="2033"/>
      <c r="I476" s="2033"/>
      <c r="J476" s="2033"/>
      <c r="K476" s="2033"/>
      <c r="L476" s="2033"/>
      <c r="M476" s="2034"/>
      <c r="N476" s="378"/>
    </row>
    <row r="477" spans="1:14" s="532" customFormat="1" ht="17.25" customHeight="1" x14ac:dyDescent="0.25">
      <c r="A477" s="378"/>
      <c r="B477" s="2032"/>
      <c r="C477" s="2033"/>
      <c r="D477" s="2033"/>
      <c r="E477" s="2033"/>
      <c r="F477" s="2033"/>
      <c r="G477" s="2033"/>
      <c r="H477" s="2033"/>
      <c r="I477" s="2033"/>
      <c r="J477" s="2033"/>
      <c r="K477" s="2033"/>
      <c r="L477" s="2033"/>
      <c r="M477" s="2034"/>
      <c r="N477" s="378"/>
    </row>
    <row r="478" spans="1:14" s="532" customFormat="1" ht="17.25" customHeight="1" x14ac:dyDescent="0.25">
      <c r="A478" s="378"/>
      <c r="B478" s="2032"/>
      <c r="C478" s="2033"/>
      <c r="D478" s="2033"/>
      <c r="E478" s="2033"/>
      <c r="F478" s="2033"/>
      <c r="G478" s="2033"/>
      <c r="H478" s="2033"/>
      <c r="I478" s="2033"/>
      <c r="J478" s="2033"/>
      <c r="K478" s="2033"/>
      <c r="L478" s="2033"/>
      <c r="M478" s="2034"/>
      <c r="N478" s="378"/>
    </row>
    <row r="479" spans="1:14" s="532" customFormat="1" ht="17.25" customHeight="1" x14ac:dyDescent="0.25">
      <c r="A479" s="378"/>
      <c r="B479" s="2032"/>
      <c r="C479" s="2033"/>
      <c r="D479" s="2033"/>
      <c r="E479" s="2033"/>
      <c r="F479" s="2033"/>
      <c r="G479" s="2033"/>
      <c r="H479" s="2033"/>
      <c r="I479" s="2033"/>
      <c r="J479" s="2033"/>
      <c r="K479" s="2033"/>
      <c r="L479" s="2033"/>
      <c r="M479" s="2034"/>
      <c r="N479" s="378"/>
    </row>
    <row r="480" spans="1:14" s="532" customFormat="1" ht="17.25" customHeight="1" x14ac:dyDescent="0.25">
      <c r="A480" s="378"/>
      <c r="B480" s="2035"/>
      <c r="C480" s="2036"/>
      <c r="D480" s="2036"/>
      <c r="E480" s="2036"/>
      <c r="F480" s="2036"/>
      <c r="G480" s="2036"/>
      <c r="H480" s="2036"/>
      <c r="I480" s="2036"/>
      <c r="J480" s="2036"/>
      <c r="K480" s="2036"/>
      <c r="L480" s="2036"/>
      <c r="M480" s="2037"/>
      <c r="N480" s="378"/>
    </row>
    <row r="481" spans="1:14" s="532" customFormat="1" ht="12" customHeight="1" x14ac:dyDescent="0.25">
      <c r="A481" s="378"/>
      <c r="B481" s="519"/>
      <c r="C481" s="13"/>
      <c r="D481" s="519"/>
      <c r="E481" s="13"/>
      <c r="F481" s="13"/>
      <c r="G481" s="13"/>
      <c r="H481" s="13"/>
      <c r="I481" s="13"/>
      <c r="J481" s="13"/>
      <c r="K481" s="13"/>
      <c r="L481" s="13"/>
      <c r="M481" s="13"/>
      <c r="N481" s="378"/>
    </row>
    <row r="482" spans="1:14" s="532" customFormat="1" ht="17.25" customHeight="1" x14ac:dyDescent="0.25">
      <c r="A482" s="660">
        <v>19</v>
      </c>
      <c r="B482" s="2018" t="s">
        <v>557</v>
      </c>
      <c r="C482" s="2018"/>
      <c r="D482" s="2018"/>
      <c r="E482" s="2018"/>
      <c r="F482" s="2018"/>
      <c r="G482" s="2018"/>
      <c r="H482" s="2018"/>
      <c r="I482" s="2018"/>
      <c r="J482" s="2018"/>
      <c r="K482" s="2018"/>
      <c r="L482" s="2018"/>
      <c r="M482" s="2018"/>
      <c r="N482" s="378"/>
    </row>
    <row r="483" spans="1:14" s="532" customFormat="1" ht="11.25" customHeight="1" x14ac:dyDescent="0.25">
      <c r="A483" s="378"/>
      <c r="B483" s="519"/>
      <c r="C483" s="13"/>
      <c r="D483" s="519"/>
      <c r="E483" s="13"/>
      <c r="F483" s="13"/>
      <c r="G483" s="13"/>
      <c r="H483" s="13"/>
      <c r="I483" s="13"/>
      <c r="J483" s="13"/>
      <c r="K483" s="13"/>
      <c r="L483" s="13"/>
      <c r="M483" s="13"/>
      <c r="N483" s="378"/>
    </row>
    <row r="484" spans="1:14" s="532" customFormat="1" ht="17.25" customHeight="1" x14ac:dyDescent="0.25">
      <c r="A484" s="378"/>
      <c r="B484" s="2029" t="s">
        <v>762</v>
      </c>
      <c r="C484" s="2030"/>
      <c r="D484" s="2030"/>
      <c r="E484" s="2030"/>
      <c r="F484" s="2030"/>
      <c r="G484" s="2030"/>
      <c r="H484" s="2030"/>
      <c r="I484" s="2030"/>
      <c r="J484" s="2030"/>
      <c r="K484" s="2030"/>
      <c r="L484" s="2030"/>
      <c r="M484" s="2031"/>
      <c r="N484" s="378"/>
    </row>
    <row r="485" spans="1:14" s="532" customFormat="1" ht="17.25" customHeight="1" x14ac:dyDescent="0.25">
      <c r="A485" s="378"/>
      <c r="B485" s="2032"/>
      <c r="C485" s="2033"/>
      <c r="D485" s="2033"/>
      <c r="E485" s="2033"/>
      <c r="F485" s="2033"/>
      <c r="G485" s="2033"/>
      <c r="H485" s="2033"/>
      <c r="I485" s="2033"/>
      <c r="J485" s="2033"/>
      <c r="K485" s="2033"/>
      <c r="L485" s="2033"/>
      <c r="M485" s="2034"/>
      <c r="N485" s="378"/>
    </row>
    <row r="486" spans="1:14" s="532" customFormat="1" ht="17.25" customHeight="1" x14ac:dyDescent="0.25">
      <c r="A486" s="378"/>
      <c r="B486" s="2032"/>
      <c r="C486" s="2033"/>
      <c r="D486" s="2033"/>
      <c r="E486" s="2033"/>
      <c r="F486" s="2033"/>
      <c r="G486" s="2033"/>
      <c r="H486" s="2033"/>
      <c r="I486" s="2033"/>
      <c r="J486" s="2033"/>
      <c r="K486" s="2033"/>
      <c r="L486" s="2033"/>
      <c r="M486" s="2034"/>
      <c r="N486" s="378"/>
    </row>
    <row r="487" spans="1:14" s="532" customFormat="1" ht="17.25" customHeight="1" x14ac:dyDescent="0.25">
      <c r="A487" s="378"/>
      <c r="B487" s="2032"/>
      <c r="C487" s="2033"/>
      <c r="D487" s="2033"/>
      <c r="E487" s="2033"/>
      <c r="F487" s="2033"/>
      <c r="G487" s="2033"/>
      <c r="H487" s="2033"/>
      <c r="I487" s="2033"/>
      <c r="J487" s="2033"/>
      <c r="K487" s="2033"/>
      <c r="L487" s="2033"/>
      <c r="M487" s="2034"/>
      <c r="N487" s="378"/>
    </row>
    <row r="488" spans="1:14" s="532" customFormat="1" ht="17.25" customHeight="1" x14ac:dyDescent="0.25">
      <c r="A488" s="378"/>
      <c r="B488" s="2032"/>
      <c r="C488" s="2033"/>
      <c r="D488" s="2033"/>
      <c r="E488" s="2033"/>
      <c r="F488" s="2033"/>
      <c r="G488" s="2033"/>
      <c r="H488" s="2033"/>
      <c r="I488" s="2033"/>
      <c r="J488" s="2033"/>
      <c r="K488" s="2033"/>
      <c r="L488" s="2033"/>
      <c r="M488" s="2034"/>
      <c r="N488" s="378"/>
    </row>
    <row r="489" spans="1:14" s="532" customFormat="1" ht="17.25" customHeight="1" x14ac:dyDescent="0.25">
      <c r="A489" s="378"/>
      <c r="B489" s="2032"/>
      <c r="C489" s="2033"/>
      <c r="D489" s="2033"/>
      <c r="E489" s="2033"/>
      <c r="F489" s="2033"/>
      <c r="G489" s="2033"/>
      <c r="H489" s="2033"/>
      <c r="I489" s="2033"/>
      <c r="J489" s="2033"/>
      <c r="K489" s="2033"/>
      <c r="L489" s="2033"/>
      <c r="M489" s="2034"/>
      <c r="N489" s="378"/>
    </row>
    <row r="490" spans="1:14" s="532" customFormat="1" ht="17.25" customHeight="1" x14ac:dyDescent="0.25">
      <c r="A490" s="378"/>
      <c r="B490" s="2032"/>
      <c r="C490" s="2033"/>
      <c r="D490" s="2033"/>
      <c r="E490" s="2033"/>
      <c r="F490" s="2033"/>
      <c r="G490" s="2033"/>
      <c r="H490" s="2033"/>
      <c r="I490" s="2033"/>
      <c r="J490" s="2033"/>
      <c r="K490" s="2033"/>
      <c r="L490" s="2033"/>
      <c r="M490" s="2034"/>
      <c r="N490" s="378"/>
    </row>
    <row r="491" spans="1:14" s="532" customFormat="1" ht="17.25" customHeight="1" x14ac:dyDescent="0.25">
      <c r="A491" s="378"/>
      <c r="B491" s="2035"/>
      <c r="C491" s="2036"/>
      <c r="D491" s="2036"/>
      <c r="E491" s="2036"/>
      <c r="F491" s="2036"/>
      <c r="G491" s="2036"/>
      <c r="H491" s="2036"/>
      <c r="I491" s="2036"/>
      <c r="J491" s="2036"/>
      <c r="K491" s="2036"/>
      <c r="L491" s="2036"/>
      <c r="M491" s="2037"/>
      <c r="N491" s="378"/>
    </row>
    <row r="492" spans="1:14" s="532" customFormat="1" ht="13.5" customHeight="1" x14ac:dyDescent="0.25">
      <c r="A492" s="378"/>
      <c r="B492" s="519"/>
      <c r="C492" s="13"/>
      <c r="D492" s="519"/>
      <c r="E492" s="13"/>
      <c r="F492" s="13"/>
      <c r="G492" s="13"/>
      <c r="H492" s="13"/>
      <c r="I492" s="13"/>
      <c r="J492" s="13"/>
      <c r="K492" s="13"/>
      <c r="L492" s="13"/>
      <c r="M492" s="13"/>
      <c r="N492" s="378"/>
    </row>
    <row r="493" spans="1:14" s="532" customFormat="1" ht="17.25" customHeight="1" x14ac:dyDescent="0.25">
      <c r="A493" s="660">
        <v>20</v>
      </c>
      <c r="B493" s="2018" t="s">
        <v>564</v>
      </c>
      <c r="C493" s="2018"/>
      <c r="D493" s="2018"/>
      <c r="E493" s="2018"/>
      <c r="F493" s="2018"/>
      <c r="G493" s="2018"/>
      <c r="H493" s="2018"/>
      <c r="I493" s="2018"/>
      <c r="J493" s="2018"/>
      <c r="K493" s="2018"/>
      <c r="L493" s="2018"/>
      <c r="M493" s="2018"/>
      <c r="N493" s="378"/>
    </row>
    <row r="494" spans="1:14" s="532" customFormat="1" ht="12" customHeight="1" x14ac:dyDescent="0.25">
      <c r="A494" s="378"/>
      <c r="B494" s="519"/>
      <c r="C494" s="13"/>
      <c r="D494" s="519"/>
      <c r="E494" s="13"/>
      <c r="F494" s="13"/>
      <c r="G494" s="13"/>
      <c r="H494" s="13"/>
      <c r="I494" s="13"/>
      <c r="J494" s="13"/>
      <c r="K494" s="13"/>
      <c r="L494" s="13"/>
      <c r="M494" s="13"/>
      <c r="N494" s="378"/>
    </row>
    <row r="495" spans="1:14" s="532" customFormat="1" ht="17.25" customHeight="1" x14ac:dyDescent="0.25">
      <c r="A495" s="378"/>
      <c r="B495" s="2029" t="s">
        <v>763</v>
      </c>
      <c r="C495" s="2030"/>
      <c r="D495" s="2030"/>
      <c r="E495" s="2030"/>
      <c r="F495" s="2030"/>
      <c r="G495" s="2030"/>
      <c r="H495" s="2030"/>
      <c r="I495" s="2030"/>
      <c r="J495" s="2030"/>
      <c r="K495" s="2030"/>
      <c r="L495" s="2030"/>
      <c r="M495" s="2031"/>
      <c r="N495" s="378"/>
    </row>
    <row r="496" spans="1:14" s="532" customFormat="1" ht="17.25" customHeight="1" x14ac:dyDescent="0.25">
      <c r="A496" s="378"/>
      <c r="B496" s="2032"/>
      <c r="C496" s="2033"/>
      <c r="D496" s="2033"/>
      <c r="E496" s="2033"/>
      <c r="F496" s="2033"/>
      <c r="G496" s="2033"/>
      <c r="H496" s="2033"/>
      <c r="I496" s="2033"/>
      <c r="J496" s="2033"/>
      <c r="K496" s="2033"/>
      <c r="L496" s="2033"/>
      <c r="M496" s="2034"/>
      <c r="N496" s="378"/>
    </row>
    <row r="497" spans="1:14" s="532" customFormat="1" ht="17.25" customHeight="1" x14ac:dyDescent="0.25">
      <c r="A497" s="378"/>
      <c r="B497" s="2032"/>
      <c r="C497" s="2033"/>
      <c r="D497" s="2033"/>
      <c r="E497" s="2033"/>
      <c r="F497" s="2033"/>
      <c r="G497" s="2033"/>
      <c r="H497" s="2033"/>
      <c r="I497" s="2033"/>
      <c r="J497" s="2033"/>
      <c r="K497" s="2033"/>
      <c r="L497" s="2033"/>
      <c r="M497" s="2034"/>
      <c r="N497" s="378"/>
    </row>
    <row r="498" spans="1:14" s="532" customFormat="1" ht="17.25" customHeight="1" x14ac:dyDescent="0.25">
      <c r="A498" s="378"/>
      <c r="B498" s="2032"/>
      <c r="C498" s="2033"/>
      <c r="D498" s="2033"/>
      <c r="E498" s="2033"/>
      <c r="F498" s="2033"/>
      <c r="G498" s="2033"/>
      <c r="H498" s="2033"/>
      <c r="I498" s="2033"/>
      <c r="J498" s="2033"/>
      <c r="K498" s="2033"/>
      <c r="L498" s="2033"/>
      <c r="M498" s="2034"/>
      <c r="N498" s="378"/>
    </row>
    <row r="499" spans="1:14" s="532" customFormat="1" ht="17.25" customHeight="1" x14ac:dyDescent="0.25">
      <c r="A499" s="378"/>
      <c r="B499" s="2032"/>
      <c r="C499" s="2033"/>
      <c r="D499" s="2033"/>
      <c r="E499" s="2033"/>
      <c r="F499" s="2033"/>
      <c r="G499" s="2033"/>
      <c r="H499" s="2033"/>
      <c r="I499" s="2033"/>
      <c r="J499" s="2033"/>
      <c r="K499" s="2033"/>
      <c r="L499" s="2033"/>
      <c r="M499" s="2034"/>
      <c r="N499" s="378"/>
    </row>
    <row r="500" spans="1:14" s="532" customFormat="1" ht="17.25" customHeight="1" x14ac:dyDescent="0.25">
      <c r="A500" s="378"/>
      <c r="B500" s="2032"/>
      <c r="C500" s="2033"/>
      <c r="D500" s="2033"/>
      <c r="E500" s="2033"/>
      <c r="F500" s="2033"/>
      <c r="G500" s="2033"/>
      <c r="H500" s="2033"/>
      <c r="I500" s="2033"/>
      <c r="J500" s="2033"/>
      <c r="K500" s="2033"/>
      <c r="L500" s="2033"/>
      <c r="M500" s="2034"/>
      <c r="N500" s="378"/>
    </row>
    <row r="501" spans="1:14" s="532" customFormat="1" ht="17.25" customHeight="1" x14ac:dyDescent="0.25">
      <c r="A501" s="378"/>
      <c r="B501" s="2032"/>
      <c r="C501" s="2033"/>
      <c r="D501" s="2033"/>
      <c r="E501" s="2033"/>
      <c r="F501" s="2033"/>
      <c r="G501" s="2033"/>
      <c r="H501" s="2033"/>
      <c r="I501" s="2033"/>
      <c r="J501" s="2033"/>
      <c r="K501" s="2033"/>
      <c r="L501" s="2033"/>
      <c r="M501" s="2034"/>
      <c r="N501" s="378"/>
    </row>
    <row r="502" spans="1:14" s="532" customFormat="1" ht="17.25" customHeight="1" x14ac:dyDescent="0.25">
      <c r="A502" s="378"/>
      <c r="B502" s="2035"/>
      <c r="C502" s="2036"/>
      <c r="D502" s="2036"/>
      <c r="E502" s="2036"/>
      <c r="F502" s="2036"/>
      <c r="G502" s="2036"/>
      <c r="H502" s="2036"/>
      <c r="I502" s="2036"/>
      <c r="J502" s="2036"/>
      <c r="K502" s="2036"/>
      <c r="L502" s="2036"/>
      <c r="M502" s="2037"/>
      <c r="N502" s="378"/>
    </row>
    <row r="503" spans="1:14" s="532" customFormat="1" ht="11.25" customHeight="1" x14ac:dyDescent="0.25">
      <c r="A503" s="378"/>
      <c r="B503" s="519"/>
      <c r="C503" s="13"/>
      <c r="D503" s="519"/>
      <c r="E503" s="13"/>
      <c r="F503" s="13"/>
      <c r="G503" s="13"/>
      <c r="H503" s="13"/>
      <c r="I503" s="13"/>
      <c r="J503" s="13"/>
      <c r="K503" s="13"/>
      <c r="L503" s="13"/>
      <c r="M503" s="13"/>
      <c r="N503" s="378"/>
    </row>
    <row r="504" spans="1:14" s="532" customFormat="1" ht="17.25" customHeight="1" x14ac:dyDescent="0.25">
      <c r="A504" s="660">
        <v>21</v>
      </c>
      <c r="B504" s="2018" t="s">
        <v>574</v>
      </c>
      <c r="C504" s="2018"/>
      <c r="D504" s="2018"/>
      <c r="E504" s="2018"/>
      <c r="F504" s="2018"/>
      <c r="G504" s="2018"/>
      <c r="H504" s="2018"/>
      <c r="I504" s="2018"/>
      <c r="J504" s="2018"/>
      <c r="K504" s="2018"/>
      <c r="L504" s="2018"/>
      <c r="M504" s="2018"/>
      <c r="N504" s="378"/>
    </row>
    <row r="505" spans="1:14" s="532" customFormat="1" ht="9" customHeight="1" x14ac:dyDescent="0.25">
      <c r="A505" s="378"/>
      <c r="B505" s="519"/>
      <c r="C505" s="13"/>
      <c r="D505" s="519"/>
      <c r="E505" s="13"/>
      <c r="F505" s="13"/>
      <c r="G505" s="13"/>
      <c r="H505" s="13"/>
      <c r="I505" s="13"/>
      <c r="J505" s="13"/>
      <c r="K505" s="13"/>
      <c r="L505" s="13"/>
      <c r="M505" s="13"/>
      <c r="N505" s="378"/>
    </row>
    <row r="506" spans="1:14" s="532" customFormat="1" ht="17.25" customHeight="1" x14ac:dyDescent="0.25">
      <c r="A506" s="378"/>
      <c r="B506" s="2029" t="s">
        <v>764</v>
      </c>
      <c r="C506" s="2030"/>
      <c r="D506" s="2030"/>
      <c r="E506" s="2030"/>
      <c r="F506" s="2030"/>
      <c r="G506" s="2030"/>
      <c r="H506" s="2030"/>
      <c r="I506" s="2030"/>
      <c r="J506" s="2030"/>
      <c r="K506" s="2030"/>
      <c r="L506" s="2030"/>
      <c r="M506" s="2031"/>
      <c r="N506" s="378"/>
    </row>
    <row r="507" spans="1:14" s="532" customFormat="1" ht="17.25" customHeight="1" x14ac:dyDescent="0.25">
      <c r="A507" s="378"/>
      <c r="B507" s="2032"/>
      <c r="C507" s="2033"/>
      <c r="D507" s="2033"/>
      <c r="E507" s="2033"/>
      <c r="F507" s="2033"/>
      <c r="G507" s="2033"/>
      <c r="H507" s="2033"/>
      <c r="I507" s="2033"/>
      <c r="J507" s="2033"/>
      <c r="K507" s="2033"/>
      <c r="L507" s="2033"/>
      <c r="M507" s="2034"/>
      <c r="N507" s="378"/>
    </row>
    <row r="508" spans="1:14" s="532" customFormat="1" ht="17.25" customHeight="1" x14ac:dyDescent="0.25">
      <c r="A508" s="378"/>
      <c r="B508" s="2032"/>
      <c r="C508" s="2033"/>
      <c r="D508" s="2033"/>
      <c r="E508" s="2033"/>
      <c r="F508" s="2033"/>
      <c r="G508" s="2033"/>
      <c r="H508" s="2033"/>
      <c r="I508" s="2033"/>
      <c r="J508" s="2033"/>
      <c r="K508" s="2033"/>
      <c r="L508" s="2033"/>
      <c r="M508" s="2034"/>
      <c r="N508" s="378"/>
    </row>
    <row r="509" spans="1:14" s="532" customFormat="1" ht="17.25" customHeight="1" x14ac:dyDescent="0.25">
      <c r="A509" s="378"/>
      <c r="B509" s="2032"/>
      <c r="C509" s="2033"/>
      <c r="D509" s="2033"/>
      <c r="E509" s="2033"/>
      <c r="F509" s="2033"/>
      <c r="G509" s="2033"/>
      <c r="H509" s="2033"/>
      <c r="I509" s="2033"/>
      <c r="J509" s="2033"/>
      <c r="K509" s="2033"/>
      <c r="L509" s="2033"/>
      <c r="M509" s="2034"/>
      <c r="N509" s="378"/>
    </row>
    <row r="510" spans="1:14" s="532" customFormat="1" ht="17.25" customHeight="1" x14ac:dyDescent="0.25">
      <c r="A510" s="378"/>
      <c r="B510" s="2032"/>
      <c r="C510" s="2033"/>
      <c r="D510" s="2033"/>
      <c r="E510" s="2033"/>
      <c r="F510" s="2033"/>
      <c r="G510" s="2033"/>
      <c r="H510" s="2033"/>
      <c r="I510" s="2033"/>
      <c r="J510" s="2033"/>
      <c r="K510" s="2033"/>
      <c r="L510" s="2033"/>
      <c r="M510" s="2034"/>
      <c r="N510" s="378"/>
    </row>
    <row r="511" spans="1:14" s="532" customFormat="1" ht="17.25" customHeight="1" x14ac:dyDescent="0.25">
      <c r="A511" s="378"/>
      <c r="B511" s="2032"/>
      <c r="C511" s="2033"/>
      <c r="D511" s="2033"/>
      <c r="E511" s="2033"/>
      <c r="F511" s="2033"/>
      <c r="G511" s="2033"/>
      <c r="H511" s="2033"/>
      <c r="I511" s="2033"/>
      <c r="J511" s="2033"/>
      <c r="K511" s="2033"/>
      <c r="L511" s="2033"/>
      <c r="M511" s="2034"/>
      <c r="N511" s="378"/>
    </row>
    <row r="512" spans="1:14" s="532" customFormat="1" ht="17.25" customHeight="1" x14ac:dyDescent="0.25">
      <c r="A512" s="378"/>
      <c r="B512" s="2032"/>
      <c r="C512" s="2033"/>
      <c r="D512" s="2033"/>
      <c r="E512" s="2033"/>
      <c r="F512" s="2033"/>
      <c r="G512" s="2033"/>
      <c r="H512" s="2033"/>
      <c r="I512" s="2033"/>
      <c r="J512" s="2033"/>
      <c r="K512" s="2033"/>
      <c r="L512" s="2033"/>
      <c r="M512" s="2034"/>
      <c r="N512" s="378"/>
    </row>
    <row r="513" spans="1:14" s="532" customFormat="1" ht="17.25" customHeight="1" x14ac:dyDescent="0.25">
      <c r="A513" s="378"/>
      <c r="B513" s="2032"/>
      <c r="C513" s="2033"/>
      <c r="D513" s="2033"/>
      <c r="E513" s="2033"/>
      <c r="F513" s="2033"/>
      <c r="G513" s="2033"/>
      <c r="H513" s="2033"/>
      <c r="I513" s="2033"/>
      <c r="J513" s="2033"/>
      <c r="K513" s="2033"/>
      <c r="L513" s="2033"/>
      <c r="M513" s="2034"/>
      <c r="N513" s="378"/>
    </row>
    <row r="514" spans="1:14" s="532" customFormat="1" ht="17.25" customHeight="1" x14ac:dyDescent="0.25">
      <c r="A514" s="378"/>
      <c r="B514" s="2032"/>
      <c r="C514" s="2033"/>
      <c r="D514" s="2033"/>
      <c r="E514" s="2033"/>
      <c r="F514" s="2033"/>
      <c r="G514" s="2033"/>
      <c r="H514" s="2033"/>
      <c r="I514" s="2033"/>
      <c r="J514" s="2033"/>
      <c r="K514" s="2033"/>
      <c r="L514" s="2033"/>
      <c r="M514" s="2034"/>
      <c r="N514" s="378"/>
    </row>
    <row r="515" spans="1:14" s="532" customFormat="1" ht="17.25" customHeight="1" x14ac:dyDescent="0.25">
      <c r="A515" s="378"/>
      <c r="B515" s="2035"/>
      <c r="C515" s="2036"/>
      <c r="D515" s="2036"/>
      <c r="E515" s="2036"/>
      <c r="F515" s="2036"/>
      <c r="G515" s="2036"/>
      <c r="H515" s="2036"/>
      <c r="I515" s="2036"/>
      <c r="J515" s="2036"/>
      <c r="K515" s="2036"/>
      <c r="L515" s="2036"/>
      <c r="M515" s="2037"/>
      <c r="N515" s="378"/>
    </row>
    <row r="516" spans="1:14" s="532" customFormat="1" ht="10.5" customHeight="1" x14ac:dyDescent="0.25">
      <c r="A516" s="378"/>
      <c r="B516" s="519"/>
      <c r="C516" s="13"/>
      <c r="D516" s="519"/>
      <c r="E516" s="13"/>
      <c r="F516" s="13"/>
      <c r="G516" s="13"/>
      <c r="H516" s="13"/>
      <c r="I516" s="13"/>
      <c r="J516" s="13"/>
      <c r="K516" s="13"/>
      <c r="L516" s="13"/>
      <c r="M516" s="13"/>
      <c r="N516" s="378"/>
    </row>
    <row r="517" spans="1:14" s="532" customFormat="1" ht="17.25" customHeight="1" x14ac:dyDescent="0.25">
      <c r="A517" s="378"/>
      <c r="B517" s="2029" t="s">
        <v>765</v>
      </c>
      <c r="C517" s="2030"/>
      <c r="D517" s="2030"/>
      <c r="E517" s="2030"/>
      <c r="F517" s="2030"/>
      <c r="G517" s="2030"/>
      <c r="H517" s="2030"/>
      <c r="I517" s="2030"/>
      <c r="J517" s="2030"/>
      <c r="K517" s="2030"/>
      <c r="L517" s="2030"/>
      <c r="M517" s="2031"/>
      <c r="N517" s="378"/>
    </row>
    <row r="518" spans="1:14" s="532" customFormat="1" ht="17.25" customHeight="1" x14ac:dyDescent="0.25">
      <c r="A518" s="378"/>
      <c r="B518" s="2032"/>
      <c r="C518" s="2033"/>
      <c r="D518" s="2033"/>
      <c r="E518" s="2033"/>
      <c r="F518" s="2033"/>
      <c r="G518" s="2033"/>
      <c r="H518" s="2033"/>
      <c r="I518" s="2033"/>
      <c r="J518" s="2033"/>
      <c r="K518" s="2033"/>
      <c r="L518" s="2033"/>
      <c r="M518" s="2034"/>
      <c r="N518" s="378"/>
    </row>
    <row r="519" spans="1:14" s="532" customFormat="1" ht="17.25" customHeight="1" x14ac:dyDescent="0.25">
      <c r="A519" s="378"/>
      <c r="B519" s="2032"/>
      <c r="C519" s="2033"/>
      <c r="D519" s="2033"/>
      <c r="E519" s="2033"/>
      <c r="F519" s="2033"/>
      <c r="G519" s="2033"/>
      <c r="H519" s="2033"/>
      <c r="I519" s="2033"/>
      <c r="J519" s="2033"/>
      <c r="K519" s="2033"/>
      <c r="L519" s="2033"/>
      <c r="M519" s="2034"/>
      <c r="N519" s="378"/>
    </row>
    <row r="520" spans="1:14" s="532" customFormat="1" ht="17.25" customHeight="1" x14ac:dyDescent="0.25">
      <c r="A520" s="378"/>
      <c r="B520" s="2032"/>
      <c r="C520" s="2033"/>
      <c r="D520" s="2033"/>
      <c r="E520" s="2033"/>
      <c r="F520" s="2033"/>
      <c r="G520" s="2033"/>
      <c r="H520" s="2033"/>
      <c r="I520" s="2033"/>
      <c r="J520" s="2033"/>
      <c r="K520" s="2033"/>
      <c r="L520" s="2033"/>
      <c r="M520" s="2034"/>
      <c r="N520" s="378"/>
    </row>
    <row r="521" spans="1:14" s="532" customFormat="1" ht="17.25" customHeight="1" x14ac:dyDescent="0.25">
      <c r="A521" s="378"/>
      <c r="B521" s="2032"/>
      <c r="C521" s="2033"/>
      <c r="D521" s="2033"/>
      <c r="E521" s="2033"/>
      <c r="F521" s="2033"/>
      <c r="G521" s="2033"/>
      <c r="H521" s="2033"/>
      <c r="I521" s="2033"/>
      <c r="J521" s="2033"/>
      <c r="K521" s="2033"/>
      <c r="L521" s="2033"/>
      <c r="M521" s="2034"/>
      <c r="N521" s="378"/>
    </row>
    <row r="522" spans="1:14" s="532" customFormat="1" ht="17.25" customHeight="1" x14ac:dyDescent="0.25">
      <c r="A522" s="378"/>
      <c r="B522" s="2032"/>
      <c r="C522" s="2033"/>
      <c r="D522" s="2033"/>
      <c r="E522" s="2033"/>
      <c r="F522" s="2033"/>
      <c r="G522" s="2033"/>
      <c r="H522" s="2033"/>
      <c r="I522" s="2033"/>
      <c r="J522" s="2033"/>
      <c r="K522" s="2033"/>
      <c r="L522" s="2033"/>
      <c r="M522" s="2034"/>
      <c r="N522" s="378"/>
    </row>
    <row r="523" spans="1:14" s="532" customFormat="1" ht="25.5" customHeight="1" x14ac:dyDescent="0.25">
      <c r="A523" s="378"/>
      <c r="B523" s="2032"/>
      <c r="C523" s="2033"/>
      <c r="D523" s="2033"/>
      <c r="E523" s="2033"/>
      <c r="F523" s="2033"/>
      <c r="G523" s="2033"/>
      <c r="H523" s="2033"/>
      <c r="I523" s="2033"/>
      <c r="J523" s="2033"/>
      <c r="K523" s="2033"/>
      <c r="L523" s="2033"/>
      <c r="M523" s="2034"/>
      <c r="N523" s="378"/>
    </row>
    <row r="524" spans="1:14" s="532" customFormat="1" ht="17.25" customHeight="1" x14ac:dyDescent="0.25">
      <c r="A524" s="378"/>
      <c r="B524" s="2032"/>
      <c r="C524" s="2033"/>
      <c r="D524" s="2033"/>
      <c r="E524" s="2033"/>
      <c r="F524" s="2033"/>
      <c r="G524" s="2033"/>
      <c r="H524" s="2033"/>
      <c r="I524" s="2033"/>
      <c r="J524" s="2033"/>
      <c r="K524" s="2033"/>
      <c r="L524" s="2033"/>
      <c r="M524" s="2034"/>
      <c r="N524" s="378"/>
    </row>
    <row r="525" spans="1:14" s="532" customFormat="1" ht="17.25" customHeight="1" x14ac:dyDescent="0.25">
      <c r="A525" s="378"/>
      <c r="B525" s="2032"/>
      <c r="C525" s="2033"/>
      <c r="D525" s="2033"/>
      <c r="E525" s="2033"/>
      <c r="F525" s="2033"/>
      <c r="G525" s="2033"/>
      <c r="H525" s="2033"/>
      <c r="I525" s="2033"/>
      <c r="J525" s="2033"/>
      <c r="K525" s="2033"/>
      <c r="L525" s="2033"/>
      <c r="M525" s="2034"/>
      <c r="N525" s="378"/>
    </row>
    <row r="526" spans="1:14" s="532" customFormat="1" ht="17.25" customHeight="1" x14ac:dyDescent="0.25">
      <c r="A526" s="378"/>
      <c r="B526" s="2032"/>
      <c r="C526" s="2033"/>
      <c r="D526" s="2033"/>
      <c r="E526" s="2033"/>
      <c r="F526" s="2033"/>
      <c r="G526" s="2033"/>
      <c r="H526" s="2033"/>
      <c r="I526" s="2033"/>
      <c r="J526" s="2033"/>
      <c r="K526" s="2033"/>
      <c r="L526" s="2033"/>
      <c r="M526" s="2034"/>
      <c r="N526" s="378"/>
    </row>
    <row r="527" spans="1:14" s="532" customFormat="1" ht="17.25" customHeight="1" x14ac:dyDescent="0.25">
      <c r="A527" s="378"/>
      <c r="B527" s="2032"/>
      <c r="C527" s="2033"/>
      <c r="D527" s="2033"/>
      <c r="E527" s="2033"/>
      <c r="F527" s="2033"/>
      <c r="G527" s="2033"/>
      <c r="H527" s="2033"/>
      <c r="I527" s="2033"/>
      <c r="J527" s="2033"/>
      <c r="K527" s="2033"/>
      <c r="L527" s="2033"/>
      <c r="M527" s="2034"/>
      <c r="N527" s="378"/>
    </row>
    <row r="528" spans="1:14" s="532" customFormat="1" ht="17.25" customHeight="1" x14ac:dyDescent="0.25">
      <c r="A528" s="378"/>
      <c r="B528" s="2035"/>
      <c r="C528" s="2036"/>
      <c r="D528" s="2036"/>
      <c r="E528" s="2036"/>
      <c r="F528" s="2036"/>
      <c r="G528" s="2036"/>
      <c r="H528" s="2036"/>
      <c r="I528" s="2036"/>
      <c r="J528" s="2036"/>
      <c r="K528" s="2036"/>
      <c r="L528" s="2036"/>
      <c r="M528" s="2037"/>
      <c r="N528" s="378"/>
    </row>
    <row r="529" spans="1:14" s="532" customFormat="1" ht="17.25" customHeight="1" x14ac:dyDescent="0.25">
      <c r="A529" s="378"/>
      <c r="B529" s="1309"/>
      <c r="C529" s="1309"/>
      <c r="D529" s="1309"/>
      <c r="E529" s="1309"/>
      <c r="F529" s="1309"/>
      <c r="G529" s="1309"/>
      <c r="H529" s="1309"/>
      <c r="I529" s="1309"/>
      <c r="J529" s="1309"/>
      <c r="K529" s="1309"/>
      <c r="L529" s="1309"/>
      <c r="M529" s="1309"/>
      <c r="N529" s="378"/>
    </row>
    <row r="530" spans="1:14" s="532" customFormat="1" ht="17.25" customHeight="1" x14ac:dyDescent="0.25">
      <c r="A530" s="378"/>
      <c r="B530" s="1309"/>
      <c r="C530" s="1309"/>
      <c r="D530" s="1309"/>
      <c r="E530" s="1309"/>
      <c r="F530" s="1309"/>
      <c r="G530" s="1309"/>
      <c r="H530" s="1309"/>
      <c r="I530" s="1309"/>
      <c r="J530" s="1309"/>
      <c r="K530" s="1309"/>
      <c r="L530" s="1309"/>
      <c r="M530" s="1309"/>
      <c r="N530" s="378"/>
    </row>
    <row r="531" spans="1:14" s="532" customFormat="1" ht="17.25" customHeight="1" x14ac:dyDescent="0.25">
      <c r="A531" s="378"/>
      <c r="B531" s="1309"/>
      <c r="C531" s="1309"/>
      <c r="D531" s="1309"/>
      <c r="E531" s="1309"/>
      <c r="F531" s="1309"/>
      <c r="G531" s="1309"/>
      <c r="H531" s="1309"/>
      <c r="I531" s="1309"/>
      <c r="J531" s="1309"/>
      <c r="K531" s="1309"/>
      <c r="L531" s="1309"/>
      <c r="M531" s="1309"/>
      <c r="N531" s="378"/>
    </row>
    <row r="532" spans="1:14" s="532" customFormat="1" ht="17.25" customHeight="1" x14ac:dyDescent="0.25">
      <c r="A532" s="378"/>
      <c r="B532" s="519"/>
      <c r="C532" s="13"/>
      <c r="D532" s="519"/>
      <c r="E532" s="13"/>
      <c r="F532" s="13"/>
      <c r="G532" s="13"/>
      <c r="H532" s="13"/>
      <c r="I532" s="13"/>
      <c r="J532" s="13"/>
      <c r="K532" s="13"/>
      <c r="L532" s="13"/>
      <c r="M532" s="13"/>
      <c r="N532" s="378"/>
    </row>
    <row r="533" spans="1:14" s="532" customFormat="1" ht="27.75" customHeight="1" x14ac:dyDescent="0.35">
      <c r="A533" s="973"/>
      <c r="B533" s="2228" t="s">
        <v>766</v>
      </c>
      <c r="C533" s="2228"/>
      <c r="D533" s="2228"/>
      <c r="E533" s="2228"/>
      <c r="F533" s="2228"/>
      <c r="G533" s="2228"/>
      <c r="H533" s="2228"/>
      <c r="I533" s="2228"/>
      <c r="J533" s="2228"/>
      <c r="K533" s="2228"/>
      <c r="L533" s="2228"/>
      <c r="M533" s="2228"/>
      <c r="N533" s="973"/>
    </row>
    <row r="534" spans="1:14" s="532" customFormat="1" ht="17.25" customHeight="1" x14ac:dyDescent="0.25">
      <c r="A534" s="378"/>
      <c r="B534" s="519"/>
      <c r="C534" s="13"/>
      <c r="D534" s="519"/>
      <c r="E534" s="13"/>
      <c r="F534" s="13"/>
      <c r="G534" s="13"/>
      <c r="H534" s="13"/>
      <c r="I534" s="13"/>
      <c r="J534" s="13"/>
      <c r="K534" s="13"/>
      <c r="L534" s="13"/>
      <c r="M534" s="13"/>
      <c r="N534" s="378"/>
    </row>
    <row r="535" spans="1:14" s="532" customFormat="1" ht="17.25" customHeight="1" x14ac:dyDescent="0.25">
      <c r="A535" s="378"/>
      <c r="B535" s="1020" t="s">
        <v>709</v>
      </c>
      <c r="C535" s="378"/>
      <c r="D535" s="519"/>
      <c r="E535" s="378"/>
      <c r="F535" s="378"/>
      <c r="G535" s="378"/>
      <c r="H535" s="378"/>
      <c r="I535" s="378"/>
      <c r="J535" s="378"/>
      <c r="K535" s="378"/>
      <c r="L535" s="378"/>
      <c r="M535" s="378"/>
      <c r="N535" s="378"/>
    </row>
    <row r="536" spans="1:14" s="532" customFormat="1" ht="17.25" customHeight="1" x14ac:dyDescent="0.25">
      <c r="A536" s="378"/>
      <c r="B536" s="519"/>
      <c r="C536" s="378"/>
      <c r="D536" s="519"/>
      <c r="E536" s="378"/>
      <c r="F536" s="378"/>
      <c r="G536" s="378"/>
      <c r="H536" s="378"/>
      <c r="I536" s="378"/>
      <c r="J536" s="378"/>
      <c r="K536" s="378"/>
      <c r="L536" s="378"/>
      <c r="M536" s="378"/>
      <c r="N536" s="378"/>
    </row>
    <row r="537" spans="1:14" s="532" customFormat="1" ht="17.25" customHeight="1" x14ac:dyDescent="0.25">
      <c r="A537" s="594">
        <v>12</v>
      </c>
      <c r="B537" s="2238" t="s">
        <v>767</v>
      </c>
      <c r="C537" s="2238"/>
      <c r="D537" s="2238"/>
      <c r="E537" s="2238"/>
      <c r="F537" s="2238"/>
      <c r="G537" s="2238"/>
      <c r="H537" s="378"/>
      <c r="I537" s="378"/>
      <c r="J537" s="378"/>
      <c r="K537" s="378"/>
      <c r="L537" s="378"/>
      <c r="M537" s="378"/>
      <c r="N537" s="378"/>
    </row>
    <row r="538" spans="1:14" s="532" customFormat="1" ht="17.25" customHeight="1" x14ac:dyDescent="0.25">
      <c r="A538" s="378"/>
      <c r="B538" s="532" t="s">
        <v>768</v>
      </c>
      <c r="C538" s="378"/>
      <c r="D538" s="519"/>
      <c r="E538" s="378"/>
      <c r="F538" s="378"/>
      <c r="G538" s="378"/>
      <c r="H538" s="378"/>
      <c r="I538" s="378"/>
      <c r="J538" s="378"/>
      <c r="K538" s="378"/>
      <c r="L538" s="378"/>
      <c r="M538" s="378"/>
      <c r="N538" s="378"/>
    </row>
    <row r="539" spans="1:14" s="532" customFormat="1" ht="17.25" customHeight="1" x14ac:dyDescent="0.25">
      <c r="A539" s="378"/>
      <c r="B539" s="1040" t="s">
        <v>769</v>
      </c>
      <c r="C539" s="1041"/>
      <c r="D539" s="1042"/>
      <c r="E539" s="1041"/>
      <c r="F539" s="1041"/>
      <c r="G539" s="1041"/>
      <c r="H539" s="1041"/>
      <c r="I539" s="1041"/>
      <c r="J539" s="1041"/>
      <c r="K539" s="1043"/>
      <c r="L539" s="378"/>
      <c r="M539" s="378"/>
      <c r="N539" s="378"/>
    </row>
    <row r="540" spans="1:14" s="532" customFormat="1" ht="17.25" customHeight="1" x14ac:dyDescent="0.25">
      <c r="A540" s="582"/>
      <c r="B540" s="532" t="s">
        <v>770</v>
      </c>
      <c r="C540" s="378"/>
      <c r="D540" s="519"/>
      <c r="E540" s="378"/>
      <c r="F540" s="378"/>
      <c r="G540" s="378"/>
      <c r="H540" s="378"/>
      <c r="I540" s="378"/>
      <c r="J540" s="378"/>
      <c r="K540" s="378"/>
      <c r="L540" s="378"/>
      <c r="M540" s="378"/>
      <c r="N540" s="378"/>
    </row>
    <row r="541" spans="1:14" s="532" customFormat="1" ht="17.25" customHeight="1" x14ac:dyDescent="0.25">
      <c r="A541" s="582"/>
      <c r="B541" s="1040" t="s">
        <v>771</v>
      </c>
      <c r="C541" s="1041"/>
      <c r="D541" s="1042"/>
      <c r="E541" s="1041"/>
      <c r="F541" s="1041"/>
      <c r="G541" s="1041"/>
      <c r="H541" s="1041"/>
      <c r="I541" s="1041"/>
      <c r="J541" s="1041"/>
      <c r="K541" s="1043"/>
      <c r="L541" s="378"/>
      <c r="M541" s="378"/>
      <c r="N541" s="378"/>
    </row>
    <row r="542" spans="1:14" s="532" customFormat="1" ht="17.25" customHeight="1" x14ac:dyDescent="0.35">
      <c r="A542" s="582"/>
      <c r="B542" s="518"/>
      <c r="C542" s="378"/>
      <c r="D542" s="519"/>
      <c r="E542" s="378"/>
      <c r="F542" s="378"/>
      <c r="G542" s="378"/>
      <c r="H542" s="378"/>
      <c r="I542" s="378"/>
      <c r="J542" s="378"/>
      <c r="K542" s="378"/>
      <c r="L542" s="378"/>
      <c r="M542" s="378"/>
      <c r="N542" s="378"/>
    </row>
    <row r="543" spans="1:14" s="532" customFormat="1" ht="17.25" customHeight="1" x14ac:dyDescent="0.25">
      <c r="A543" s="594">
        <v>13</v>
      </c>
      <c r="B543" s="2238" t="s">
        <v>772</v>
      </c>
      <c r="C543" s="2238"/>
      <c r="D543" s="2238"/>
      <c r="E543" s="2238"/>
      <c r="F543" s="2238"/>
      <c r="G543" s="2238"/>
      <c r="H543" s="378"/>
      <c r="I543" s="378"/>
      <c r="J543" s="378"/>
      <c r="K543" s="378"/>
      <c r="L543" s="378"/>
      <c r="M543" s="378"/>
      <c r="N543" s="378"/>
    </row>
    <row r="544" spans="1:14" s="532" customFormat="1" ht="17.25" customHeight="1" x14ac:dyDescent="0.35">
      <c r="A544" s="582"/>
      <c r="B544" s="518"/>
      <c r="C544" s="378"/>
      <c r="D544" s="519"/>
      <c r="E544" s="378"/>
      <c r="F544" s="378"/>
      <c r="G544" s="378"/>
      <c r="H544" s="378"/>
      <c r="I544" s="378"/>
      <c r="J544" s="378"/>
      <c r="K544" s="378"/>
      <c r="L544" s="378"/>
      <c r="M544" s="378"/>
      <c r="N544" s="378"/>
    </row>
    <row r="545" spans="1:14" s="532" customFormat="1" ht="17.25" customHeight="1" x14ac:dyDescent="0.25">
      <c r="A545" s="582"/>
      <c r="B545" s="1587" t="s">
        <v>773</v>
      </c>
      <c r="C545" s="1587"/>
      <c r="D545" s="1046" t="s">
        <v>774</v>
      </c>
      <c r="E545" s="2100" t="s">
        <v>775</v>
      </c>
      <c r="F545" s="2242"/>
      <c r="G545" s="1547" t="s">
        <v>776</v>
      </c>
      <c r="H545" s="1046" t="s">
        <v>774</v>
      </c>
      <c r="I545" s="2226" t="s">
        <v>777</v>
      </c>
      <c r="J545" s="2226"/>
      <c r="K545" s="1547" t="s">
        <v>776</v>
      </c>
      <c r="L545" s="378"/>
      <c r="M545" s="378"/>
      <c r="N545" s="378"/>
    </row>
    <row r="546" spans="1:14" s="532" customFormat="1" ht="17.25" customHeight="1" x14ac:dyDescent="0.25">
      <c r="A546" s="582"/>
      <c r="B546" s="1690" t="s">
        <v>778</v>
      </c>
      <c r="C546" s="1690"/>
      <c r="D546" s="1044">
        <v>1</v>
      </c>
      <c r="E546" s="2193" t="e">
        <f>('1 QUESTIONÁRIO'!G203*D546)*G546*('4 RELATÓRIO'!$G$11)</f>
        <v>#DIV/0!</v>
      </c>
      <c r="F546" s="2194"/>
      <c r="G546" s="598" t="e">
        <f>'1 QUESTIONÁRIO'!E117+'1 QUESTIONÁRIO'!E118+'1 QUESTIONÁRIO'!E119+'1 QUESTIONÁRIO'!E120+'1 QUESTIONÁRIO'!E121</f>
        <v>#DIV/0!</v>
      </c>
      <c r="H546" s="1398">
        <f>+D546</f>
        <v>1</v>
      </c>
      <c r="I546" s="2192" t="e">
        <f>(K546*H546)*'4 RELATÓRIO'!G11*'1 QUESTIONÁRIO'!G205</f>
        <v>#DIV/0!</v>
      </c>
      <c r="J546" s="2192"/>
      <c r="K546" s="598" t="e">
        <f>+('1 QUESTIONÁRIO'!F117+'1 QUESTIONÁRIO'!F118+'1 QUESTIONÁRIO'!F119+'1 QUESTIONÁRIO'!F120+'1 QUESTIONÁRIO'!F121)/'1 QUESTIONÁRIO'!F123</f>
        <v>#DIV/0!</v>
      </c>
      <c r="L546" s="378"/>
      <c r="M546" s="378"/>
      <c r="N546" s="378"/>
    </row>
    <row r="547" spans="1:14" s="532" customFormat="1" ht="17.25" customHeight="1" x14ac:dyDescent="0.25">
      <c r="A547" s="582"/>
      <c r="B547" s="1690" t="s">
        <v>64</v>
      </c>
      <c r="C547" s="1690"/>
      <c r="D547" s="1044">
        <v>1</v>
      </c>
      <c r="E547" s="2193" t="e">
        <f>('1 QUESTIONÁRIO'!G203*D547)*G547*('4 RELATÓRIO'!$G$11)</f>
        <v>#DIV/0!</v>
      </c>
      <c r="F547" s="2194"/>
      <c r="G547" s="598" t="e">
        <f>'1 QUESTIONÁRIO'!E115</f>
        <v>#DIV/0!</v>
      </c>
      <c r="H547" s="1398">
        <f>+D547</f>
        <v>1</v>
      </c>
      <c r="I547" s="2192" t="e">
        <f>(K547*H547)*'4 RELATÓRIO'!G11*'1 QUESTIONÁRIO'!G205</f>
        <v>#DIV/0!</v>
      </c>
      <c r="J547" s="2192"/>
      <c r="K547" s="598" t="e">
        <f>+'1 QUESTIONÁRIO'!F115/'1 QUESTIONÁRIO'!F123</f>
        <v>#DIV/0!</v>
      </c>
      <c r="L547" s="378"/>
      <c r="M547" s="378"/>
      <c r="N547" s="378"/>
    </row>
    <row r="548" spans="1:14" s="532" customFormat="1" ht="17.25" customHeight="1" x14ac:dyDescent="0.25">
      <c r="A548" s="582"/>
      <c r="B548" s="1690" t="s">
        <v>521</v>
      </c>
      <c r="C548" s="1690"/>
      <c r="D548" s="1044">
        <v>1</v>
      </c>
      <c r="E548" s="2193" t="e">
        <f>('1 QUESTIONÁRIO'!G203*D548)*G548*('4 RELATÓRIO'!$G$11)</f>
        <v>#DIV/0!</v>
      </c>
      <c r="F548" s="2194"/>
      <c r="G548" s="598" t="e">
        <f>'1 QUESTIONÁRIO'!E114</f>
        <v>#DIV/0!</v>
      </c>
      <c r="H548" s="1398">
        <f>+D548</f>
        <v>1</v>
      </c>
      <c r="I548" s="2192" t="e">
        <f>K548*'4 RELATÓRIO'!G11*('1 QUESTIONÁRIO'!G205*H548)</f>
        <v>#DIV/0!</v>
      </c>
      <c r="J548" s="2192"/>
      <c r="K548" s="598" t="e">
        <f>+'1 QUESTIONÁRIO'!F114/'1 QUESTIONÁRIO'!F123</f>
        <v>#DIV/0!</v>
      </c>
      <c r="L548" s="378"/>
      <c r="M548" s="378"/>
      <c r="N548" s="378"/>
    </row>
    <row r="549" spans="1:14" s="532" customFormat="1" ht="17.25" customHeight="1" x14ac:dyDescent="0.25">
      <c r="A549" s="582"/>
      <c r="B549" s="1690" t="s">
        <v>779</v>
      </c>
      <c r="C549" s="1690"/>
      <c r="D549" s="1044">
        <v>1000</v>
      </c>
      <c r="E549" s="2193" t="e">
        <f>+'4 RELATÓRIO'!G11*G549*D549</f>
        <v>#DIV/0!</v>
      </c>
      <c r="F549" s="2194"/>
      <c r="G549" s="598" t="e">
        <f>'1 QUESTIONÁRIO'!E199/'4 RELATÓRIO'!G11</f>
        <v>#DIV/0!</v>
      </c>
      <c r="H549" s="1398">
        <f>+D549</f>
        <v>1000</v>
      </c>
      <c r="I549" s="2192" t="e">
        <f>+'4 RELATÓRIO'!G11*K549*H549</f>
        <v>#DIV/0!</v>
      </c>
      <c r="J549" s="2192"/>
      <c r="K549" s="598" t="e">
        <f>+'1 QUESTIONÁRIO'!G199/'4 RELATÓRIO'!G11</f>
        <v>#DIV/0!</v>
      </c>
      <c r="L549" s="378"/>
      <c r="M549" s="378"/>
      <c r="N549" s="378"/>
    </row>
    <row r="550" spans="1:14" s="532" customFormat="1" ht="17.25" customHeight="1" x14ac:dyDescent="0.25">
      <c r="A550" s="582"/>
      <c r="B550" s="1690" t="s">
        <v>780</v>
      </c>
      <c r="C550" s="1690"/>
      <c r="D550" s="1044">
        <v>1</v>
      </c>
      <c r="E550" s="2193" t="e">
        <f>('1 QUESTIONÁRIO'!G203*D550)*G550*('4 RELATÓRIO'!$G$11)</f>
        <v>#DIV/0!</v>
      </c>
      <c r="F550" s="2194"/>
      <c r="G550" s="598" t="e">
        <f>'1 QUESTIONÁRIO'!E113+'1 QUESTIONÁRIO'!E116</f>
        <v>#DIV/0!</v>
      </c>
      <c r="H550" s="1398">
        <f>+D550</f>
        <v>1</v>
      </c>
      <c r="I550" s="2192" t="e">
        <f>K550*'4 RELATÓRIO'!G11*('1 QUESTIONÁRIO'!G205*H550)</f>
        <v>#DIV/0!</v>
      </c>
      <c r="J550" s="2192"/>
      <c r="K550" s="598" t="e">
        <f>+('1 QUESTIONÁRIO'!F113+'1 QUESTIONÁRIO'!F116)/'1 QUESTIONÁRIO'!F123</f>
        <v>#DIV/0!</v>
      </c>
      <c r="L550" s="378"/>
      <c r="M550" s="378"/>
      <c r="N550" s="378"/>
    </row>
    <row r="551" spans="1:14" s="532" customFormat="1" ht="17.25" customHeight="1" x14ac:dyDescent="0.25">
      <c r="A551" s="582"/>
      <c r="B551" s="13"/>
      <c r="C551" s="13"/>
      <c r="D551" s="405"/>
      <c r="E551" s="2241"/>
      <c r="F551" s="2241"/>
      <c r="G551" s="574" t="e">
        <f>+G550+G548+G547+G546</f>
        <v>#DIV/0!</v>
      </c>
      <c r="H551" s="451"/>
      <c r="I551" s="380"/>
      <c r="J551" s="478" t="s">
        <v>781</v>
      </c>
      <c r="K551" s="574" t="e">
        <f>+K550+K548+K547+K546</f>
        <v>#DIV/0!</v>
      </c>
      <c r="L551" s="378"/>
      <c r="M551" s="378"/>
      <c r="N551" s="378"/>
    </row>
    <row r="552" spans="1:14" s="532" customFormat="1" ht="17.25" customHeight="1" x14ac:dyDescent="0.25">
      <c r="A552" s="582"/>
      <c r="B552" s="1587" t="s">
        <v>782</v>
      </c>
      <c r="C552" s="1587"/>
      <c r="D552" s="13"/>
      <c r="E552" s="2195" t="e">
        <f>E546+E547+E548+E549+E550</f>
        <v>#DIV/0!</v>
      </c>
      <c r="F552" s="2194"/>
      <c r="H552" s="452" t="s">
        <v>783</v>
      </c>
      <c r="I552" s="13"/>
      <c r="J552" s="2195" t="e">
        <f>I546+I547+I548+I549+I550</f>
        <v>#DIV/0!</v>
      </c>
      <c r="K552" s="2196"/>
      <c r="L552" s="378"/>
      <c r="M552" s="378"/>
      <c r="N552" s="378"/>
    </row>
    <row r="553" spans="1:14" s="532" customFormat="1" ht="17.25" customHeight="1" x14ac:dyDescent="0.35">
      <c r="A553" s="582"/>
      <c r="B553" s="518"/>
      <c r="C553" s="378"/>
      <c r="D553" s="519"/>
      <c r="E553" s="378"/>
      <c r="F553" s="378"/>
      <c r="G553" s="378"/>
      <c r="H553" s="378"/>
      <c r="I553" s="378"/>
      <c r="J553" s="378"/>
      <c r="K553" s="378"/>
      <c r="L553" s="378"/>
      <c r="M553" s="378"/>
      <c r="N553" s="378"/>
    </row>
    <row r="554" spans="1:14" s="532" customFormat="1" ht="17.25" customHeight="1" x14ac:dyDescent="0.25">
      <c r="A554" s="582"/>
      <c r="B554" s="33" t="s">
        <v>784</v>
      </c>
      <c r="C554" s="78"/>
      <c r="D554" s="78"/>
      <c r="E554" s="78"/>
      <c r="F554" s="78"/>
      <c r="H554" s="596" t="e">
        <f>J554/'1 QUESTIONÁRIO'!G207</f>
        <v>#DIV/0!</v>
      </c>
      <c r="I554" s="13"/>
      <c r="J554" s="2195" t="e">
        <f>((('GUIA DE APLICAÇÃO'!G548-'GUIA DE APLICAÇÃO'!K548)*'4 RELATÓRIO'!G11*'1 QUESTIONÁRIO'!G203*1.1)+(('GUIA DE APLICAÇÃO'!G549-'GUIA DE APLICAÇÃO'!K549)*'4 RELATÓRIO'!G11*('1 QUESTIONÁRIO'!G203+1000))+(('GUIA DE APLICAÇÃO'!G550-'GUIA DE APLICAÇÃO'!K550)*'4 RELATÓRIO'!G11*'1 QUESTIONÁRIO'!G203*1.3))</f>
        <v>#DIV/0!</v>
      </c>
      <c r="K554" s="2196"/>
      <c r="L554" s="378"/>
      <c r="M554" s="378"/>
      <c r="N554" s="378"/>
    </row>
    <row r="555" spans="1:14" s="532" customFormat="1" ht="17.25" customHeight="1" x14ac:dyDescent="0.25">
      <c r="A555" s="582"/>
      <c r="B555" s="77"/>
      <c r="C555" s="78"/>
      <c r="D555" s="78"/>
      <c r="E555" s="78"/>
      <c r="F555" s="78"/>
      <c r="G555" s="57"/>
      <c r="H555" s="478"/>
      <c r="I555" s="13"/>
      <c r="J555" s="2197" t="e">
        <f>('1 QUESTIONÁRIO'!$G$203*'GUIA DE APLICAÇÃO'!D546)*'GUIA DE APLICAÇÃO'!K546*'4 RELATÓRIO'!$G$11</f>
        <v>#DIV/0!</v>
      </c>
      <c r="K555" s="2197"/>
      <c r="L555" s="378"/>
      <c r="M555" s="378"/>
      <c r="N555" s="378"/>
    </row>
    <row r="556" spans="1:14" s="532" customFormat="1" ht="17.25" customHeight="1" x14ac:dyDescent="0.25">
      <c r="A556" s="582"/>
      <c r="B556" s="30" t="s">
        <v>785</v>
      </c>
      <c r="C556" s="57"/>
      <c r="D556" s="57"/>
      <c r="E556" s="378"/>
      <c r="G556" s="378"/>
      <c r="H556" s="597" t="e">
        <f>IF('1 QUESTIONÁRIO'!J207&gt;0,('1 QUESTIONÁRIO'!G207/L560-1),"")</f>
        <v>#DIV/0!</v>
      </c>
      <c r="I556" s="378"/>
      <c r="J556" s="2239" t="e">
        <f>('1 QUESTIONÁRIO'!$G$203*'GUIA DE APLICAÇÃO'!D547)*'GUIA DE APLICAÇÃO'!K547*'4 RELATÓRIO'!$G$11</f>
        <v>#DIV/0!</v>
      </c>
      <c r="K556" s="2240"/>
      <c r="L556" s="378"/>
      <c r="M556" s="378"/>
      <c r="N556" s="378"/>
    </row>
    <row r="557" spans="1:14" s="532" customFormat="1" ht="17.25" customHeight="1" x14ac:dyDescent="0.25">
      <c r="A557" s="582"/>
      <c r="B557" s="57"/>
      <c r="C557" s="57"/>
      <c r="D557" s="57"/>
      <c r="E557" s="57"/>
      <c r="F557" s="57"/>
      <c r="G557" s="57"/>
      <c r="H557" s="478"/>
      <c r="I557" s="13"/>
      <c r="J557" s="2197" t="e">
        <f>('1 QUESTIONÁRIO'!$G$203*'GUIA DE APLICAÇÃO'!D548)*'GUIA DE APLICAÇÃO'!K548*'4 RELATÓRIO'!$G$11</f>
        <v>#DIV/0!</v>
      </c>
      <c r="K557" s="2197"/>
      <c r="L557" s="378"/>
      <c r="M557" s="378"/>
      <c r="N557" s="378"/>
    </row>
    <row r="558" spans="1:14" s="532" customFormat="1" ht="17.25" customHeight="1" x14ac:dyDescent="0.25">
      <c r="A558" s="582"/>
      <c r="B558" s="69" t="s">
        <v>786</v>
      </c>
      <c r="C558" s="13"/>
      <c r="D558" s="13"/>
      <c r="E558" s="13"/>
      <c r="F558" s="13"/>
      <c r="H558" s="597" t="e">
        <f>IF('1 QUESTIONÁRIO'!G207&gt;0,('1 QUESTIONÁRIO'!G207/'1 QUESTIONÁRIO'!J207-1),"")</f>
        <v>#DIV/0!</v>
      </c>
      <c r="I558" s="30"/>
      <c r="J558" s="2197" t="e">
        <f>'GUIA DE APLICAÇÃO'!I549</f>
        <v>#DIV/0!</v>
      </c>
      <c r="K558" s="2197"/>
      <c r="L558" s="378"/>
      <c r="M558" s="378"/>
      <c r="N558" s="378"/>
    </row>
    <row r="559" spans="1:14" s="532" customFormat="1" ht="17.25" customHeight="1" x14ac:dyDescent="0.25">
      <c r="A559" s="582"/>
      <c r="B559" s="69"/>
      <c r="C559" s="13"/>
      <c r="D559" s="13"/>
      <c r="E559" s="13"/>
      <c r="F559" s="13"/>
      <c r="G559" s="378"/>
      <c r="H559" s="516"/>
      <c r="I559" s="30"/>
      <c r="J559" s="2202"/>
      <c r="K559" s="2203"/>
      <c r="L559" s="2210" t="e">
        <f>SUM(J554:K560)</f>
        <v>#DIV/0!</v>
      </c>
      <c r="M559" s="2210"/>
      <c r="N559" s="378"/>
    </row>
    <row r="560" spans="1:14" s="532" customFormat="1" ht="21" customHeight="1" x14ac:dyDescent="0.25">
      <c r="A560" s="378"/>
      <c r="C560" s="13"/>
      <c r="D560" s="13"/>
      <c r="E560" s="13"/>
      <c r="F560" s="13"/>
      <c r="G560" s="13"/>
      <c r="H560" s="13"/>
      <c r="I560" s="13"/>
      <c r="J560" s="2197" t="e">
        <f>('1 QUESTIONÁRIO'!$G$203*'GUIA DE APLICAÇÃO'!D550)*'GUIA DE APLICAÇÃO'!K550*'4 RELATÓRIO'!$G$11</f>
        <v>#DIV/0!</v>
      </c>
      <c r="K560" s="2197"/>
      <c r="L560" s="2210" t="e">
        <f>+L559+'1 QUESTIONÁRIO'!G157+'1 QUESTIONÁRIO'!G173+'1 QUESTIONÁRIO'!J191</f>
        <v>#DIV/0!</v>
      </c>
      <c r="M560" s="2211"/>
      <c r="N560" s="378"/>
    </row>
    <row r="561" spans="1:14" s="532" customFormat="1" ht="15.75" customHeight="1" x14ac:dyDescent="0.25">
      <c r="A561" s="3"/>
      <c r="B561" s="974"/>
      <c r="C561" s="38"/>
      <c r="D561" s="38"/>
      <c r="E561" s="38"/>
      <c r="F561" s="38"/>
      <c r="G561" s="38"/>
      <c r="H561" s="38"/>
      <c r="I561" s="38"/>
      <c r="J561" s="975"/>
      <c r="K561" s="975"/>
      <c r="L561" s="976"/>
      <c r="M561" s="977"/>
      <c r="N561" s="3"/>
    </row>
    <row r="562" spans="1:14" s="532" customFormat="1" ht="15.75" customHeight="1" x14ac:dyDescent="0.25">
      <c r="A562" s="3"/>
      <c r="B562" s="1020" t="s">
        <v>719</v>
      </c>
      <c r="C562" s="38"/>
      <c r="D562" s="38"/>
      <c r="E562" s="38"/>
      <c r="F562" s="38"/>
      <c r="G562" s="38"/>
      <c r="H562" s="38"/>
      <c r="I562" s="38"/>
      <c r="J562" s="975"/>
      <c r="K562" s="975"/>
      <c r="L562" s="976"/>
      <c r="M562" s="977"/>
      <c r="N562" s="3"/>
    </row>
    <row r="563" spans="1:14" s="532" customFormat="1" ht="15.75" customHeight="1" x14ac:dyDescent="0.25">
      <c r="A563" s="378"/>
      <c r="B563" s="519"/>
      <c r="C563" s="13"/>
      <c r="D563" s="13"/>
      <c r="E563" s="13"/>
      <c r="F563" s="13"/>
      <c r="G563" s="13"/>
      <c r="H563" s="13"/>
      <c r="I563" s="13"/>
      <c r="J563" s="595"/>
      <c r="K563" s="595"/>
      <c r="L563" s="894"/>
      <c r="M563" s="895"/>
      <c r="N563" s="378"/>
    </row>
    <row r="564" spans="1:14" s="532" customFormat="1" ht="21.75" customHeight="1" x14ac:dyDescent="0.25">
      <c r="A564" s="378"/>
      <c r="B564" s="601" t="s">
        <v>787</v>
      </c>
      <c r="C564" s="601"/>
      <c r="D564" s="601"/>
      <c r="E564" s="601"/>
      <c r="F564" s="601"/>
      <c r="G564" s="601"/>
      <c r="H564" s="38"/>
      <c r="I564" s="38"/>
      <c r="J564" s="38"/>
      <c r="K564" s="595"/>
      <c r="L564" s="378"/>
      <c r="M564" s="378"/>
      <c r="N564" s="378"/>
    </row>
    <row r="565" spans="1:14" s="532" customFormat="1" ht="15.75" customHeight="1" x14ac:dyDescent="0.25">
      <c r="A565" s="378"/>
      <c r="B565" s="601"/>
      <c r="C565" s="601"/>
      <c r="D565" s="601"/>
      <c r="E565" s="601"/>
      <c r="F565" s="601"/>
      <c r="G565" s="601"/>
      <c r="H565" s="3"/>
      <c r="I565" s="3"/>
      <c r="J565" s="38"/>
      <c r="K565" s="595"/>
      <c r="L565" s="378"/>
      <c r="M565" s="378"/>
      <c r="N565" s="378"/>
    </row>
    <row r="566" spans="1:14" s="532" customFormat="1" ht="15.75" customHeight="1" x14ac:dyDescent="0.25">
      <c r="A566" s="378"/>
      <c r="B566" s="50" t="s">
        <v>788</v>
      </c>
      <c r="C566" s="3"/>
      <c r="D566" s="3"/>
      <c r="E566" s="3"/>
      <c r="F566" s="3"/>
      <c r="G566" s="3"/>
      <c r="H566" s="3"/>
      <c r="J566" s="38"/>
      <c r="K566" s="595"/>
      <c r="L566" s="378"/>
      <c r="M566" s="1047">
        <f>'4 RELATÓRIO'!G11</f>
        <v>0</v>
      </c>
      <c r="N566" s="378"/>
    </row>
    <row r="567" spans="1:14" s="532" customFormat="1" ht="15.75" customHeight="1" x14ac:dyDescent="0.25">
      <c r="A567" s="378"/>
      <c r="B567" s="2199" t="s">
        <v>789</v>
      </c>
      <c r="C567" s="2200"/>
      <c r="D567" s="2200"/>
      <c r="E567" s="2200"/>
      <c r="F567" s="2201"/>
      <c r="G567" s="593">
        <f>IF('4 RELATÓRIO'!G12&lt;4,0,('2 GEOPROCESSAMENTO'!E39-'2 GEOPROCESSAMENTO'!E42)*0.2)</f>
        <v>0</v>
      </c>
      <c r="I567" s="378"/>
      <c r="J567" s="38"/>
      <c r="K567" s="595"/>
      <c r="L567" s="378"/>
      <c r="M567" s="1048">
        <f>+M566*0.2</f>
        <v>0</v>
      </c>
      <c r="N567" s="378"/>
    </row>
    <row r="568" spans="1:14" s="532" customFormat="1" ht="15.75" customHeight="1" x14ac:dyDescent="0.25">
      <c r="A568" s="378"/>
      <c r="B568" s="580"/>
      <c r="C568" s="580"/>
      <c r="D568" s="580"/>
      <c r="E568" s="580"/>
      <c r="F568" s="3"/>
      <c r="G568" s="3"/>
      <c r="H568" s="3"/>
      <c r="I568" s="378"/>
      <c r="J568" s="38"/>
      <c r="K568" s="595"/>
      <c r="L568" s="378"/>
      <c r="M568" s="1049">
        <f>+M567-'2 GEOPROCESSAMENTO'!D54</f>
        <v>0</v>
      </c>
      <c r="N568" s="378"/>
    </row>
    <row r="569" spans="1:14" s="532" customFormat="1" ht="15.75" customHeight="1" x14ac:dyDescent="0.25">
      <c r="A569" s="378"/>
      <c r="B569" s="2199" t="s">
        <v>790</v>
      </c>
      <c r="C569" s="2200"/>
      <c r="D569" s="2200"/>
      <c r="E569" s="2200"/>
      <c r="F569" s="2200"/>
      <c r="G569" s="2200"/>
      <c r="H569" s="2200"/>
      <c r="I569" s="2200"/>
      <c r="J569" s="2201"/>
      <c r="K569" s="595"/>
      <c r="L569" s="378"/>
      <c r="M569" s="1049">
        <f>+'2 GEOPROCESSAMENTO'!E38-'2 GEOPROCESSAMENTO'!D54</f>
        <v>0</v>
      </c>
      <c r="N569" s="378"/>
    </row>
    <row r="570" spans="1:14" s="532" customFormat="1" ht="15.75" customHeight="1" x14ac:dyDescent="0.25">
      <c r="A570" s="378"/>
      <c r="B570" s="50"/>
      <c r="C570" s="3"/>
      <c r="D570" s="3"/>
      <c r="E570" s="3"/>
      <c r="F570" s="3"/>
      <c r="G570" s="3"/>
      <c r="H570" s="3"/>
      <c r="I570" s="3"/>
      <c r="J570" s="38"/>
      <c r="K570" s="595"/>
      <c r="L570" s="378"/>
      <c r="M570" s="378"/>
      <c r="N570" s="378"/>
    </row>
    <row r="571" spans="1:14" s="532" customFormat="1" ht="15" customHeight="1" x14ac:dyDescent="0.25">
      <c r="A571" s="378"/>
      <c r="B571" s="38"/>
      <c r="C571" s="38"/>
      <c r="D571" s="38"/>
      <c r="E571" s="327"/>
      <c r="F571" s="1538" t="s">
        <v>231</v>
      </c>
      <c r="G571" s="1547" t="s">
        <v>791</v>
      </c>
      <c r="H571" s="13"/>
      <c r="I571" s="13"/>
      <c r="J571" s="595"/>
      <c r="K571" s="595"/>
      <c r="L571" s="378"/>
      <c r="M571" s="378"/>
      <c r="N571" s="378"/>
    </row>
    <row r="572" spans="1:14" s="532" customFormat="1" ht="15" customHeight="1" x14ac:dyDescent="0.25">
      <c r="A572" s="378"/>
      <c r="B572" s="2198" t="s">
        <v>792</v>
      </c>
      <c r="C572" s="2198"/>
      <c r="D572" s="2198"/>
      <c r="E572" s="2198"/>
      <c r="F572" s="599">
        <f>+'2 GEOPROCESSAMENTO'!E35</f>
        <v>0</v>
      </c>
      <c r="G572" s="600" t="e">
        <f>F572/'2 GEOPROCESSAMENTO'!$E$39</f>
        <v>#DIV/0!</v>
      </c>
      <c r="H572" s="13"/>
      <c r="I572" s="1337"/>
      <c r="J572" s="1976" t="s">
        <v>565</v>
      </c>
      <c r="K572" s="1976"/>
      <c r="L572" s="1349">
        <f>'3 INDICADORES'!D392</f>
        <v>0</v>
      </c>
      <c r="M572" s="378"/>
      <c r="N572" s="378"/>
    </row>
    <row r="573" spans="1:14" s="532" customFormat="1" ht="15" customHeight="1" x14ac:dyDescent="0.25">
      <c r="A573" s="378"/>
      <c r="B573" s="2198" t="s">
        <v>793</v>
      </c>
      <c r="C573" s="2198"/>
      <c r="D573" s="2198"/>
      <c r="E573" s="2198"/>
      <c r="F573" s="599">
        <f>+'2 GEOPROCESSAMENTO'!E38</f>
        <v>0</v>
      </c>
      <c r="G573" s="600" t="e">
        <f>F573/'2 GEOPROCESSAMENTO'!$E$39</f>
        <v>#DIV/0!</v>
      </c>
      <c r="H573" s="13"/>
      <c r="I573" s="1975" t="s">
        <v>794</v>
      </c>
      <c r="J573" s="1975"/>
      <c r="K573" s="1975"/>
      <c r="L573" s="1349" t="e">
        <f>IF('2 GEOPROCESSAMENTO'!E40&lt;4,0,IF('2 GEOPROCESSAMENTO'!D63=0,L572-'2 GEOPROCESSAMENTO'!E38,0))</f>
        <v>#DIV/0!</v>
      </c>
      <c r="M573" s="378"/>
      <c r="N573" s="378"/>
    </row>
    <row r="574" spans="1:14" s="532" customFormat="1" ht="15" customHeight="1" x14ac:dyDescent="0.25">
      <c r="A574" s="378"/>
      <c r="B574" s="2198" t="s">
        <v>795</v>
      </c>
      <c r="C574" s="2198"/>
      <c r="D574" s="2198"/>
      <c r="E574" s="2198"/>
      <c r="F574" s="599">
        <f>+'2 GEOPROCESSAMENTO'!D49</f>
        <v>0</v>
      </c>
      <c r="G574" s="600" t="e">
        <f>F574/'2 GEOPROCESSAMENTO'!$E$39</f>
        <v>#DIV/0!</v>
      </c>
      <c r="H574" s="13"/>
      <c r="I574" s="13"/>
      <c r="J574" s="595"/>
      <c r="K574" s="595"/>
      <c r="L574" s="378"/>
      <c r="M574" s="378"/>
      <c r="N574" s="378"/>
    </row>
    <row r="575" spans="1:14" s="532" customFormat="1" ht="15" customHeight="1" x14ac:dyDescent="0.25">
      <c r="A575" s="378"/>
      <c r="B575" s="2198" t="s">
        <v>796</v>
      </c>
      <c r="C575" s="2198"/>
      <c r="D575" s="2198"/>
      <c r="E575" s="2198"/>
      <c r="F575" s="599">
        <f>+'2 GEOPROCESSAMENTO'!D55</f>
        <v>0</v>
      </c>
      <c r="G575" s="600" t="e">
        <f>F575/'2 GEOPROCESSAMENTO'!$E$39</f>
        <v>#DIV/0!</v>
      </c>
      <c r="H575" s="13"/>
      <c r="I575" s="13"/>
      <c r="J575" s="595"/>
      <c r="K575" s="595"/>
      <c r="L575" s="378"/>
      <c r="M575" s="378"/>
      <c r="N575" s="378"/>
    </row>
    <row r="576" spans="1:14" s="532" customFormat="1" ht="15" customHeight="1" x14ac:dyDescent="0.25">
      <c r="A576" s="378"/>
      <c r="B576" s="2198" t="s">
        <v>797</v>
      </c>
      <c r="C576" s="2198"/>
      <c r="D576" s="2198"/>
      <c r="E576" s="2198"/>
      <c r="F576" s="599">
        <f>+'2 GEOPROCESSAMENTO'!D54</f>
        <v>0</v>
      </c>
      <c r="G576" s="600" t="e">
        <f>F576/'2 GEOPROCESSAMENTO'!$E$39</f>
        <v>#DIV/0!</v>
      </c>
      <c r="H576" s="13"/>
      <c r="I576" s="13"/>
      <c r="J576" s="595"/>
      <c r="K576" s="595"/>
      <c r="L576" s="378"/>
      <c r="M576" s="378"/>
      <c r="N576" s="378"/>
    </row>
    <row r="577" spans="1:47" s="532" customFormat="1" ht="15" customHeight="1" x14ac:dyDescent="0.25">
      <c r="A577" s="378"/>
      <c r="B577" s="2198" t="s">
        <v>798</v>
      </c>
      <c r="C577" s="2198"/>
      <c r="D577" s="2198"/>
      <c r="E577" s="2198"/>
      <c r="F577" s="599">
        <f>+F573-F576</f>
        <v>0</v>
      </c>
      <c r="G577" s="600" t="e">
        <f>F577/'2 GEOPROCESSAMENTO'!$E$39</f>
        <v>#DIV/0!</v>
      </c>
      <c r="H577" s="13"/>
      <c r="I577" s="13"/>
      <c r="J577" s="595"/>
      <c r="K577" s="595"/>
      <c r="L577" s="378"/>
      <c r="M577" s="378"/>
      <c r="N577" s="378"/>
    </row>
    <row r="578" spans="1:47" s="532" customFormat="1" ht="15" customHeight="1" x14ac:dyDescent="0.25">
      <c r="A578" s="378"/>
      <c r="B578" s="1525"/>
      <c r="C578" s="3"/>
      <c r="D578" s="3"/>
      <c r="E578" s="3"/>
      <c r="F578" s="3"/>
      <c r="G578" s="3"/>
      <c r="H578" s="13"/>
      <c r="I578" s="13"/>
      <c r="J578" s="595"/>
      <c r="K578" s="595"/>
      <c r="L578" s="378"/>
      <c r="M578" s="378"/>
      <c r="N578" s="378"/>
    </row>
    <row r="579" spans="1:47" s="532" customFormat="1" ht="21" customHeight="1" x14ac:dyDescent="0.25">
      <c r="A579" s="3"/>
      <c r="B579" s="1020" t="s">
        <v>722</v>
      </c>
      <c r="C579" s="38"/>
      <c r="D579" s="38"/>
      <c r="E579" s="38"/>
      <c r="F579" s="38"/>
      <c r="G579" s="38"/>
      <c r="H579" s="38"/>
      <c r="I579" s="38"/>
      <c r="J579" s="975"/>
      <c r="K579" s="975"/>
      <c r="L579" s="3"/>
      <c r="M579" s="3"/>
      <c r="N579" s="3"/>
    </row>
    <row r="580" spans="1:47" ht="15.75" customHeight="1" x14ac:dyDescent="0.25">
      <c r="A580" s="378"/>
      <c r="B580" s="378"/>
      <c r="C580" s="378"/>
      <c r="D580" s="378"/>
      <c r="E580" s="378"/>
      <c r="F580" s="378"/>
      <c r="G580" s="378"/>
      <c r="H580" s="378"/>
      <c r="I580" s="378"/>
      <c r="J580" s="378"/>
      <c r="K580" s="378"/>
      <c r="L580" s="378"/>
      <c r="M580" s="378"/>
      <c r="N580" s="378"/>
      <c r="O580" s="378"/>
      <c r="P580" s="378"/>
      <c r="Q580" s="378"/>
      <c r="R580" s="378"/>
      <c r="S580" s="378"/>
      <c r="T580" s="378"/>
      <c r="U580" s="378"/>
      <c r="V580" s="378"/>
      <c r="W580" s="378"/>
      <c r="X580" s="378"/>
      <c r="Y580" s="378"/>
      <c r="Z580" s="378"/>
      <c r="AA580" s="378"/>
      <c r="AB580" s="378"/>
      <c r="AC580" s="378"/>
      <c r="AD580" s="378"/>
      <c r="AE580" s="378"/>
      <c r="AF580" s="378"/>
      <c r="AG580" s="378"/>
      <c r="AH580" s="378"/>
      <c r="AI580" s="378"/>
      <c r="AJ580" s="378"/>
      <c r="AK580" s="378"/>
      <c r="AL580" s="378"/>
      <c r="AM580" s="378"/>
      <c r="AN580" s="378"/>
      <c r="AO580" s="378"/>
      <c r="AP580" s="378"/>
      <c r="AQ580" s="378"/>
      <c r="AR580" s="378"/>
      <c r="AS580" s="378"/>
      <c r="AT580" s="378"/>
      <c r="AU580" s="378"/>
    </row>
    <row r="581" spans="1:47" ht="21" x14ac:dyDescent="0.35">
      <c r="A581" s="749">
        <v>1</v>
      </c>
      <c r="B581" s="2012" t="s">
        <v>799</v>
      </c>
      <c r="C581" s="2012"/>
      <c r="D581" s="2012"/>
      <c r="E581" s="378"/>
      <c r="F581" s="1983" t="s">
        <v>766</v>
      </c>
      <c r="G581" s="1984"/>
      <c r="H581" s="1985"/>
      <c r="I581" s="378"/>
      <c r="J581" s="378"/>
      <c r="K581" s="378"/>
      <c r="L581" s="378"/>
      <c r="M581" s="378"/>
      <c r="N581" s="378"/>
      <c r="O581" s="378"/>
      <c r="P581" s="378"/>
      <c r="Q581" s="378"/>
      <c r="R581" s="378"/>
      <c r="S581" s="378"/>
      <c r="T581" s="378"/>
      <c r="U581" s="378"/>
      <c r="V581" s="378"/>
      <c r="W581" s="378"/>
      <c r="X581" s="378"/>
      <c r="Y581" s="378"/>
      <c r="Z581" s="378"/>
      <c r="AA581" s="378"/>
      <c r="AB581" s="378"/>
      <c r="AC581" s="378"/>
      <c r="AD581" s="378"/>
      <c r="AE581" s="378"/>
      <c r="AF581" s="378"/>
      <c r="AG581" s="378"/>
      <c r="AH581" s="378"/>
      <c r="AI581" s="378"/>
      <c r="AJ581" s="378"/>
      <c r="AK581" s="378"/>
      <c r="AL581" s="378"/>
      <c r="AM581" s="378"/>
      <c r="AN581" s="378"/>
      <c r="AO581" s="378"/>
      <c r="AP581" s="378"/>
      <c r="AQ581" s="378"/>
      <c r="AR581" s="378"/>
      <c r="AS581" s="378"/>
      <c r="AT581" s="378"/>
      <c r="AU581" s="378"/>
    </row>
    <row r="582" spans="1:47" x14ac:dyDescent="0.25">
      <c r="A582" s="378"/>
      <c r="B582" s="2243" t="s">
        <v>800</v>
      </c>
      <c r="C582" s="2243"/>
      <c r="D582" s="1531">
        <v>0.9</v>
      </c>
      <c r="E582" s="378"/>
      <c r="F582" s="2204" t="s">
        <v>801</v>
      </c>
      <c r="G582" s="2205"/>
      <c r="H582" s="2206"/>
      <c r="I582" s="378"/>
      <c r="J582" s="378"/>
      <c r="K582" s="378"/>
      <c r="L582" s="378"/>
      <c r="M582" s="378"/>
      <c r="N582" s="378"/>
      <c r="O582" s="378"/>
      <c r="P582" s="378"/>
      <c r="Q582" s="378"/>
      <c r="R582" s="378"/>
      <c r="S582" s="378"/>
      <c r="T582" s="378"/>
      <c r="U582" s="378"/>
      <c r="V582" s="378"/>
      <c r="W582" s="378"/>
      <c r="X582" s="378"/>
      <c r="Y582" s="378"/>
      <c r="Z582" s="378"/>
      <c r="AA582" s="378"/>
      <c r="AB582" s="378"/>
      <c r="AC582" s="378"/>
      <c r="AD582" s="378"/>
      <c r="AE582" s="378"/>
      <c r="AF582" s="378"/>
      <c r="AG582" s="378"/>
      <c r="AH582" s="378"/>
      <c r="AI582" s="378"/>
      <c r="AJ582" s="378"/>
      <c r="AK582" s="378"/>
      <c r="AL582" s="378"/>
      <c r="AM582" s="378"/>
      <c r="AN582" s="378"/>
      <c r="AO582" s="378"/>
      <c r="AP582" s="378"/>
      <c r="AQ582" s="378"/>
      <c r="AR582" s="378"/>
      <c r="AS582" s="378"/>
      <c r="AT582" s="378"/>
      <c r="AU582" s="378"/>
    </row>
    <row r="583" spans="1:47" x14ac:dyDescent="0.25">
      <c r="A583" s="378"/>
      <c r="B583" s="1809" t="s">
        <v>802</v>
      </c>
      <c r="C583" s="1809"/>
      <c r="D583" s="2244">
        <v>0.7</v>
      </c>
      <c r="E583" s="378"/>
      <c r="F583" s="2207"/>
      <c r="G583" s="2208"/>
      <c r="H583" s="2209"/>
      <c r="I583" s="378"/>
      <c r="J583" s="378"/>
      <c r="K583" s="378"/>
      <c r="L583" s="378"/>
      <c r="M583" s="378"/>
      <c r="N583" s="378"/>
      <c r="O583" s="378"/>
      <c r="P583" s="378"/>
      <c r="Q583" s="378"/>
      <c r="R583" s="378"/>
      <c r="S583" s="378"/>
      <c r="T583" s="378"/>
      <c r="U583" s="378"/>
      <c r="V583" s="378"/>
      <c r="W583" s="378"/>
      <c r="X583" s="378"/>
      <c r="Y583" s="378"/>
      <c r="Z583" s="378"/>
      <c r="AA583" s="378"/>
      <c r="AB583" s="378"/>
      <c r="AC583" s="378"/>
      <c r="AD583" s="378"/>
      <c r="AE583" s="378"/>
      <c r="AF583" s="378"/>
      <c r="AG583" s="378"/>
      <c r="AH583" s="378"/>
      <c r="AI583" s="378"/>
      <c r="AJ583" s="378"/>
      <c r="AK583" s="378"/>
      <c r="AL583" s="378"/>
      <c r="AM583" s="378"/>
      <c r="AN583" s="378"/>
      <c r="AO583" s="378"/>
      <c r="AP583" s="378"/>
      <c r="AQ583" s="378"/>
      <c r="AR583" s="378"/>
      <c r="AS583" s="378"/>
      <c r="AT583" s="378"/>
      <c r="AU583" s="378"/>
    </row>
    <row r="584" spans="1:47" x14ac:dyDescent="0.25">
      <c r="A584" s="378"/>
      <c r="B584" s="1809"/>
      <c r="C584" s="1809"/>
      <c r="D584" s="2244"/>
      <c r="E584" s="378"/>
      <c r="F584" s="1051" t="s">
        <v>803</v>
      </c>
      <c r="G584" s="455">
        <v>-0.3</v>
      </c>
      <c r="H584" s="1052"/>
      <c r="I584" s="378"/>
      <c r="J584" s="378"/>
      <c r="K584" s="378"/>
      <c r="L584" s="378"/>
      <c r="M584" s="378"/>
      <c r="N584" s="378"/>
      <c r="O584" s="378"/>
      <c r="P584" s="378"/>
      <c r="Q584" s="378"/>
      <c r="R584" s="378"/>
      <c r="S584" s="378"/>
      <c r="T584" s="378"/>
      <c r="U584" s="378"/>
      <c r="V584" s="378"/>
      <c r="W584" s="378"/>
      <c r="X584" s="378"/>
      <c r="Y584" s="378"/>
      <c r="Z584" s="378"/>
      <c r="AA584" s="378"/>
      <c r="AB584" s="378"/>
      <c r="AC584" s="378"/>
      <c r="AD584" s="378"/>
      <c r="AE584" s="378"/>
      <c r="AF584" s="378"/>
      <c r="AG584" s="378"/>
      <c r="AH584" s="378"/>
      <c r="AI584" s="378"/>
      <c r="AJ584" s="378"/>
      <c r="AK584" s="378"/>
      <c r="AL584" s="378"/>
      <c r="AM584" s="378"/>
      <c r="AN584" s="378"/>
      <c r="AO584" s="378"/>
      <c r="AP584" s="378"/>
      <c r="AQ584" s="378"/>
      <c r="AR584" s="378"/>
      <c r="AS584" s="378"/>
      <c r="AT584" s="378"/>
      <c r="AU584" s="378"/>
    </row>
    <row r="585" spans="1:47" x14ac:dyDescent="0.25">
      <c r="A585" s="378"/>
      <c r="B585" s="2243" t="s">
        <v>804</v>
      </c>
      <c r="C585" s="2243"/>
      <c r="D585" s="1531">
        <v>0.5</v>
      </c>
      <c r="E585" s="378"/>
      <c r="F585" s="1051" t="s">
        <v>805</v>
      </c>
      <c r="G585" s="456">
        <v>0.01</v>
      </c>
      <c r="H585" s="1052"/>
      <c r="I585" s="378"/>
      <c r="J585" s="378"/>
      <c r="K585" s="378"/>
      <c r="L585" s="378"/>
      <c r="M585" s="378"/>
      <c r="N585" s="378"/>
      <c r="O585" s="378"/>
      <c r="P585" s="378"/>
      <c r="Q585" s="378"/>
      <c r="R585" s="378"/>
      <c r="S585" s="378"/>
      <c r="T585" s="378"/>
      <c r="U585" s="378"/>
      <c r="V585" s="378"/>
      <c r="W585" s="378"/>
      <c r="X585" s="378"/>
      <c r="Y585" s="378"/>
      <c r="Z585" s="378"/>
      <c r="AA585" s="378"/>
      <c r="AB585" s="378"/>
      <c r="AC585" s="378"/>
      <c r="AD585" s="378"/>
      <c r="AE585" s="378"/>
      <c r="AF585" s="378"/>
      <c r="AG585" s="378"/>
      <c r="AH585" s="378"/>
      <c r="AI585" s="378"/>
      <c r="AJ585" s="378"/>
      <c r="AK585" s="378"/>
      <c r="AL585" s="378"/>
      <c r="AM585" s="378"/>
      <c r="AN585" s="378"/>
      <c r="AO585" s="378"/>
      <c r="AP585" s="378"/>
      <c r="AQ585" s="378"/>
      <c r="AR585" s="378"/>
      <c r="AS585" s="378"/>
      <c r="AT585" s="378"/>
      <c r="AU585" s="378"/>
    </row>
    <row r="586" spans="1:47" x14ac:dyDescent="0.25">
      <c r="A586" s="378"/>
      <c r="B586" s="2243" t="s">
        <v>806</v>
      </c>
      <c r="C586" s="2243"/>
      <c r="D586" s="1531">
        <v>0.3</v>
      </c>
      <c r="E586" s="378"/>
      <c r="F586" s="1079" t="e">
        <f>(G584+G585*(100+('GUIA DE APLICAÇÃO'!E592*100)))</f>
        <v>#VALUE!</v>
      </c>
      <c r="G586" s="1079" t="e">
        <f>(G584+G585*(100+('GUIA DE APLICAÇÃO'!F592*100)))</f>
        <v>#VALUE!</v>
      </c>
      <c r="H586" s="1079" t="e">
        <f>(G584+G585*(100+('GUIA DE APLICAÇÃO'!G592*100)))</f>
        <v>#VALUE!</v>
      </c>
      <c r="I586" s="378"/>
      <c r="J586" s="378"/>
      <c r="K586" s="378"/>
      <c r="L586" s="378"/>
      <c r="M586" s="378"/>
      <c r="N586" s="378"/>
      <c r="O586" s="378"/>
      <c r="P586" s="378"/>
      <c r="Q586" s="378"/>
      <c r="R586" s="378"/>
      <c r="S586" s="378"/>
      <c r="T586" s="378"/>
      <c r="U586" s="378"/>
      <c r="V586" s="378"/>
      <c r="W586" s="378"/>
      <c r="X586" s="378"/>
      <c r="Y586" s="378"/>
      <c r="Z586" s="378"/>
      <c r="AA586" s="378"/>
      <c r="AB586" s="378"/>
      <c r="AC586" s="378"/>
      <c r="AD586" s="378"/>
      <c r="AE586" s="378"/>
      <c r="AF586" s="378"/>
      <c r="AG586" s="378"/>
      <c r="AH586" s="378"/>
      <c r="AI586" s="378"/>
      <c r="AJ586" s="378"/>
      <c r="AK586" s="378"/>
      <c r="AL586" s="378"/>
      <c r="AM586" s="378"/>
      <c r="AN586" s="378"/>
      <c r="AO586" s="378"/>
      <c r="AP586" s="378"/>
      <c r="AQ586" s="378"/>
      <c r="AR586" s="378"/>
      <c r="AS586" s="378"/>
      <c r="AT586" s="378"/>
      <c r="AU586" s="378"/>
    </row>
    <row r="587" spans="1:47" ht="15" customHeight="1" x14ac:dyDescent="0.4">
      <c r="A587" s="378"/>
      <c r="B587" s="38"/>
      <c r="C587" s="89"/>
      <c r="D587" s="89"/>
      <c r="E587" s="378"/>
      <c r="F587" s="1079" t="e">
        <f>(G584+G585*(100+('GUIA DE APLICAÇÃO'!E593*100)))</f>
        <v>#VALUE!</v>
      </c>
      <c r="G587" s="1079" t="e">
        <f>(G584+G585*(100+('GUIA DE APLICAÇÃO'!F593*100)))</f>
        <v>#VALUE!</v>
      </c>
      <c r="H587" s="1079" t="e">
        <f>(G584+G585*(100+('GUIA DE APLICAÇÃO'!G593*100)))</f>
        <v>#VALUE!</v>
      </c>
      <c r="I587" s="378"/>
      <c r="J587" s="378"/>
      <c r="K587" s="378"/>
      <c r="L587" s="378"/>
      <c r="M587" s="378"/>
      <c r="N587" s="378"/>
      <c r="O587" s="378"/>
      <c r="P587" s="378"/>
      <c r="Q587" s="378"/>
      <c r="R587" s="378"/>
      <c r="S587" s="378"/>
      <c r="T587" s="378"/>
      <c r="U587" s="378"/>
      <c r="V587" s="378"/>
      <c r="W587" s="378"/>
      <c r="X587" s="378"/>
      <c r="Y587" s="378"/>
      <c r="Z587" s="378"/>
      <c r="AA587" s="378"/>
      <c r="AB587" s="378"/>
      <c r="AC587" s="378"/>
      <c r="AD587" s="378"/>
      <c r="AE587" s="378"/>
      <c r="AF587" s="378"/>
      <c r="AG587" s="378"/>
      <c r="AH587" s="378"/>
      <c r="AI587" s="378"/>
      <c r="AJ587" s="378"/>
      <c r="AK587" s="378"/>
      <c r="AL587" s="378"/>
      <c r="AM587" s="378"/>
      <c r="AN587" s="378"/>
      <c r="AO587" s="378"/>
      <c r="AP587" s="378"/>
      <c r="AQ587" s="378"/>
      <c r="AR587" s="378"/>
      <c r="AS587" s="378"/>
      <c r="AT587" s="378"/>
      <c r="AU587" s="378"/>
    </row>
    <row r="588" spans="1:47" ht="19.5" customHeight="1" x14ac:dyDescent="0.4">
      <c r="A588" s="378"/>
      <c r="B588" s="378"/>
      <c r="C588" s="378"/>
      <c r="D588" s="89"/>
      <c r="E588" s="378"/>
      <c r="F588" s="2155" t="s">
        <v>807</v>
      </c>
      <c r="G588" s="2155"/>
      <c r="H588" s="2155"/>
      <c r="I588" s="378"/>
      <c r="J588" s="378"/>
      <c r="K588" s="378"/>
      <c r="L588" s="378"/>
      <c r="M588" s="378"/>
      <c r="N588" s="378"/>
      <c r="O588" s="378"/>
      <c r="P588" s="378"/>
      <c r="Q588" s="378"/>
      <c r="R588" s="378"/>
      <c r="S588" s="378"/>
      <c r="T588" s="378"/>
      <c r="U588" s="378"/>
      <c r="V588" s="378"/>
      <c r="W588" s="378"/>
      <c r="X588" s="378"/>
      <c r="Y588" s="378"/>
      <c r="Z588" s="378"/>
      <c r="AA588" s="378"/>
      <c r="AB588" s="378"/>
      <c r="AC588" s="378"/>
      <c r="AD588" s="378"/>
      <c r="AE588" s="378"/>
      <c r="AF588" s="378"/>
      <c r="AG588" s="378"/>
      <c r="AH588" s="378"/>
      <c r="AI588" s="378"/>
      <c r="AJ588" s="378"/>
      <c r="AK588" s="378"/>
      <c r="AL588" s="378"/>
      <c r="AM588" s="378"/>
      <c r="AN588" s="378"/>
      <c r="AO588" s="378"/>
      <c r="AP588" s="378"/>
      <c r="AQ588" s="378"/>
      <c r="AR588" s="378"/>
      <c r="AS588" s="378"/>
      <c r="AT588" s="378"/>
      <c r="AU588" s="378"/>
    </row>
    <row r="589" spans="1:47" ht="15.75" customHeight="1" x14ac:dyDescent="0.4">
      <c r="A589" s="378"/>
      <c r="B589" s="378"/>
      <c r="C589" s="378"/>
      <c r="D589" s="89"/>
      <c r="E589" s="378"/>
      <c r="F589" s="2155"/>
      <c r="G589" s="2155"/>
      <c r="H589" s="2155"/>
      <c r="I589" s="378"/>
      <c r="J589" s="378"/>
      <c r="K589" s="378"/>
      <c r="L589" s="378"/>
      <c r="M589" s="378"/>
      <c r="N589" s="378"/>
      <c r="O589" s="378"/>
      <c r="P589" s="378"/>
      <c r="Q589" s="378"/>
      <c r="R589" s="378"/>
      <c r="S589" s="378"/>
      <c r="T589" s="378"/>
      <c r="U589" s="378"/>
      <c r="V589" s="378"/>
      <c r="W589" s="378"/>
      <c r="X589" s="378"/>
      <c r="Y589" s="378"/>
      <c r="Z589" s="378"/>
      <c r="AA589" s="378"/>
      <c r="AB589" s="378"/>
      <c r="AC589" s="378"/>
      <c r="AD589" s="378"/>
      <c r="AE589" s="378"/>
      <c r="AF589" s="378"/>
      <c r="AG589" s="378"/>
      <c r="AH589" s="378"/>
      <c r="AI589" s="378"/>
      <c r="AJ589" s="378"/>
      <c r="AK589" s="378"/>
      <c r="AL589" s="378"/>
      <c r="AM589" s="378"/>
      <c r="AN589" s="378"/>
      <c r="AO589" s="378"/>
      <c r="AP589" s="378"/>
      <c r="AQ589" s="378"/>
      <c r="AR589" s="378"/>
      <c r="AS589" s="378"/>
      <c r="AT589" s="378"/>
      <c r="AU589" s="378"/>
    </row>
    <row r="590" spans="1:47" ht="18.75" customHeight="1" x14ac:dyDescent="0.4">
      <c r="A590" s="378"/>
      <c r="B590" s="378"/>
      <c r="C590" s="378"/>
      <c r="D590" s="89"/>
      <c r="E590" s="378"/>
      <c r="F590" s="2155"/>
      <c r="G590" s="2155"/>
      <c r="H590" s="2155"/>
      <c r="I590" s="378"/>
      <c r="J590" s="378"/>
      <c r="K590" s="378"/>
      <c r="L590" s="378"/>
      <c r="M590" s="378"/>
      <c r="N590" s="378"/>
      <c r="O590" s="378"/>
      <c r="P590" s="378"/>
      <c r="Q590" s="378"/>
      <c r="R590" s="378"/>
      <c r="S590" s="378"/>
      <c r="T590" s="378"/>
      <c r="U590" s="378"/>
      <c r="V590" s="378"/>
      <c r="W590" s="378"/>
      <c r="X590" s="378"/>
      <c r="Y590" s="378"/>
      <c r="Z590" s="378"/>
      <c r="AA590" s="378"/>
      <c r="AB590" s="378"/>
      <c r="AC590" s="378"/>
      <c r="AD590" s="378"/>
      <c r="AE590" s="378"/>
      <c r="AF590" s="378"/>
      <c r="AG590" s="378"/>
      <c r="AH590" s="378"/>
      <c r="AI590" s="378"/>
      <c r="AJ590" s="378"/>
      <c r="AK590" s="378"/>
      <c r="AL590" s="378"/>
      <c r="AM590" s="378"/>
      <c r="AN590" s="378"/>
      <c r="AO590" s="378"/>
      <c r="AP590" s="378"/>
      <c r="AQ590" s="378"/>
      <c r="AR590" s="378"/>
      <c r="AS590" s="378"/>
      <c r="AT590" s="378"/>
      <c r="AU590" s="378"/>
    </row>
    <row r="591" spans="1:47" x14ac:dyDescent="0.25">
      <c r="A591" s="378"/>
      <c r="B591" s="378"/>
      <c r="C591" s="378"/>
      <c r="D591" s="378"/>
      <c r="E591" s="378"/>
      <c r="F591" s="378"/>
      <c r="G591" s="378"/>
      <c r="H591" s="378"/>
      <c r="I591" s="378"/>
      <c r="J591" s="378"/>
      <c r="K591" s="378"/>
      <c r="L591" s="378"/>
      <c r="M591" s="378"/>
      <c r="N591" s="378"/>
      <c r="O591" s="378"/>
      <c r="P591" s="378"/>
      <c r="Q591" s="378"/>
      <c r="R591" s="378"/>
      <c r="S591" s="378"/>
      <c r="T591" s="378"/>
      <c r="U591" s="378"/>
      <c r="V591" s="378"/>
      <c r="W591" s="378"/>
      <c r="X591" s="378"/>
      <c r="Y591" s="378"/>
      <c r="Z591" s="378"/>
      <c r="AA591" s="378"/>
      <c r="AB591" s="378"/>
      <c r="AC591" s="378"/>
      <c r="AD591" s="378"/>
      <c r="AE591" s="378"/>
      <c r="AF591" s="378"/>
      <c r="AG591" s="378"/>
      <c r="AH591" s="378"/>
      <c r="AI591" s="378"/>
      <c r="AJ591" s="378"/>
      <c r="AK591" s="378"/>
      <c r="AL591" s="378"/>
      <c r="AM591" s="378"/>
      <c r="AN591" s="378"/>
      <c r="AO591" s="378"/>
      <c r="AP591" s="378"/>
      <c r="AQ591" s="378"/>
      <c r="AR591" s="378"/>
      <c r="AS591" s="378"/>
      <c r="AT591" s="378"/>
      <c r="AU591" s="378"/>
    </row>
    <row r="592" spans="1:47" s="532" customFormat="1" x14ac:dyDescent="0.25">
      <c r="A592" s="378"/>
      <c r="B592" s="1050" t="s">
        <v>808</v>
      </c>
      <c r="C592" s="1050"/>
      <c r="D592" s="1533"/>
      <c r="E592" s="616" t="str">
        <f>IF('3 INDICADORES'!D10&gt;0,(('3 INDICADORES'!D10/'3 INDICADORES'!D12)-1),"")</f>
        <v/>
      </c>
      <c r="F592" s="617" t="str">
        <f>IF('3 INDICADORES'!E10&gt;0,(('3 INDICADORES'!E10/'3 INDICADORES'!E12)-1),"")</f>
        <v/>
      </c>
      <c r="G592" s="618" t="str">
        <f>IF('3 INDICADORES'!F10&gt;0,(('3 INDICADORES'!F10/'3 INDICADORES'!F12)-1),"")</f>
        <v/>
      </c>
      <c r="H592" s="1065">
        <v>1</v>
      </c>
      <c r="I592" s="3"/>
      <c r="J592" s="378"/>
      <c r="K592" s="378"/>
      <c r="L592" s="378"/>
      <c r="M592" s="378"/>
      <c r="N592" s="378"/>
      <c r="O592" s="378"/>
      <c r="P592" s="378"/>
      <c r="Q592" s="378"/>
      <c r="R592" s="378"/>
      <c r="S592" s="378"/>
      <c r="T592" s="378"/>
      <c r="U592" s="378"/>
      <c r="V592" s="378"/>
      <c r="W592" s="378"/>
      <c r="X592" s="378"/>
      <c r="Y592" s="378"/>
      <c r="Z592" s="378"/>
      <c r="AA592" s="378"/>
      <c r="AB592" s="378"/>
      <c r="AC592" s="378"/>
      <c r="AD592" s="378"/>
      <c r="AE592" s="378"/>
      <c r="AF592" s="378"/>
      <c r="AG592" s="378"/>
      <c r="AH592" s="378"/>
      <c r="AI592" s="378"/>
      <c r="AJ592" s="378"/>
      <c r="AK592" s="378"/>
      <c r="AL592" s="378"/>
      <c r="AM592" s="378"/>
      <c r="AN592" s="378"/>
      <c r="AO592" s="378"/>
      <c r="AP592" s="378"/>
      <c r="AQ592" s="378"/>
      <c r="AR592" s="378"/>
      <c r="AS592" s="378"/>
      <c r="AT592" s="378"/>
      <c r="AU592" s="378"/>
    </row>
    <row r="593" spans="1:47" s="532" customFormat="1" x14ac:dyDescent="0.25">
      <c r="A593" s="378"/>
      <c r="B593" s="1050" t="s">
        <v>809</v>
      </c>
      <c r="C593" s="1050"/>
      <c r="D593" s="1533"/>
      <c r="E593" s="616" t="str">
        <f>IF('3 INDICADORES'!D11&gt;0,(('3 INDICADORES'!D11/'3 INDICADORES'!D13)-1),"")</f>
        <v/>
      </c>
      <c r="F593" s="617" t="str">
        <f>IF('3 INDICADORES'!E11&gt;0,(('3 INDICADORES'!E11/'3 INDICADORES'!E13)-1),"")</f>
        <v/>
      </c>
      <c r="G593" s="618" t="str">
        <f>IF('3 INDICADORES'!F11&gt;0,(('3 INDICADORES'!F11/'3 INDICADORES'!F13)-1),"")</f>
        <v/>
      </c>
      <c r="H593" s="1065">
        <v>1</v>
      </c>
      <c r="I593" s="3"/>
      <c r="J593" s="378"/>
      <c r="K593" s="378"/>
      <c r="L593" s="378"/>
      <c r="M593" s="378"/>
      <c r="N593" s="378"/>
      <c r="O593" s="378"/>
      <c r="P593" s="378"/>
      <c r="Q593" s="378"/>
      <c r="R593" s="378"/>
      <c r="S593" s="378"/>
      <c r="T593" s="378"/>
      <c r="U593" s="378"/>
      <c r="V593" s="378"/>
      <c r="W593" s="378"/>
      <c r="X593" s="378"/>
      <c r="Y593" s="378"/>
      <c r="Z593" s="378"/>
      <c r="AA593" s="378"/>
      <c r="AB593" s="378"/>
      <c r="AC593" s="378"/>
      <c r="AD593" s="378"/>
      <c r="AE593" s="378"/>
      <c r="AF593" s="378"/>
      <c r="AG593" s="378"/>
      <c r="AH593" s="378"/>
      <c r="AI593" s="378"/>
      <c r="AJ593" s="378"/>
      <c r="AK593" s="378"/>
      <c r="AL593" s="378"/>
      <c r="AM593" s="378"/>
      <c r="AN593" s="378"/>
      <c r="AO593" s="378"/>
      <c r="AP593" s="378"/>
      <c r="AQ593" s="378"/>
      <c r="AR593" s="378"/>
      <c r="AS593" s="378"/>
      <c r="AT593" s="378"/>
      <c r="AU593" s="378"/>
    </row>
    <row r="594" spans="1:47" s="532" customFormat="1" ht="28.5" customHeight="1" x14ac:dyDescent="0.25">
      <c r="A594" s="378"/>
      <c r="B594" s="97"/>
      <c r="C594" s="98"/>
      <c r="E594" s="1064">
        <v>1</v>
      </c>
      <c r="F594" s="1064">
        <v>1</v>
      </c>
      <c r="G594" s="1064">
        <v>1</v>
      </c>
      <c r="H594" s="2248" t="s">
        <v>810</v>
      </c>
      <c r="I594" s="2249"/>
      <c r="J594" s="378"/>
      <c r="K594" s="378"/>
      <c r="L594" s="378"/>
      <c r="M594" s="378"/>
      <c r="N594" s="378"/>
      <c r="O594" s="378"/>
      <c r="P594" s="378"/>
      <c r="Q594" s="378"/>
      <c r="R594" s="378"/>
      <c r="S594" s="378"/>
      <c r="T594" s="378"/>
      <c r="U594" s="378"/>
      <c r="V594" s="378"/>
      <c r="W594" s="378"/>
      <c r="X594" s="378"/>
      <c r="Y594" s="378"/>
      <c r="Z594" s="378"/>
      <c r="AA594" s="378"/>
      <c r="AB594" s="378"/>
      <c r="AC594" s="378"/>
      <c r="AD594" s="378"/>
      <c r="AE594" s="378"/>
      <c r="AF594" s="378"/>
      <c r="AG594" s="378"/>
      <c r="AH594" s="378"/>
      <c r="AI594" s="378"/>
      <c r="AJ594" s="378"/>
      <c r="AK594" s="378"/>
      <c r="AL594" s="378"/>
      <c r="AM594" s="378"/>
      <c r="AN594" s="378"/>
      <c r="AO594" s="378"/>
      <c r="AP594" s="378"/>
      <c r="AQ594" s="378"/>
      <c r="AR594" s="378"/>
      <c r="AS594" s="378"/>
      <c r="AT594" s="378"/>
      <c r="AU594" s="378"/>
    </row>
    <row r="595" spans="1:47" s="532" customFormat="1" x14ac:dyDescent="0.25">
      <c r="A595" s="378"/>
      <c r="B595" s="2247" t="s">
        <v>435</v>
      </c>
      <c r="C595" s="2250" t="s">
        <v>811</v>
      </c>
      <c r="D595" s="2250"/>
      <c r="E595" s="619" t="str">
        <f>IF(ISBLANK('3 INDICADORES'!D10),"",IF('GUIA DE APLICAÇÃO'!F586&gt;1,1,'GUIA DE APLICAÇÃO'!F586))</f>
        <v/>
      </c>
      <c r="F595" s="620" t="str">
        <f>IF(ISBLANK('3 INDICADORES'!E10),"",IF('GUIA DE APLICAÇÃO'!G586&gt;1,1,'GUIA DE APLICAÇÃO'!G586))</f>
        <v/>
      </c>
      <c r="G595" s="621" t="str">
        <f>IF(ISBLANK('3 INDICADORES'!F10),"",IF('GUIA DE APLICAÇÃO'!H586&gt;1,1,'GUIA DE APLICAÇÃO'!H586))</f>
        <v/>
      </c>
      <c r="I595" s="3"/>
      <c r="J595" s="621" t="e">
        <f>AVERAGE('GUIA DE APLICAÇÃO'!E595:G596)</f>
        <v>#DIV/0!</v>
      </c>
      <c r="K595" s="378"/>
      <c r="L595" s="378"/>
      <c r="M595" s="378"/>
      <c r="N595" s="378"/>
      <c r="O595" s="378"/>
      <c r="P595" s="378"/>
      <c r="Q595" s="378"/>
      <c r="R595" s="378"/>
      <c r="S595" s="378"/>
      <c r="T595" s="378"/>
      <c r="U595" s="378"/>
      <c r="V595" s="378"/>
      <c r="W595" s="378"/>
      <c r="X595" s="378"/>
      <c r="Y595" s="378"/>
      <c r="Z595" s="378"/>
      <c r="AA595" s="378"/>
      <c r="AB595" s="378"/>
      <c r="AC595" s="378"/>
      <c r="AD595" s="378"/>
      <c r="AE595" s="378"/>
      <c r="AF595" s="378"/>
      <c r="AG595" s="378"/>
      <c r="AH595" s="378"/>
      <c r="AI595" s="378"/>
      <c r="AJ595" s="378"/>
      <c r="AK595" s="378"/>
      <c r="AL595" s="378"/>
      <c r="AM595" s="378"/>
      <c r="AN595" s="378"/>
      <c r="AO595" s="378"/>
      <c r="AP595" s="378"/>
      <c r="AQ595" s="378"/>
      <c r="AR595" s="378"/>
      <c r="AS595" s="378"/>
      <c r="AT595" s="378"/>
      <c r="AU595" s="378"/>
    </row>
    <row r="596" spans="1:47" s="532" customFormat="1" ht="23.25" x14ac:dyDescent="0.25">
      <c r="A596" s="378"/>
      <c r="B596" s="2247"/>
      <c r="C596" s="2250" t="s">
        <v>812</v>
      </c>
      <c r="D596" s="2250"/>
      <c r="E596" s="622" t="str">
        <f>IF(ISBLANK('3 INDICADORES'!D11),"",IF('GUIA DE APLICAÇÃO'!F587&gt;1,1,'GUIA DE APLICAÇÃO'!F587))</f>
        <v/>
      </c>
      <c r="F596" s="623" t="str">
        <f>IF(ISBLANK('3 INDICADORES'!E11),"",IF('GUIA DE APLICAÇÃO'!G587&gt;1,1,'GUIA DE APLICAÇÃO'!G587))</f>
        <v/>
      </c>
      <c r="G596" s="624" t="str">
        <f>IF(ISBLANK('3 INDICADORES'!F11),"",IF('GUIA DE APLICAÇÃO'!H587&gt;1,1,'GUIA DE APLICAÇÃO'!H587))</f>
        <v/>
      </c>
      <c r="H596" s="694"/>
      <c r="I596" s="3"/>
      <c r="J596" s="621" t="e">
        <f>IF('4 RELATÓRIO'!G109&lt;210,'GUIA DE APLICAÇÃO'!J595*0.7,'GUIA DE APLICAÇÃO'!J595)</f>
        <v>#DIV/0!</v>
      </c>
      <c r="K596" s="621" t="e">
        <f>IF(J596&lt;0,0,J596)</f>
        <v>#DIV/0!</v>
      </c>
      <c r="L596" s="378"/>
      <c r="M596" s="378"/>
      <c r="N596" s="378"/>
      <c r="O596" s="378"/>
      <c r="P596" s="378"/>
      <c r="Q596" s="378"/>
      <c r="R596" s="378"/>
      <c r="S596" s="378"/>
      <c r="T596" s="378"/>
      <c r="U596" s="378"/>
      <c r="V596" s="378"/>
      <c r="W596" s="378"/>
      <c r="X596" s="378"/>
      <c r="Y596" s="378"/>
      <c r="Z596" s="378"/>
      <c r="AA596" s="378"/>
      <c r="AB596" s="378"/>
      <c r="AC596" s="378"/>
      <c r="AD596" s="378"/>
      <c r="AE596" s="378"/>
      <c r="AF596" s="378"/>
      <c r="AG596" s="378"/>
      <c r="AH596" s="378"/>
      <c r="AI596" s="378"/>
      <c r="AJ596" s="378"/>
      <c r="AK596" s="378"/>
      <c r="AL596" s="378"/>
      <c r="AM596" s="378"/>
      <c r="AN596" s="378"/>
      <c r="AO596" s="378"/>
      <c r="AP596" s="378"/>
      <c r="AQ596" s="378"/>
      <c r="AR596" s="378"/>
      <c r="AS596" s="378"/>
      <c r="AT596" s="378"/>
      <c r="AU596" s="378"/>
    </row>
    <row r="597" spans="1:47" x14ac:dyDescent="0.25">
      <c r="A597" s="378"/>
      <c r="B597" s="378"/>
      <c r="C597" s="378"/>
      <c r="D597" s="378"/>
      <c r="E597" s="378"/>
      <c r="F597" s="378"/>
      <c r="G597" s="378"/>
      <c r="H597" s="378"/>
      <c r="I597" s="378"/>
      <c r="J597" s="378"/>
      <c r="K597" s="378"/>
      <c r="L597" s="378"/>
      <c r="M597" s="378"/>
      <c r="N597" s="378"/>
      <c r="O597" s="378"/>
      <c r="P597" s="378"/>
      <c r="Q597" s="378"/>
      <c r="R597" s="378"/>
      <c r="S597" s="378"/>
      <c r="T597" s="378"/>
      <c r="U597" s="378"/>
      <c r="V597" s="378"/>
      <c r="W597" s="378"/>
      <c r="X597" s="378"/>
      <c r="Y597" s="378"/>
      <c r="Z597" s="378"/>
      <c r="AA597" s="378"/>
      <c r="AB597" s="378"/>
      <c r="AC597" s="378"/>
      <c r="AD597" s="378"/>
      <c r="AE597" s="378"/>
      <c r="AF597" s="378"/>
      <c r="AG597" s="378"/>
      <c r="AH597" s="378"/>
      <c r="AI597" s="378"/>
      <c r="AJ597" s="378"/>
      <c r="AK597" s="378"/>
      <c r="AL597" s="378"/>
      <c r="AM597" s="378"/>
      <c r="AN597" s="378"/>
      <c r="AO597" s="378"/>
      <c r="AP597" s="378"/>
      <c r="AQ597" s="378"/>
      <c r="AR597" s="378"/>
      <c r="AS597" s="378"/>
      <c r="AT597" s="378"/>
      <c r="AU597" s="378"/>
    </row>
    <row r="598" spans="1:47" ht="21" x14ac:dyDescent="0.35">
      <c r="A598" s="749">
        <v>2</v>
      </c>
      <c r="B598" s="2012" t="s">
        <v>799</v>
      </c>
      <c r="C598" s="2012"/>
      <c r="D598" s="378"/>
      <c r="E598" s="378"/>
      <c r="F598" s="1983" t="s">
        <v>766</v>
      </c>
      <c r="G598" s="1984"/>
      <c r="H598" s="1985"/>
      <c r="I598" s="378"/>
      <c r="J598" s="1062">
        <v>0.3</v>
      </c>
      <c r="K598" s="378"/>
      <c r="L598" s="378"/>
      <c r="M598" s="378"/>
      <c r="N598" s="378"/>
      <c r="O598" s="378"/>
      <c r="P598" s="378"/>
      <c r="Q598" s="378"/>
      <c r="R598" s="378"/>
      <c r="S598" s="378"/>
      <c r="T598" s="378"/>
      <c r="U598" s="378"/>
      <c r="V598" s="378"/>
      <c r="W598" s="378"/>
      <c r="X598" s="378"/>
      <c r="Y598" s="378"/>
      <c r="Z598" s="378"/>
      <c r="AA598" s="378"/>
      <c r="AB598" s="378"/>
      <c r="AC598" s="378"/>
      <c r="AD598" s="378"/>
      <c r="AE598" s="378"/>
      <c r="AF598" s="378"/>
      <c r="AG598" s="378"/>
      <c r="AH598" s="378"/>
      <c r="AI598" s="378"/>
      <c r="AJ598" s="378"/>
      <c r="AK598" s="378"/>
      <c r="AL598" s="378"/>
      <c r="AM598" s="378"/>
      <c r="AN598" s="378"/>
      <c r="AO598" s="378"/>
      <c r="AP598" s="378"/>
      <c r="AQ598" s="378"/>
      <c r="AR598" s="378"/>
      <c r="AS598" s="378"/>
      <c r="AT598" s="378"/>
      <c r="AU598" s="378"/>
    </row>
    <row r="599" spans="1:47" ht="18.75" customHeight="1" x14ac:dyDescent="0.25">
      <c r="A599" s="378"/>
      <c r="B599" s="1057" t="s">
        <v>813</v>
      </c>
      <c r="C599" s="1058" t="s">
        <v>814</v>
      </c>
      <c r="D599" s="378"/>
      <c r="E599" s="378"/>
      <c r="F599" s="2011" t="s">
        <v>815</v>
      </c>
      <c r="G599" s="2011"/>
      <c r="H599" s="2011"/>
      <c r="I599" s="378"/>
      <c r="J599" s="1062">
        <v>0.3</v>
      </c>
      <c r="K599" s="378"/>
      <c r="L599" s="378"/>
      <c r="M599" s="378"/>
      <c r="N599" s="378"/>
      <c r="O599" s="378"/>
      <c r="P599" s="378"/>
      <c r="Q599" s="378"/>
      <c r="R599" s="378"/>
      <c r="S599" s="378"/>
      <c r="T599" s="378"/>
      <c r="U599" s="378"/>
      <c r="V599" s="378"/>
      <c r="W599" s="378"/>
      <c r="X599" s="378"/>
      <c r="Y599" s="378"/>
      <c r="Z599" s="378"/>
      <c r="AA599" s="378"/>
      <c r="AB599" s="378"/>
      <c r="AC599" s="378"/>
      <c r="AD599" s="378"/>
      <c r="AE599" s="378"/>
      <c r="AF599" s="378"/>
      <c r="AG599" s="378"/>
      <c r="AH599" s="378"/>
      <c r="AI599" s="378"/>
      <c r="AJ599" s="378"/>
      <c r="AK599" s="378"/>
      <c r="AL599" s="378"/>
      <c r="AM599" s="378"/>
      <c r="AN599" s="378"/>
      <c r="AO599" s="378"/>
      <c r="AP599" s="378"/>
      <c r="AQ599" s="378"/>
      <c r="AR599" s="378"/>
      <c r="AS599" s="378"/>
      <c r="AT599" s="378"/>
      <c r="AU599" s="378"/>
    </row>
    <row r="600" spans="1:47" ht="18.75" customHeight="1" x14ac:dyDescent="0.25">
      <c r="A600" s="378"/>
      <c r="B600" s="1057" t="s">
        <v>816</v>
      </c>
      <c r="C600" s="1059" t="s">
        <v>817</v>
      </c>
      <c r="D600" s="378"/>
      <c r="E600" s="378"/>
      <c r="F600" s="2011"/>
      <c r="G600" s="2011"/>
      <c r="H600" s="2011"/>
      <c r="I600" s="378"/>
      <c r="J600" s="1063">
        <v>1</v>
      </c>
      <c r="K600" s="378"/>
      <c r="L600" s="378"/>
      <c r="M600" s="378"/>
      <c r="N600" s="378"/>
      <c r="O600" s="378"/>
      <c r="P600" s="378"/>
      <c r="Q600" s="378"/>
      <c r="R600" s="378"/>
      <c r="S600" s="378"/>
      <c r="T600" s="378"/>
      <c r="U600" s="378"/>
      <c r="V600" s="378"/>
      <c r="W600" s="378"/>
      <c r="X600" s="378"/>
      <c r="Y600" s="378"/>
      <c r="Z600" s="378"/>
      <c r="AA600" s="378"/>
      <c r="AB600" s="378"/>
      <c r="AC600" s="378"/>
      <c r="AD600" s="378"/>
      <c r="AE600" s="378"/>
      <c r="AF600" s="378"/>
      <c r="AG600" s="378"/>
      <c r="AH600" s="378"/>
      <c r="AI600" s="378"/>
      <c r="AJ600" s="378"/>
      <c r="AK600" s="378"/>
      <c r="AL600" s="378"/>
      <c r="AM600" s="378"/>
      <c r="AN600" s="378"/>
      <c r="AO600" s="378"/>
      <c r="AP600" s="378"/>
      <c r="AQ600" s="378"/>
      <c r="AR600" s="378"/>
      <c r="AS600" s="378"/>
      <c r="AT600" s="378"/>
      <c r="AU600" s="378"/>
    </row>
    <row r="601" spans="1:47" ht="18" customHeight="1" x14ac:dyDescent="0.25">
      <c r="A601" s="378"/>
      <c r="B601" s="1057" t="s">
        <v>818</v>
      </c>
      <c r="C601" s="1059" t="s">
        <v>819</v>
      </c>
      <c r="D601" s="378"/>
      <c r="E601" s="378"/>
      <c r="F601" s="2011"/>
      <c r="G601" s="2011"/>
      <c r="H601" s="2011"/>
      <c r="I601" s="378"/>
      <c r="J601" s="1063">
        <v>2</v>
      </c>
      <c r="K601" s="378"/>
      <c r="L601" s="378"/>
      <c r="M601" s="378"/>
      <c r="N601" s="378"/>
      <c r="O601" s="378"/>
      <c r="P601" s="378"/>
      <c r="Q601" s="378"/>
      <c r="R601" s="378"/>
      <c r="S601" s="378"/>
      <c r="T601" s="378"/>
      <c r="U601" s="378"/>
      <c r="V601" s="378"/>
      <c r="W601" s="378"/>
      <c r="X601" s="378"/>
      <c r="Y601" s="378"/>
      <c r="Z601" s="378"/>
      <c r="AA601" s="378"/>
      <c r="AB601" s="378"/>
      <c r="AC601" s="378"/>
      <c r="AD601" s="378"/>
      <c r="AE601" s="378"/>
      <c r="AF601" s="378"/>
      <c r="AG601" s="378"/>
      <c r="AH601" s="378"/>
      <c r="AI601" s="378"/>
      <c r="AJ601" s="378"/>
      <c r="AK601" s="378"/>
      <c r="AL601" s="378"/>
      <c r="AM601" s="378"/>
      <c r="AN601" s="378"/>
      <c r="AO601" s="378"/>
      <c r="AP601" s="378"/>
      <c r="AQ601" s="378"/>
      <c r="AR601" s="378"/>
      <c r="AS601" s="378"/>
      <c r="AT601" s="378"/>
      <c r="AU601" s="378"/>
    </row>
    <row r="602" spans="1:47" ht="18" customHeight="1" x14ac:dyDescent="0.25">
      <c r="A602" s="378"/>
      <c r="B602" s="1057" t="s">
        <v>820</v>
      </c>
      <c r="C602" s="1059" t="s">
        <v>821</v>
      </c>
      <c r="D602" s="378"/>
      <c r="E602" s="378"/>
      <c r="F602" s="2011"/>
      <c r="G602" s="2011"/>
      <c r="H602" s="2011"/>
      <c r="I602" s="378"/>
      <c r="J602" s="378"/>
      <c r="K602" s="378"/>
      <c r="L602" s="378"/>
      <c r="M602" s="378"/>
      <c r="N602" s="378"/>
      <c r="O602" s="378"/>
      <c r="P602" s="378"/>
      <c r="Q602" s="378"/>
      <c r="R602" s="378"/>
      <c r="S602" s="378"/>
      <c r="T602" s="378"/>
      <c r="U602" s="378"/>
      <c r="V602" s="378"/>
      <c r="W602" s="378"/>
      <c r="X602" s="378"/>
      <c r="Y602" s="378"/>
      <c r="Z602" s="378"/>
      <c r="AA602" s="378"/>
      <c r="AB602" s="378"/>
      <c r="AC602" s="378"/>
      <c r="AD602" s="378"/>
      <c r="AE602" s="378"/>
      <c r="AF602" s="378"/>
      <c r="AG602" s="378"/>
      <c r="AH602" s="378"/>
      <c r="AI602" s="378"/>
      <c r="AJ602" s="378"/>
      <c r="AK602" s="378"/>
      <c r="AL602" s="378"/>
      <c r="AM602" s="378"/>
      <c r="AN602" s="378"/>
      <c r="AO602" s="378"/>
      <c r="AP602" s="378"/>
      <c r="AQ602" s="378"/>
      <c r="AR602" s="378"/>
      <c r="AS602" s="378"/>
      <c r="AT602" s="378"/>
      <c r="AU602" s="378"/>
    </row>
    <row r="603" spans="1:47" x14ac:dyDescent="0.25">
      <c r="A603" s="378"/>
      <c r="B603" s="378"/>
      <c r="C603" s="378"/>
      <c r="D603" s="378"/>
      <c r="E603" s="378"/>
      <c r="F603" s="1060">
        <f>1-(('3 INDICADORES'!F21^2*'GUIA DE APLICAÇÃO'!J598)+('3 INDICADORES'!F22^2*'GUIA DE APLICAÇÃO'!J599)+('3 INDICADORES'!F23^2*'GUIA DE APLICAÇÃO'!J600)+('3 INDICADORES'!F24^2*'GUIA DE APLICAÇÃO'!J601))</f>
        <v>1</v>
      </c>
      <c r="G603" s="1061">
        <f>IF(AND('3 INDICADORES'!F21&gt;70%,'3 INDICADORES'!F25="sim"),F603-10%,F603)</f>
        <v>1</v>
      </c>
      <c r="H603" s="1061">
        <f>IF('GUIA DE APLICAÇÃO'!G603&lt;0.1,0.1,'GUIA DE APLICAÇÃO'!G603)</f>
        <v>1</v>
      </c>
      <c r="I603" s="378"/>
      <c r="J603" s="378"/>
      <c r="K603" s="378"/>
      <c r="L603" s="378"/>
      <c r="M603" s="378"/>
      <c r="N603" s="378"/>
      <c r="O603" s="378"/>
      <c r="P603" s="378"/>
      <c r="Q603" s="378"/>
      <c r="R603" s="378"/>
      <c r="S603" s="378"/>
      <c r="T603" s="378"/>
      <c r="U603" s="378"/>
      <c r="V603" s="378"/>
      <c r="W603" s="378"/>
      <c r="X603" s="378"/>
      <c r="Y603" s="378"/>
      <c r="Z603" s="378"/>
      <c r="AA603" s="378"/>
      <c r="AB603" s="378"/>
      <c r="AC603" s="378"/>
      <c r="AD603" s="378"/>
      <c r="AE603" s="378"/>
      <c r="AF603" s="378"/>
      <c r="AG603" s="378"/>
      <c r="AH603" s="378"/>
      <c r="AI603" s="378"/>
      <c r="AJ603" s="378"/>
      <c r="AK603" s="378"/>
      <c r="AL603" s="378"/>
      <c r="AM603" s="378"/>
      <c r="AN603" s="378"/>
      <c r="AO603" s="378"/>
      <c r="AP603" s="378"/>
      <c r="AQ603" s="378"/>
      <c r="AR603" s="378"/>
      <c r="AS603" s="378"/>
      <c r="AT603" s="378"/>
      <c r="AU603" s="378"/>
    </row>
    <row r="604" spans="1:47" x14ac:dyDescent="0.25">
      <c r="A604" s="378"/>
      <c r="B604" s="378"/>
      <c r="C604" s="378"/>
      <c r="D604" s="378"/>
      <c r="E604" s="378"/>
      <c r="F604" s="110"/>
      <c r="G604" s="532"/>
      <c r="H604" s="45"/>
      <c r="I604" s="378"/>
      <c r="J604" s="378"/>
      <c r="K604" s="378"/>
      <c r="L604" s="378"/>
      <c r="M604" s="378"/>
      <c r="N604" s="378"/>
      <c r="O604" s="378"/>
      <c r="P604" s="378"/>
      <c r="Q604" s="378"/>
      <c r="R604" s="378"/>
      <c r="S604" s="378"/>
      <c r="T604" s="378"/>
      <c r="U604" s="378"/>
      <c r="V604" s="378"/>
      <c r="W604" s="378"/>
      <c r="X604" s="378"/>
      <c r="Y604" s="378"/>
      <c r="Z604" s="378"/>
      <c r="AA604" s="378"/>
      <c r="AB604" s="378"/>
      <c r="AC604" s="378"/>
      <c r="AD604" s="378"/>
      <c r="AE604" s="378"/>
      <c r="AF604" s="378"/>
      <c r="AG604" s="378"/>
      <c r="AH604" s="378"/>
      <c r="AI604" s="378"/>
      <c r="AJ604" s="378"/>
      <c r="AK604" s="378"/>
      <c r="AL604" s="378"/>
      <c r="AM604" s="378"/>
      <c r="AN604" s="378"/>
      <c r="AO604" s="378"/>
      <c r="AP604" s="378"/>
      <c r="AQ604" s="378"/>
      <c r="AR604" s="378"/>
      <c r="AS604" s="378"/>
      <c r="AT604" s="378"/>
      <c r="AU604" s="378"/>
    </row>
    <row r="605" spans="1:47" x14ac:dyDescent="0.25">
      <c r="A605" s="378"/>
      <c r="B605" s="378"/>
      <c r="C605" s="378"/>
      <c r="D605" s="378"/>
      <c r="E605" s="378"/>
      <c r="F605" s="378"/>
      <c r="G605" s="378"/>
      <c r="H605" s="378"/>
      <c r="I605" s="378"/>
      <c r="J605" s="378"/>
      <c r="K605" s="378"/>
      <c r="L605" s="378"/>
      <c r="M605" s="378"/>
      <c r="N605" s="378"/>
      <c r="O605" s="378"/>
      <c r="P605" s="378"/>
      <c r="Q605" s="378"/>
      <c r="R605" s="378"/>
      <c r="S605" s="378"/>
      <c r="T605" s="378"/>
      <c r="U605" s="378"/>
      <c r="V605" s="378"/>
      <c r="W605" s="378"/>
      <c r="X605" s="378"/>
      <c r="Y605" s="378"/>
      <c r="Z605" s="378"/>
      <c r="AA605" s="378"/>
      <c r="AB605" s="378"/>
      <c r="AC605" s="378"/>
      <c r="AD605" s="378"/>
      <c r="AE605" s="378"/>
      <c r="AF605" s="378"/>
      <c r="AG605" s="378"/>
      <c r="AH605" s="378"/>
      <c r="AI605" s="378"/>
      <c r="AJ605" s="378"/>
      <c r="AK605" s="378"/>
      <c r="AL605" s="378"/>
      <c r="AM605" s="378"/>
      <c r="AN605" s="378"/>
      <c r="AO605" s="378"/>
      <c r="AP605" s="378"/>
      <c r="AQ605" s="378"/>
      <c r="AR605" s="378"/>
      <c r="AS605" s="378"/>
      <c r="AT605" s="378"/>
      <c r="AU605" s="378"/>
    </row>
    <row r="606" spans="1:47" x14ac:dyDescent="0.25">
      <c r="A606" s="378"/>
      <c r="B606" s="378"/>
      <c r="C606" s="378"/>
      <c r="D606" s="378"/>
      <c r="E606" s="378"/>
      <c r="F606" s="378"/>
      <c r="G606" s="378"/>
      <c r="H606" s="378"/>
      <c r="I606" s="378"/>
      <c r="J606" s="378"/>
      <c r="K606" s="378"/>
      <c r="L606" s="378"/>
      <c r="M606" s="378"/>
      <c r="N606" s="378"/>
      <c r="O606" s="378"/>
      <c r="P606" s="378"/>
      <c r="Q606" s="378"/>
      <c r="R606" s="378"/>
      <c r="S606" s="378"/>
      <c r="T606" s="378"/>
      <c r="U606" s="378"/>
      <c r="V606" s="378"/>
      <c r="W606" s="378"/>
      <c r="X606" s="378"/>
      <c r="Y606" s="378"/>
      <c r="Z606" s="378"/>
      <c r="AA606" s="378"/>
      <c r="AB606" s="378"/>
      <c r="AC606" s="378"/>
      <c r="AD606" s="378"/>
      <c r="AE606" s="378"/>
      <c r="AF606" s="378"/>
      <c r="AG606" s="378"/>
      <c r="AH606" s="378"/>
      <c r="AI606" s="378"/>
      <c r="AJ606" s="378"/>
      <c r="AK606" s="378"/>
      <c r="AL606" s="378"/>
      <c r="AM606" s="378"/>
      <c r="AN606" s="378"/>
      <c r="AO606" s="378"/>
      <c r="AP606" s="378"/>
      <c r="AQ606" s="378"/>
      <c r="AR606" s="378"/>
      <c r="AS606" s="378"/>
      <c r="AT606" s="378"/>
      <c r="AU606" s="378"/>
    </row>
    <row r="607" spans="1:47" ht="21" x14ac:dyDescent="0.35">
      <c r="A607" s="749">
        <v>3</v>
      </c>
      <c r="B607" s="2012" t="s">
        <v>799</v>
      </c>
      <c r="C607" s="2012"/>
      <c r="D607" s="378"/>
      <c r="E607" s="378"/>
      <c r="F607" s="1983" t="s">
        <v>766</v>
      </c>
      <c r="G607" s="1984"/>
      <c r="H607" s="1984"/>
      <c r="I607" s="1985"/>
      <c r="J607" s="378"/>
      <c r="K607" s="600" t="e">
        <f>+'GUIA DE APLICAÇÃO'!M607</f>
        <v>#DIV/0!</v>
      </c>
      <c r="L607" s="378"/>
      <c r="M607" s="1070" t="e">
        <f>(+('GUIA DE APLICAÇÃO'!E552-'GUIA DE APLICAÇÃO'!J552)/('1 QUESTIONÁRIO'!G207-'1 QUESTIONÁRIO'!J207))</f>
        <v>#DIV/0!</v>
      </c>
      <c r="N607" s="378"/>
      <c r="O607" s="378"/>
      <c r="P607" s="378"/>
      <c r="Q607" s="378"/>
      <c r="R607" s="378"/>
      <c r="S607" s="378"/>
      <c r="T607" s="378"/>
      <c r="U607" s="378"/>
      <c r="V607" s="378"/>
      <c r="W607" s="378"/>
      <c r="X607" s="378"/>
      <c r="Y607" s="378"/>
      <c r="Z607" s="378"/>
      <c r="AA607" s="378"/>
      <c r="AB607" s="378"/>
      <c r="AC607" s="378"/>
      <c r="AD607" s="378"/>
      <c r="AE607" s="378"/>
      <c r="AF607" s="378"/>
      <c r="AG607" s="378"/>
      <c r="AH607" s="378"/>
      <c r="AI607" s="378"/>
      <c r="AJ607" s="378"/>
      <c r="AK607" s="378"/>
      <c r="AL607" s="378"/>
      <c r="AM607" s="378"/>
      <c r="AN607" s="378"/>
      <c r="AO607" s="378"/>
      <c r="AP607" s="378"/>
      <c r="AQ607" s="378"/>
      <c r="AR607" s="378"/>
      <c r="AS607" s="378"/>
      <c r="AT607" s="378"/>
      <c r="AU607" s="378"/>
    </row>
    <row r="608" spans="1:47" ht="21" customHeight="1" x14ac:dyDescent="0.25">
      <c r="A608" s="378"/>
      <c r="B608" s="1057" t="s">
        <v>822</v>
      </c>
      <c r="C608" s="1066">
        <v>0.6</v>
      </c>
      <c r="D608" s="378"/>
      <c r="E608" s="378"/>
      <c r="F608" s="1996" t="s">
        <v>823</v>
      </c>
      <c r="G608" s="1997"/>
      <c r="H608" s="1997"/>
      <c r="I608" s="1998"/>
      <c r="J608" s="378"/>
      <c r="K608" s="600" t="e">
        <f>+'GUIA DE APLICAÇÃO'!M608</f>
        <v>#DIV/0!</v>
      </c>
      <c r="L608" s="378"/>
      <c r="M608" s="1070" t="e">
        <f>('1 QUESTIONÁRIO'!$E$157-'1 QUESTIONÁRIO'!$G$157)/('1 QUESTIONÁRIO'!$G$207-'1 QUESTIONÁRIO'!$J$207)</f>
        <v>#DIV/0!</v>
      </c>
      <c r="N608" s="378"/>
      <c r="O608" s="378"/>
      <c r="P608" s="378"/>
      <c r="Q608" s="378"/>
      <c r="R608" s="378"/>
      <c r="S608" s="378"/>
      <c r="T608" s="378"/>
      <c r="U608" s="378"/>
      <c r="V608" s="378"/>
      <c r="W608" s="378"/>
      <c r="X608" s="378"/>
      <c r="Y608" s="378"/>
      <c r="Z608" s="378"/>
      <c r="AA608" s="378"/>
      <c r="AB608" s="378"/>
      <c r="AC608" s="378"/>
      <c r="AD608" s="378"/>
      <c r="AE608" s="378"/>
      <c r="AF608" s="378"/>
      <c r="AG608" s="378"/>
      <c r="AH608" s="378"/>
      <c r="AI608" s="378"/>
      <c r="AJ608" s="378"/>
      <c r="AK608" s="378"/>
      <c r="AL608" s="378"/>
      <c r="AM608" s="378"/>
      <c r="AN608" s="378"/>
      <c r="AO608" s="378"/>
      <c r="AP608" s="378"/>
      <c r="AQ608" s="378"/>
      <c r="AR608" s="378"/>
      <c r="AS608" s="378"/>
      <c r="AT608" s="378"/>
      <c r="AU608" s="378"/>
    </row>
    <row r="609" spans="1:47" x14ac:dyDescent="0.25">
      <c r="A609" s="750"/>
      <c r="B609" s="1057" t="s">
        <v>824</v>
      </c>
      <c r="C609" s="1066">
        <v>1</v>
      </c>
      <c r="D609" s="378"/>
      <c r="E609" s="378"/>
      <c r="F609" s="1999"/>
      <c r="G609" s="2000"/>
      <c r="H609" s="2000"/>
      <c r="I609" s="2001"/>
      <c r="J609" s="378"/>
      <c r="K609" s="600" t="e">
        <f>+'GUIA DE APLICAÇÃO'!M609</f>
        <v>#DIV/0!</v>
      </c>
      <c r="L609" s="378"/>
      <c r="M609" s="1070" t="e">
        <f>('1 QUESTIONÁRIO'!$E$173-'1 QUESTIONÁRIO'!$G$173)/('1 QUESTIONÁRIO'!$G$207-'1 QUESTIONÁRIO'!$J$207)</f>
        <v>#DIV/0!</v>
      </c>
      <c r="N609" s="378"/>
      <c r="O609" s="378"/>
      <c r="P609" s="378"/>
      <c r="Q609" s="378"/>
      <c r="R609" s="378"/>
      <c r="S609" s="378"/>
      <c r="T609" s="378"/>
      <c r="U609" s="378"/>
      <c r="V609" s="378"/>
      <c r="W609" s="378"/>
      <c r="X609" s="378"/>
      <c r="Y609" s="378"/>
      <c r="Z609" s="378"/>
      <c r="AA609" s="378"/>
      <c r="AB609" s="378"/>
      <c r="AC609" s="378"/>
      <c r="AD609" s="378"/>
      <c r="AE609" s="378"/>
      <c r="AF609" s="378"/>
      <c r="AG609" s="378"/>
      <c r="AH609" s="378"/>
      <c r="AI609" s="378"/>
      <c r="AJ609" s="378"/>
      <c r="AK609" s="378"/>
      <c r="AL609" s="378"/>
      <c r="AM609" s="378"/>
      <c r="AN609" s="378"/>
      <c r="AO609" s="378"/>
      <c r="AP609" s="378"/>
      <c r="AQ609" s="378"/>
      <c r="AR609" s="378"/>
      <c r="AS609" s="378"/>
      <c r="AT609" s="378"/>
      <c r="AU609" s="378"/>
    </row>
    <row r="610" spans="1:47" x14ac:dyDescent="0.25">
      <c r="A610" s="750"/>
      <c r="B610" s="1057" t="s">
        <v>825</v>
      </c>
      <c r="C610" s="1066">
        <v>1</v>
      </c>
      <c r="D610" s="378"/>
      <c r="E610" s="378"/>
      <c r="F610" s="1999"/>
      <c r="G610" s="2000"/>
      <c r="H610" s="2000"/>
      <c r="I610" s="2001"/>
      <c r="J610" s="378"/>
      <c r="K610" s="600" t="e">
        <f>+'GUIA DE APLICAÇÃO'!M610</f>
        <v>#DIV/0!</v>
      </c>
      <c r="L610" s="378"/>
      <c r="M610" s="1070" t="e">
        <f>('1 QUESTIONÁRIO'!$F$191-'1 QUESTIONÁRIO'!$J$191)/('1 QUESTIONÁRIO'!$G$207-'1 QUESTIONÁRIO'!$J$207)</f>
        <v>#DIV/0!</v>
      </c>
      <c r="N610" s="378"/>
      <c r="O610" s="378"/>
      <c r="P610" s="378"/>
      <c r="Q610" s="378"/>
      <c r="R610" s="378"/>
      <c r="S610" s="378"/>
      <c r="T610" s="378"/>
      <c r="U610" s="378"/>
      <c r="V610" s="378"/>
      <c r="W610" s="378"/>
      <c r="X610" s="378"/>
      <c r="Y610" s="378"/>
      <c r="Z610" s="378"/>
      <c r="AA610" s="378"/>
      <c r="AB610" s="378"/>
      <c r="AC610" s="378"/>
      <c r="AD610" s="378"/>
      <c r="AE610" s="378"/>
      <c r="AF610" s="378"/>
      <c r="AG610" s="378"/>
      <c r="AH610" s="378"/>
      <c r="AI610" s="378"/>
      <c r="AJ610" s="378"/>
      <c r="AK610" s="378"/>
      <c r="AL610" s="378"/>
      <c r="AM610" s="378"/>
      <c r="AN610" s="378"/>
      <c r="AO610" s="378"/>
      <c r="AP610" s="378"/>
      <c r="AQ610" s="378"/>
      <c r="AR610" s="378"/>
      <c r="AS610" s="378"/>
      <c r="AT610" s="378"/>
      <c r="AU610" s="378"/>
    </row>
    <row r="611" spans="1:47" ht="18.75" customHeight="1" x14ac:dyDescent="0.25">
      <c r="A611" s="750"/>
      <c r="B611" s="1057" t="s">
        <v>826</v>
      </c>
      <c r="C611" s="1066">
        <v>1</v>
      </c>
      <c r="D611" s="378"/>
      <c r="E611" s="378"/>
      <c r="F611" s="2002"/>
      <c r="G611" s="2003"/>
      <c r="H611" s="2003"/>
      <c r="I611" s="2004"/>
      <c r="J611" s="378"/>
      <c r="K611" s="600" t="e">
        <f>+'GUIA DE APLICAÇÃO'!M611</f>
        <v>#DIV/0!</v>
      </c>
      <c r="L611" s="378"/>
      <c r="M611" s="1070" t="e">
        <f>('GUIA DE APLICAÇÃO'!J554/('1 QUESTIONÁRIO'!G207-'1 QUESTIONÁRIO'!J207))</f>
        <v>#DIV/0!</v>
      </c>
      <c r="N611" s="378"/>
      <c r="O611" s="378"/>
      <c r="P611" s="378"/>
      <c r="Q611" s="378"/>
      <c r="R611" s="378"/>
      <c r="S611" s="378"/>
      <c r="T611" s="378"/>
      <c r="U611" s="378"/>
      <c r="V611" s="378"/>
      <c r="W611" s="378"/>
      <c r="X611" s="378"/>
      <c r="Y611" s="378"/>
      <c r="Z611" s="378"/>
      <c r="AA611" s="378"/>
      <c r="AB611" s="378"/>
      <c r="AC611" s="378"/>
      <c r="AD611" s="378"/>
      <c r="AE611" s="378"/>
      <c r="AF611" s="378"/>
      <c r="AG611" s="378"/>
      <c r="AH611" s="378"/>
      <c r="AI611" s="378"/>
      <c r="AJ611" s="378"/>
      <c r="AK611" s="378"/>
      <c r="AL611" s="378"/>
      <c r="AM611" s="378"/>
      <c r="AN611" s="378"/>
      <c r="AO611" s="378"/>
      <c r="AP611" s="378"/>
      <c r="AQ611" s="378"/>
      <c r="AR611" s="378"/>
      <c r="AS611" s="378"/>
      <c r="AT611" s="378"/>
      <c r="AU611" s="378"/>
    </row>
    <row r="612" spans="1:47" x14ac:dyDescent="0.25">
      <c r="A612" s="750"/>
      <c r="B612" s="378"/>
      <c r="C612" s="378"/>
      <c r="D612" s="378"/>
      <c r="E612" s="378"/>
      <c r="F612" s="1067" t="e">
        <f>('GUIA DE APLICAÇÃO'!M607*'3 INDICADORES'!G33+'GUIA DE APLICAÇÃO'!M608*'3 INDICADORES'!G34+'GUIA DE APLICAÇÃO'!M609*'3 INDICADORES'!G35+'GUIA DE APLICAÇÃO'!M610*'3 INDICADORES'!G36+'GUIA DE APLICAÇÃO'!M611*'3 INDICADORES'!G37)</f>
        <v>#DIV/0!</v>
      </c>
      <c r="G612" s="1068" t="e">
        <f>IF('3 INDICADORES'!F39&gt;26%,F612*((1+('3 INDICADORES'!F39-0.26))),F612)</f>
        <v>#DIV/0!</v>
      </c>
      <c r="H612" s="1069" t="e">
        <f>IF('3 INDICADORES'!F38&gt;0,G612,1-(0.3-10*'3 INDICADORES'!F38))</f>
        <v>#DIV/0!</v>
      </c>
      <c r="I612" s="1069" t="e">
        <f>IF(H612&lt;0,0,H612)</f>
        <v>#DIV/0!</v>
      </c>
      <c r="J612" s="378"/>
      <c r="K612" s="378"/>
      <c r="L612" s="378"/>
      <c r="M612" s="1071" t="e">
        <f>M611+M610+M609+M608+M607</f>
        <v>#DIV/0!</v>
      </c>
      <c r="N612" s="378"/>
      <c r="O612" s="378"/>
      <c r="P612" s="378"/>
      <c r="Q612" s="378"/>
      <c r="R612" s="378"/>
      <c r="S612" s="378"/>
      <c r="T612" s="378"/>
      <c r="U612" s="378"/>
      <c r="V612" s="378"/>
      <c r="W612" s="378"/>
      <c r="X612" s="378"/>
      <c r="Y612" s="378"/>
      <c r="Z612" s="378"/>
      <c r="AA612" s="378"/>
      <c r="AB612" s="378"/>
      <c r="AC612" s="378"/>
      <c r="AD612" s="378"/>
      <c r="AE612" s="378"/>
      <c r="AF612" s="378"/>
      <c r="AG612" s="378"/>
      <c r="AH612" s="378"/>
      <c r="AI612" s="378"/>
      <c r="AJ612" s="378"/>
      <c r="AK612" s="378"/>
      <c r="AL612" s="378"/>
      <c r="AM612" s="378"/>
      <c r="AN612" s="378"/>
      <c r="AO612" s="378"/>
      <c r="AP612" s="378"/>
      <c r="AQ612" s="378"/>
      <c r="AR612" s="378"/>
      <c r="AS612" s="378"/>
      <c r="AT612" s="378"/>
      <c r="AU612" s="378"/>
    </row>
    <row r="613" spans="1:47" x14ac:dyDescent="0.25">
      <c r="A613" s="750"/>
      <c r="B613" s="378"/>
      <c r="C613" s="378"/>
      <c r="D613" s="378"/>
      <c r="E613" s="378"/>
      <c r="F613" s="378"/>
      <c r="G613" s="378"/>
      <c r="H613" s="378"/>
      <c r="I613" s="388" t="s">
        <v>827</v>
      </c>
      <c r="J613" s="378"/>
      <c r="K613" s="398" t="e">
        <f>SUM('GUIA DE APLICAÇÃO'!M607:M611)</f>
        <v>#DIV/0!</v>
      </c>
      <c r="L613" s="378"/>
      <c r="M613" s="378"/>
      <c r="N613" s="378"/>
      <c r="O613" s="378"/>
      <c r="P613" s="378"/>
      <c r="Q613" s="378"/>
      <c r="R613" s="378"/>
      <c r="S613" s="378"/>
      <c r="T613" s="378"/>
      <c r="U613" s="378"/>
      <c r="V613" s="378"/>
      <c r="W613" s="378"/>
      <c r="X613" s="378"/>
      <c r="Y613" s="378"/>
      <c r="Z613" s="378"/>
      <c r="AA613" s="378"/>
      <c r="AB613" s="378"/>
      <c r="AC613" s="378"/>
      <c r="AD613" s="378"/>
      <c r="AE613" s="378"/>
      <c r="AF613" s="378"/>
      <c r="AG613" s="378"/>
      <c r="AH613" s="378"/>
      <c r="AI613" s="378"/>
      <c r="AJ613" s="378"/>
      <c r="AK613" s="378"/>
      <c r="AL613" s="378"/>
      <c r="AM613" s="378"/>
      <c r="AN613" s="378"/>
      <c r="AO613" s="378"/>
      <c r="AP613" s="378"/>
      <c r="AQ613" s="378"/>
      <c r="AR613" s="378"/>
      <c r="AS613" s="378"/>
      <c r="AT613" s="378"/>
      <c r="AU613" s="378"/>
    </row>
    <row r="614" spans="1:47" s="532" customFormat="1" x14ac:dyDescent="0.25">
      <c r="A614" s="750"/>
      <c r="B614" s="378"/>
      <c r="C614" s="378"/>
      <c r="D614" s="378"/>
      <c r="E614" s="378"/>
      <c r="F614" s="378"/>
      <c r="G614" s="628"/>
      <c r="H614" s="378"/>
      <c r="I614" s="378"/>
      <c r="J614" s="378"/>
      <c r="K614" s="378"/>
      <c r="L614" s="378"/>
      <c r="M614" s="378"/>
      <c r="N614" s="378"/>
      <c r="O614" s="378"/>
      <c r="P614" s="378"/>
      <c r="Q614" s="378"/>
      <c r="R614" s="378"/>
      <c r="S614" s="378"/>
      <c r="T614" s="378"/>
      <c r="U614" s="378"/>
      <c r="V614" s="378"/>
      <c r="W614" s="378"/>
      <c r="X614" s="378"/>
      <c r="Y614" s="378"/>
      <c r="Z614" s="378"/>
      <c r="AA614" s="378"/>
      <c r="AB614" s="378"/>
      <c r="AC614" s="378"/>
      <c r="AD614" s="378"/>
      <c r="AE614" s="378"/>
      <c r="AF614" s="378"/>
      <c r="AG614" s="378"/>
      <c r="AH614" s="378"/>
      <c r="AI614" s="378"/>
      <c r="AJ614" s="378"/>
      <c r="AK614" s="378"/>
      <c r="AL614" s="378"/>
      <c r="AM614" s="378"/>
      <c r="AN614" s="378"/>
      <c r="AO614" s="378"/>
      <c r="AP614" s="378"/>
      <c r="AQ614" s="378"/>
      <c r="AR614" s="378"/>
      <c r="AS614" s="378"/>
      <c r="AT614" s="378"/>
      <c r="AU614" s="378"/>
    </row>
    <row r="615" spans="1:47" s="532" customFormat="1" x14ac:dyDescent="0.25">
      <c r="A615" s="750"/>
      <c r="B615" s="378"/>
      <c r="C615" s="378"/>
      <c r="D615" s="378"/>
      <c r="E615" s="378"/>
      <c r="F615" s="378"/>
      <c r="G615" s="628"/>
      <c r="H615" s="378"/>
      <c r="I615" s="378"/>
      <c r="J615" s="378"/>
      <c r="K615" s="378"/>
      <c r="L615" s="378"/>
      <c r="M615" s="378"/>
      <c r="N615" s="378"/>
      <c r="O615" s="378"/>
      <c r="P615" s="378"/>
      <c r="Q615" s="378"/>
      <c r="R615" s="378"/>
      <c r="S615" s="378"/>
      <c r="T615" s="378"/>
      <c r="U615" s="378"/>
      <c r="V615" s="378"/>
      <c r="W615" s="378"/>
      <c r="X615" s="378"/>
      <c r="Y615" s="378"/>
      <c r="Z615" s="378"/>
      <c r="AA615" s="378"/>
      <c r="AB615" s="378"/>
      <c r="AC615" s="378"/>
      <c r="AD615" s="378"/>
      <c r="AE615" s="378"/>
      <c r="AF615" s="378"/>
      <c r="AG615" s="378"/>
      <c r="AH615" s="378"/>
      <c r="AI615" s="378"/>
      <c r="AJ615" s="378"/>
      <c r="AK615" s="378"/>
      <c r="AL615" s="378"/>
      <c r="AM615" s="378"/>
      <c r="AN615" s="378"/>
      <c r="AO615" s="378"/>
      <c r="AP615" s="378"/>
      <c r="AQ615" s="378"/>
      <c r="AR615" s="378"/>
      <c r="AS615" s="378"/>
      <c r="AT615" s="378"/>
      <c r="AU615" s="378"/>
    </row>
    <row r="616" spans="1:47" s="532" customFormat="1" x14ac:dyDescent="0.25">
      <c r="A616" s="750"/>
      <c r="B616" s="378"/>
      <c r="C616" s="378"/>
      <c r="D616" s="378"/>
      <c r="E616" s="378"/>
      <c r="F616" s="378"/>
      <c r="G616" s="628"/>
      <c r="H616" s="378"/>
      <c r="I616" s="378"/>
      <c r="J616" s="378"/>
      <c r="K616" s="378"/>
      <c r="L616" s="378"/>
      <c r="M616" s="378"/>
      <c r="N616" s="378"/>
      <c r="O616" s="378"/>
      <c r="P616" s="378"/>
      <c r="Q616" s="378"/>
      <c r="R616" s="378"/>
      <c r="S616" s="378"/>
      <c r="T616" s="378"/>
      <c r="U616" s="378"/>
      <c r="V616" s="378"/>
      <c r="W616" s="378"/>
      <c r="X616" s="378"/>
      <c r="Y616" s="378"/>
      <c r="Z616" s="378"/>
      <c r="AA616" s="378"/>
      <c r="AB616" s="378"/>
      <c r="AC616" s="378"/>
      <c r="AD616" s="378"/>
      <c r="AE616" s="378"/>
      <c r="AF616" s="378"/>
      <c r="AG616" s="378"/>
      <c r="AH616" s="378"/>
      <c r="AI616" s="378"/>
      <c r="AJ616" s="378"/>
      <c r="AK616" s="378"/>
      <c r="AL616" s="378"/>
      <c r="AM616" s="378"/>
      <c r="AN616" s="378"/>
      <c r="AO616" s="378"/>
      <c r="AP616" s="378"/>
      <c r="AQ616" s="378"/>
      <c r="AR616" s="378"/>
      <c r="AS616" s="378"/>
      <c r="AT616" s="378"/>
      <c r="AU616" s="378"/>
    </row>
    <row r="617" spans="1:47" s="532" customFormat="1" x14ac:dyDescent="0.25">
      <c r="A617" s="750"/>
      <c r="B617" s="378"/>
      <c r="C617" s="378"/>
      <c r="D617" s="378"/>
      <c r="E617" s="378"/>
      <c r="F617" s="378"/>
      <c r="G617" s="628"/>
      <c r="H617" s="378"/>
      <c r="I617" s="378"/>
      <c r="J617" s="378"/>
      <c r="K617" s="378"/>
      <c r="L617" s="378"/>
      <c r="M617" s="378"/>
      <c r="N617" s="378"/>
      <c r="O617" s="378"/>
      <c r="P617" s="378"/>
      <c r="Q617" s="378"/>
      <c r="R617" s="378"/>
      <c r="S617" s="378"/>
      <c r="T617" s="378"/>
      <c r="U617" s="378"/>
      <c r="V617" s="378"/>
      <c r="W617" s="378"/>
      <c r="X617" s="378"/>
      <c r="Y617" s="378"/>
      <c r="Z617" s="378"/>
      <c r="AA617" s="378"/>
      <c r="AB617" s="378"/>
      <c r="AC617" s="378"/>
      <c r="AD617" s="378"/>
      <c r="AE617" s="378"/>
      <c r="AF617" s="378"/>
      <c r="AG617" s="378"/>
      <c r="AH617" s="378"/>
      <c r="AI617" s="378"/>
      <c r="AJ617" s="378"/>
      <c r="AK617" s="378"/>
      <c r="AL617" s="378"/>
      <c r="AM617" s="378"/>
      <c r="AN617" s="378"/>
      <c r="AO617" s="378"/>
      <c r="AP617" s="378"/>
      <c r="AQ617" s="378"/>
      <c r="AR617" s="378"/>
      <c r="AS617" s="378"/>
      <c r="AT617" s="378"/>
      <c r="AU617" s="378"/>
    </row>
    <row r="618" spans="1:47" s="532" customFormat="1" x14ac:dyDescent="0.25">
      <c r="A618" s="750"/>
      <c r="B618" s="378"/>
      <c r="C618" s="378"/>
      <c r="D618" s="378"/>
      <c r="E618" s="378"/>
      <c r="F618" s="378"/>
      <c r="G618" s="628"/>
      <c r="H618" s="378"/>
      <c r="I618" s="378"/>
      <c r="J618" s="378"/>
      <c r="K618" s="378"/>
      <c r="L618" s="378"/>
      <c r="M618" s="378"/>
      <c r="N618" s="378"/>
      <c r="O618" s="378"/>
      <c r="P618" s="378"/>
      <c r="Q618" s="378"/>
      <c r="R618" s="378"/>
      <c r="S618" s="378"/>
      <c r="T618" s="378"/>
      <c r="U618" s="378"/>
      <c r="V618" s="378"/>
      <c r="W618" s="378"/>
      <c r="X618" s="378"/>
      <c r="Y618" s="378"/>
      <c r="Z618" s="378"/>
      <c r="AA618" s="378"/>
      <c r="AB618" s="378"/>
      <c r="AC618" s="378"/>
      <c r="AD618" s="378"/>
      <c r="AE618" s="378"/>
      <c r="AF618" s="378"/>
      <c r="AG618" s="378"/>
      <c r="AH618" s="378"/>
      <c r="AI618" s="378"/>
      <c r="AJ618" s="378"/>
      <c r="AK618" s="378"/>
      <c r="AL618" s="378"/>
      <c r="AM618" s="378"/>
      <c r="AN618" s="378"/>
      <c r="AO618" s="378"/>
      <c r="AP618" s="378"/>
      <c r="AQ618" s="378"/>
      <c r="AR618" s="378"/>
      <c r="AS618" s="378"/>
      <c r="AT618" s="378"/>
      <c r="AU618" s="378"/>
    </row>
    <row r="619" spans="1:47" x14ac:dyDescent="0.25">
      <c r="A619" s="750"/>
      <c r="B619" s="378"/>
      <c r="C619" s="378"/>
      <c r="D619" s="378"/>
      <c r="E619" s="378"/>
      <c r="F619" s="378"/>
      <c r="G619" s="378"/>
      <c r="H619" s="378"/>
      <c r="I619" s="378"/>
      <c r="J619" s="378"/>
      <c r="K619" s="378"/>
      <c r="L619" s="378"/>
      <c r="M619" s="378"/>
      <c r="N619" s="378"/>
      <c r="O619" s="378"/>
      <c r="P619" s="378"/>
      <c r="Q619" s="378"/>
      <c r="R619" s="378"/>
      <c r="S619" s="378"/>
      <c r="T619" s="378"/>
      <c r="U619" s="378"/>
      <c r="V619" s="378"/>
      <c r="W619" s="378"/>
      <c r="X619" s="378"/>
      <c r="Y619" s="378"/>
      <c r="Z619" s="378"/>
      <c r="AA619" s="378"/>
      <c r="AB619" s="378"/>
      <c r="AC619" s="378"/>
      <c r="AD619" s="378"/>
      <c r="AE619" s="378"/>
      <c r="AF619" s="378"/>
      <c r="AG619" s="378"/>
      <c r="AH619" s="378"/>
      <c r="AI619" s="378"/>
      <c r="AJ619" s="378"/>
      <c r="AK619" s="378"/>
      <c r="AL619" s="378"/>
      <c r="AM619" s="378"/>
      <c r="AN619" s="378"/>
      <c r="AO619" s="378"/>
      <c r="AP619" s="378"/>
      <c r="AQ619" s="378"/>
      <c r="AR619" s="378"/>
      <c r="AS619" s="378"/>
      <c r="AT619" s="378"/>
      <c r="AU619" s="378"/>
    </row>
    <row r="620" spans="1:47" ht="21" x14ac:dyDescent="0.35">
      <c r="A620" s="749">
        <v>4</v>
      </c>
      <c r="B620" s="2012" t="s">
        <v>799</v>
      </c>
      <c r="C620" s="2012"/>
      <c r="D620" s="378"/>
      <c r="E620" s="378"/>
      <c r="F620" s="1983" t="s">
        <v>766</v>
      </c>
      <c r="G620" s="1984"/>
      <c r="H620" s="1984"/>
      <c r="I620" s="1985"/>
      <c r="J620" s="378"/>
      <c r="K620" s="378"/>
      <c r="L620" s="378"/>
      <c r="M620" s="378"/>
      <c r="N620" s="378"/>
      <c r="O620" s="378"/>
      <c r="P620" s="378"/>
      <c r="Q620" s="378"/>
      <c r="R620" s="378"/>
      <c r="S620" s="378"/>
      <c r="T620" s="378"/>
      <c r="U620" s="378"/>
      <c r="V620" s="378"/>
      <c r="W620" s="378"/>
      <c r="X620" s="378"/>
      <c r="Y620" s="378"/>
      <c r="Z620" s="378"/>
      <c r="AA620" s="378"/>
      <c r="AB620" s="378"/>
      <c r="AC620" s="378"/>
      <c r="AD620" s="378"/>
      <c r="AE620" s="378"/>
      <c r="AF620" s="378"/>
      <c r="AG620" s="378"/>
      <c r="AH620" s="378"/>
      <c r="AI620" s="378"/>
      <c r="AJ620" s="378"/>
      <c r="AK620" s="378"/>
      <c r="AL620" s="378"/>
      <c r="AM620" s="378"/>
      <c r="AN620" s="378"/>
      <c r="AO620" s="378"/>
      <c r="AP620" s="378"/>
      <c r="AQ620" s="378"/>
      <c r="AR620" s="378"/>
      <c r="AS620" s="378"/>
      <c r="AT620" s="378"/>
      <c r="AU620" s="378"/>
    </row>
    <row r="621" spans="1:47" x14ac:dyDescent="0.25">
      <c r="A621" s="750"/>
      <c r="B621" s="1057" t="s">
        <v>828</v>
      </c>
      <c r="C621" s="1066">
        <v>0.7</v>
      </c>
      <c r="D621" s="378"/>
      <c r="E621" s="378"/>
      <c r="F621" s="2155" t="s">
        <v>829</v>
      </c>
      <c r="G621" s="2155"/>
      <c r="H621" s="2155"/>
      <c r="I621" s="2155"/>
      <c r="J621" s="378"/>
      <c r="K621" s="378"/>
      <c r="L621" s="378"/>
      <c r="M621" s="378"/>
      <c r="N621" s="378"/>
      <c r="O621" s="378"/>
      <c r="P621" s="378"/>
      <c r="Q621" s="378"/>
      <c r="R621" s="378"/>
      <c r="S621" s="378"/>
      <c r="T621" s="378"/>
      <c r="U621" s="378"/>
      <c r="V621" s="378"/>
      <c r="W621" s="378"/>
      <c r="X621" s="378"/>
      <c r="Y621" s="378"/>
      <c r="Z621" s="378"/>
      <c r="AA621" s="378"/>
      <c r="AB621" s="378"/>
      <c r="AC621" s="378"/>
      <c r="AD621" s="378"/>
      <c r="AE621" s="378"/>
      <c r="AF621" s="378"/>
      <c r="AG621" s="378"/>
      <c r="AH621" s="378"/>
      <c r="AI621" s="378"/>
      <c r="AJ621" s="378"/>
      <c r="AK621" s="378"/>
      <c r="AL621" s="378"/>
      <c r="AM621" s="378"/>
      <c r="AN621" s="378"/>
      <c r="AO621" s="378"/>
      <c r="AP621" s="378"/>
      <c r="AQ621" s="378"/>
      <c r="AR621" s="378"/>
      <c r="AS621" s="378"/>
      <c r="AT621" s="378"/>
      <c r="AU621" s="378"/>
    </row>
    <row r="622" spans="1:47" x14ac:dyDescent="0.25">
      <c r="A622" s="750"/>
      <c r="B622" s="1057" t="s">
        <v>830</v>
      </c>
      <c r="C622" s="1066">
        <v>1</v>
      </c>
      <c r="D622" s="378"/>
      <c r="E622" s="378"/>
      <c r="F622" s="2155"/>
      <c r="G622" s="2155"/>
      <c r="H622" s="2155"/>
      <c r="I622" s="2155"/>
      <c r="J622" s="378"/>
      <c r="K622" s="378"/>
      <c r="L622" s="378"/>
      <c r="M622" s="378"/>
      <c r="N622" s="378"/>
      <c r="O622" s="378"/>
      <c r="P622" s="378"/>
      <c r="Q622" s="378"/>
      <c r="R622" s="378"/>
      <c r="S622" s="378"/>
      <c r="T622" s="378"/>
      <c r="U622" s="378"/>
      <c r="V622" s="378"/>
      <c r="W622" s="378"/>
      <c r="X622" s="378"/>
      <c r="Y622" s="378"/>
      <c r="Z622" s="378"/>
      <c r="AA622" s="378"/>
      <c r="AB622" s="378"/>
      <c r="AC622" s="378"/>
      <c r="AD622" s="378"/>
      <c r="AE622" s="378"/>
      <c r="AF622" s="378"/>
      <c r="AG622" s="378"/>
      <c r="AH622" s="378"/>
      <c r="AI622" s="378"/>
      <c r="AJ622" s="378"/>
      <c r="AK622" s="378"/>
      <c r="AL622" s="378"/>
      <c r="AM622" s="378"/>
      <c r="AN622" s="378"/>
      <c r="AO622" s="378"/>
      <c r="AP622" s="378"/>
      <c r="AQ622" s="378"/>
      <c r="AR622" s="378"/>
      <c r="AS622" s="378"/>
      <c r="AT622" s="378"/>
      <c r="AU622" s="378"/>
    </row>
    <row r="623" spans="1:47" x14ac:dyDescent="0.25">
      <c r="A623" s="750"/>
      <c r="B623" s="1057" t="s">
        <v>831</v>
      </c>
      <c r="C623" s="1066">
        <v>0.7</v>
      </c>
      <c r="D623" s="378"/>
      <c r="E623" s="378"/>
      <c r="F623" s="1075">
        <f>IF('3 INDICADORES'!D47="x",1,0)</f>
        <v>0</v>
      </c>
      <c r="G623" s="1076">
        <f>IF('3 INDICADORES'!D50="x",1,0)</f>
        <v>0</v>
      </c>
      <c r="H623" s="1074"/>
      <c r="I623" s="137"/>
      <c r="J623" s="378"/>
      <c r="K623" s="378"/>
      <c r="L623" s="378"/>
      <c r="M623" s="378"/>
      <c r="N623" s="378"/>
      <c r="O623" s="378"/>
      <c r="P623" s="378"/>
      <c r="Q623" s="378"/>
      <c r="R623" s="378"/>
      <c r="S623" s="378"/>
      <c r="T623" s="378"/>
      <c r="U623" s="378"/>
      <c r="V623" s="378"/>
      <c r="W623" s="378"/>
      <c r="X623" s="378"/>
      <c r="Y623" s="378"/>
      <c r="Z623" s="378"/>
      <c r="AA623" s="378"/>
      <c r="AB623" s="378"/>
      <c r="AC623" s="378"/>
      <c r="AD623" s="378"/>
      <c r="AE623" s="378"/>
      <c r="AF623" s="378"/>
      <c r="AG623" s="378"/>
      <c r="AH623" s="378"/>
      <c r="AI623" s="378"/>
      <c r="AJ623" s="378"/>
      <c r="AK623" s="378"/>
      <c r="AL623" s="378"/>
      <c r="AM623" s="378"/>
      <c r="AN623" s="378"/>
      <c r="AO623" s="378"/>
      <c r="AP623" s="378"/>
      <c r="AQ623" s="378"/>
      <c r="AR623" s="378"/>
      <c r="AS623" s="378"/>
      <c r="AT623" s="378"/>
      <c r="AU623" s="378"/>
    </row>
    <row r="624" spans="1:47" x14ac:dyDescent="0.25">
      <c r="A624" s="750"/>
      <c r="B624" s="1057" t="s">
        <v>832</v>
      </c>
      <c r="C624" s="1066">
        <v>0.6</v>
      </c>
      <c r="D624" s="378"/>
      <c r="E624" s="378"/>
      <c r="F624" s="1072">
        <f>IF('3 INDICADORES'!D48="x",1,0)</f>
        <v>0</v>
      </c>
      <c r="G624" s="1073">
        <f>IF('3 INDICADORES'!D51="x",1,0)</f>
        <v>0</v>
      </c>
      <c r="H624" s="1074"/>
      <c r="I624" s="137"/>
      <c r="J624" s="378"/>
      <c r="K624" s="378"/>
      <c r="L624" s="378"/>
      <c r="M624" s="378"/>
      <c r="N624" s="378"/>
      <c r="O624" s="378"/>
      <c r="P624" s="378"/>
      <c r="Q624" s="378"/>
      <c r="R624" s="378"/>
      <c r="S624" s="378"/>
      <c r="T624" s="378"/>
      <c r="U624" s="378"/>
      <c r="V624" s="378"/>
      <c r="W624" s="378"/>
      <c r="X624" s="378"/>
      <c r="Y624" s="378"/>
      <c r="Z624" s="378"/>
      <c r="AA624" s="378"/>
      <c r="AB624" s="378"/>
      <c r="AC624" s="378"/>
      <c r="AD624" s="378"/>
      <c r="AE624" s="378"/>
      <c r="AF624" s="378"/>
      <c r="AG624" s="378"/>
      <c r="AH624" s="378"/>
      <c r="AI624" s="378"/>
      <c r="AJ624" s="378"/>
      <c r="AK624" s="378"/>
      <c r="AL624" s="378"/>
      <c r="AM624" s="378"/>
      <c r="AN624" s="378"/>
      <c r="AO624" s="378"/>
      <c r="AP624" s="378"/>
      <c r="AQ624" s="378"/>
      <c r="AR624" s="378"/>
      <c r="AS624" s="378"/>
      <c r="AT624" s="378"/>
      <c r="AU624" s="378"/>
    </row>
    <row r="625" spans="1:47" x14ac:dyDescent="0.25">
      <c r="A625" s="750"/>
      <c r="B625" s="1057" t="s">
        <v>833</v>
      </c>
      <c r="C625" s="1066">
        <v>0.4</v>
      </c>
      <c r="D625" s="378"/>
      <c r="E625" s="378"/>
      <c r="F625" s="753">
        <f>IF('3 INDICADORES'!D49="x",1,0)</f>
        <v>0</v>
      </c>
      <c r="G625" s="1073">
        <f>IF('3 INDICADORES'!D52="x",1,0)</f>
        <v>0</v>
      </c>
      <c r="H625" s="1074"/>
      <c r="I625" s="137"/>
      <c r="J625" s="378"/>
      <c r="K625" s="378"/>
      <c r="L625" s="378"/>
      <c r="M625" s="378"/>
      <c r="N625" s="378"/>
      <c r="O625" s="378"/>
      <c r="P625" s="378"/>
      <c r="Q625" s="378"/>
      <c r="R625" s="378"/>
      <c r="S625" s="378"/>
      <c r="T625" s="378"/>
      <c r="U625" s="378"/>
      <c r="V625" s="378"/>
      <c r="W625" s="378"/>
      <c r="X625" s="378"/>
      <c r="Y625" s="378"/>
      <c r="Z625" s="378"/>
      <c r="AA625" s="378"/>
      <c r="AB625" s="378"/>
      <c r="AC625" s="378"/>
      <c r="AD625" s="378"/>
      <c r="AE625" s="378"/>
      <c r="AF625" s="378"/>
      <c r="AG625" s="378"/>
      <c r="AH625" s="378"/>
      <c r="AI625" s="378"/>
      <c r="AJ625" s="378"/>
      <c r="AK625" s="378"/>
      <c r="AL625" s="378"/>
      <c r="AM625" s="378"/>
      <c r="AN625" s="378"/>
      <c r="AO625" s="378"/>
      <c r="AP625" s="378"/>
      <c r="AQ625" s="378"/>
      <c r="AR625" s="378"/>
      <c r="AS625" s="378"/>
      <c r="AT625" s="378"/>
      <c r="AU625" s="378"/>
    </row>
    <row r="626" spans="1:47" x14ac:dyDescent="0.25">
      <c r="A626" s="750"/>
      <c r="B626" s="1057" t="s">
        <v>308</v>
      </c>
      <c r="C626" s="1066">
        <v>0.1</v>
      </c>
      <c r="D626" s="378"/>
      <c r="E626" s="378"/>
      <c r="F626" s="378"/>
      <c r="G626" s="378"/>
      <c r="H626" s="378"/>
      <c r="I626" s="378"/>
      <c r="J626" s="378"/>
      <c r="K626" s="378"/>
      <c r="L626" s="378"/>
      <c r="M626" s="378"/>
      <c r="N626" s="378"/>
      <c r="O626" s="378"/>
      <c r="P626" s="378"/>
      <c r="Q626" s="378"/>
      <c r="R626" s="378"/>
      <c r="S626" s="378"/>
      <c r="T626" s="378"/>
      <c r="U626" s="378"/>
      <c r="V626" s="378"/>
      <c r="W626" s="378"/>
      <c r="X626" s="378"/>
      <c r="Y626" s="378"/>
      <c r="Z626" s="378"/>
      <c r="AA626" s="378"/>
      <c r="AB626" s="378"/>
      <c r="AC626" s="378"/>
      <c r="AD626" s="378"/>
      <c r="AE626" s="378"/>
      <c r="AF626" s="378"/>
      <c r="AG626" s="378"/>
      <c r="AH626" s="378"/>
      <c r="AI626" s="378"/>
      <c r="AJ626" s="378"/>
      <c r="AK626" s="378"/>
      <c r="AL626" s="378"/>
      <c r="AM626" s="378"/>
      <c r="AN626" s="378"/>
      <c r="AO626" s="378"/>
      <c r="AP626" s="378"/>
      <c r="AQ626" s="378"/>
      <c r="AR626" s="378"/>
      <c r="AS626" s="378"/>
      <c r="AT626" s="378"/>
      <c r="AU626" s="378"/>
    </row>
    <row r="627" spans="1:47" x14ac:dyDescent="0.25">
      <c r="A627" s="750"/>
      <c r="B627" s="378"/>
      <c r="C627" s="378"/>
      <c r="D627" s="378"/>
      <c r="E627" s="378"/>
      <c r="F627" s="378"/>
      <c r="G627" s="378"/>
      <c r="H627" s="378"/>
      <c r="I627" s="378"/>
      <c r="J627" s="378"/>
      <c r="K627" s="378"/>
      <c r="L627" s="378"/>
      <c r="M627" s="378"/>
      <c r="N627" s="378"/>
      <c r="O627" s="378"/>
      <c r="P627" s="378"/>
      <c r="Q627" s="378"/>
      <c r="R627" s="378"/>
      <c r="S627" s="378"/>
      <c r="T627" s="378"/>
      <c r="U627" s="378"/>
      <c r="V627" s="378"/>
      <c r="W627" s="378"/>
      <c r="X627" s="378"/>
      <c r="Y627" s="378"/>
      <c r="Z627" s="378"/>
      <c r="AA627" s="378"/>
      <c r="AB627" s="378"/>
      <c r="AC627" s="378"/>
      <c r="AD627" s="378"/>
      <c r="AE627" s="378"/>
      <c r="AF627" s="378"/>
      <c r="AG627" s="378"/>
      <c r="AH627" s="378"/>
      <c r="AI627" s="378"/>
      <c r="AJ627" s="378"/>
      <c r="AK627" s="378"/>
      <c r="AL627" s="378"/>
      <c r="AM627" s="378"/>
      <c r="AN627" s="378"/>
      <c r="AO627" s="378"/>
      <c r="AP627" s="378"/>
      <c r="AQ627" s="378"/>
      <c r="AR627" s="378"/>
      <c r="AS627" s="378"/>
      <c r="AT627" s="378"/>
      <c r="AU627" s="378"/>
    </row>
    <row r="628" spans="1:47" x14ac:dyDescent="0.25">
      <c r="A628" s="750"/>
      <c r="B628" s="378"/>
      <c r="C628" s="378"/>
      <c r="D628" s="378"/>
      <c r="E628" s="378"/>
      <c r="F628" s="378"/>
      <c r="G628" s="378"/>
      <c r="H628" s="378"/>
      <c r="I628" s="378"/>
      <c r="J628" s="378"/>
      <c r="K628" s="378"/>
      <c r="L628" s="378"/>
      <c r="M628" s="378"/>
      <c r="N628" s="378"/>
      <c r="O628" s="378"/>
      <c r="P628" s="378"/>
      <c r="Q628" s="378"/>
      <c r="R628" s="378"/>
      <c r="S628" s="378"/>
      <c r="T628" s="378"/>
      <c r="U628" s="378"/>
      <c r="V628" s="378"/>
      <c r="W628" s="378"/>
      <c r="X628" s="378"/>
      <c r="Y628" s="378"/>
      <c r="Z628" s="378"/>
      <c r="AA628" s="378"/>
      <c r="AB628" s="378"/>
      <c r="AC628" s="378"/>
      <c r="AD628" s="378"/>
      <c r="AE628" s="378"/>
      <c r="AF628" s="378"/>
      <c r="AG628" s="378"/>
      <c r="AH628" s="378"/>
      <c r="AI628" s="378"/>
      <c r="AJ628" s="378"/>
      <c r="AK628" s="378"/>
      <c r="AL628" s="378"/>
      <c r="AM628" s="378"/>
      <c r="AN628" s="378"/>
      <c r="AO628" s="378"/>
      <c r="AP628" s="378"/>
      <c r="AQ628" s="378"/>
      <c r="AR628" s="378"/>
      <c r="AS628" s="378"/>
      <c r="AT628" s="378"/>
      <c r="AU628" s="378"/>
    </row>
    <row r="629" spans="1:47" ht="21" x14ac:dyDescent="0.35">
      <c r="A629" s="749">
        <v>5</v>
      </c>
      <c r="B629" s="2012" t="s">
        <v>799</v>
      </c>
      <c r="C629" s="2012"/>
      <c r="D629" s="378"/>
      <c r="E629" s="378"/>
      <c r="F629" s="1983" t="s">
        <v>766</v>
      </c>
      <c r="G629" s="1984"/>
      <c r="H629" s="1984"/>
      <c r="I629" s="1985"/>
      <c r="J629" s="378"/>
      <c r="K629" s="378"/>
      <c r="L629" s="378"/>
      <c r="M629" s="378"/>
      <c r="N629" s="378"/>
      <c r="O629" s="378"/>
      <c r="P629" s="378"/>
      <c r="Q629" s="378"/>
      <c r="R629" s="378"/>
      <c r="S629" s="378"/>
      <c r="T629" s="378"/>
      <c r="U629" s="378"/>
      <c r="V629" s="378"/>
      <c r="W629" s="378"/>
      <c r="X629" s="378"/>
      <c r="Y629" s="378"/>
      <c r="Z629" s="378"/>
      <c r="AA629" s="378"/>
      <c r="AB629" s="378"/>
      <c r="AC629" s="378"/>
      <c r="AD629" s="378"/>
      <c r="AE629" s="378"/>
      <c r="AF629" s="378"/>
      <c r="AG629" s="378"/>
      <c r="AH629" s="378"/>
      <c r="AI629" s="378"/>
      <c r="AJ629" s="378"/>
      <c r="AK629" s="378"/>
      <c r="AL629" s="378"/>
      <c r="AM629" s="378"/>
      <c r="AN629" s="378"/>
      <c r="AO629" s="378"/>
      <c r="AP629" s="378"/>
      <c r="AQ629" s="378"/>
      <c r="AR629" s="378"/>
      <c r="AS629" s="378"/>
      <c r="AT629" s="378"/>
      <c r="AU629" s="378"/>
    </row>
    <row r="630" spans="1:47" ht="45.75" x14ac:dyDescent="0.25">
      <c r="A630" s="750"/>
      <c r="B630" s="1077" t="str">
        <f>+'3 INDICADORES'!B60:C60</f>
        <v>Disponibilidade de água (quantidade e qualidade)</v>
      </c>
      <c r="C630" s="1078" t="s">
        <v>834</v>
      </c>
      <c r="D630" s="378"/>
      <c r="E630" s="378"/>
      <c r="F630" s="2182" t="s">
        <v>835</v>
      </c>
      <c r="G630" s="2182"/>
      <c r="H630" s="2182"/>
      <c r="I630" s="2182"/>
      <c r="J630" s="378"/>
      <c r="K630" s="378"/>
      <c r="L630" s="378"/>
      <c r="M630" s="378"/>
      <c r="N630" s="378"/>
      <c r="O630" s="378"/>
      <c r="P630" s="378"/>
      <c r="Q630" s="378"/>
      <c r="R630" s="378"/>
      <c r="S630" s="378"/>
      <c r="T630" s="378"/>
      <c r="U630" s="378"/>
      <c r="V630" s="378"/>
      <c r="W630" s="378"/>
      <c r="X630" s="378"/>
      <c r="Y630" s="378"/>
      <c r="Z630" s="378"/>
      <c r="AA630" s="378"/>
      <c r="AB630" s="378"/>
      <c r="AC630" s="378"/>
      <c r="AD630" s="378"/>
      <c r="AE630" s="378"/>
      <c r="AF630" s="378"/>
      <c r="AG630" s="378"/>
      <c r="AH630" s="378"/>
      <c r="AI630" s="378"/>
      <c r="AJ630" s="378"/>
      <c r="AK630" s="378"/>
      <c r="AL630" s="378"/>
      <c r="AM630" s="378"/>
      <c r="AN630" s="378"/>
      <c r="AO630" s="378"/>
      <c r="AP630" s="378"/>
      <c r="AQ630" s="378"/>
      <c r="AR630" s="378"/>
      <c r="AS630" s="378"/>
      <c r="AT630" s="378"/>
      <c r="AU630" s="378"/>
    </row>
    <row r="631" spans="1:47" ht="23.25" x14ac:dyDescent="0.25">
      <c r="A631" s="750"/>
      <c r="B631" s="1077" t="str">
        <f>+'3 INDICADORES'!B61:C61</f>
        <v>Acesso a energia elétrica</v>
      </c>
      <c r="C631" s="1078">
        <v>1</v>
      </c>
      <c r="D631" s="378"/>
      <c r="E631" s="378"/>
      <c r="F631" s="2182"/>
      <c r="G631" s="2182"/>
      <c r="H631" s="2182"/>
      <c r="I631" s="2182"/>
      <c r="J631" s="378"/>
      <c r="K631" s="378"/>
      <c r="L631" s="378"/>
      <c r="M631" s="378"/>
      <c r="N631" s="378"/>
      <c r="O631" s="378"/>
      <c r="P631" s="378"/>
      <c r="Q631" s="378"/>
      <c r="R631" s="378"/>
      <c r="S631" s="378"/>
      <c r="T631" s="378"/>
      <c r="U631" s="378"/>
      <c r="V631" s="378"/>
      <c r="W631" s="378"/>
      <c r="X631" s="378"/>
      <c r="Y631" s="378"/>
      <c r="Z631" s="378"/>
      <c r="AA631" s="378"/>
      <c r="AB631" s="378"/>
      <c r="AC631" s="378"/>
      <c r="AD631" s="378"/>
      <c r="AE631" s="378"/>
      <c r="AF631" s="378"/>
      <c r="AG631" s="378"/>
      <c r="AH631" s="378"/>
      <c r="AI631" s="378"/>
      <c r="AJ631" s="378"/>
      <c r="AK631" s="378"/>
      <c r="AL631" s="378"/>
      <c r="AM631" s="378"/>
      <c r="AN631" s="378"/>
      <c r="AO631" s="378"/>
      <c r="AP631" s="378"/>
      <c r="AQ631" s="378"/>
      <c r="AR631" s="378"/>
      <c r="AS631" s="378"/>
      <c r="AT631" s="378"/>
      <c r="AU631" s="378"/>
    </row>
    <row r="632" spans="1:47" ht="68.25" x14ac:dyDescent="0.25">
      <c r="A632" s="750"/>
      <c r="B632" s="1077" t="str">
        <f>+'3 INDICADORES'!B62:C62</f>
        <v>Acesso regular para escoamento da produção e recebimento de insumos</v>
      </c>
      <c r="C632" s="1078">
        <v>1</v>
      </c>
      <c r="D632" s="378"/>
      <c r="E632" s="532"/>
      <c r="F632" s="1080">
        <f>IF(G632&gt;0,1,0)</f>
        <v>0</v>
      </c>
      <c r="G632" s="1080">
        <f>+'3 INDICADORES'!D66+'3 INDICADORES'!D63+'3 INDICADORES'!D62+'3 INDICADORES'!D61+'3 INDICADORES'!D60*I632+'3 INDICADORES'!D67+'3 INDICADORES'!D68+'3 INDICADORES'!D64+'3 INDICADORES'!D65</f>
        <v>0</v>
      </c>
      <c r="H632" s="1080">
        <f>(('3 INDICADORES'!D60*I632+'3 INDICADORES'!D61+'3 INDICADORES'!D62+'3 INDICADORES'!D63+'3 INDICADORES'!D64+'3 INDICADORES'!D65+'3 INDICADORES'!D66+'3 INDICADORES'!D67)+('3 INDICADORES'!E60*I632+'3 INDICADORES'!E61+'3 INDICADORES'!E62+'3 INDICADORES'!E63+'3 INDICADORES'!E64+'3 INDICADORES'!E65+'3 INDICADORES'!E66+'3 INDICADORES'!E67)+('3 INDICADORES'!F60*I632+'3 INDICADORES'!F61+'3 INDICADORES'!F62+'3 INDICADORES'!F63+'3 INDICADORES'!F64+'3 INDICADORES'!F65+'3 INDICADORES'!F66+'3 INDICADORES'!F67)+('3 INDICADORES'!G60*I632+'3 INDICADORES'!G61+'3 INDICADORES'!G62+'3 INDICADORES'!G63+'3 INDICADORES'!G64+'3 INDICADORES'!G65+'3 INDICADORES'!G66+'3 INDICADORES'!G67)+('3 INDICADORES'!D68+'3 INDICADORES'!E68+'3 INDICADORES'!F68+'3 INDICADORES'!G68))/H634</f>
        <v>0</v>
      </c>
      <c r="I632" s="1081">
        <f>IF('1 QUESTIONÁRIO'!I224="x",3,1)</f>
        <v>1</v>
      </c>
      <c r="J632" s="378"/>
      <c r="K632" s="378"/>
      <c r="L632" s="378"/>
      <c r="M632" s="378"/>
      <c r="N632" s="378"/>
      <c r="O632" s="378"/>
      <c r="P632" s="378"/>
      <c r="Q632" s="378"/>
      <c r="R632" s="378"/>
      <c r="S632" s="378"/>
      <c r="T632" s="378"/>
      <c r="U632" s="378"/>
      <c r="V632" s="378"/>
      <c r="W632" s="378"/>
      <c r="X632" s="378"/>
      <c r="Y632" s="378"/>
      <c r="Z632" s="378"/>
      <c r="AA632" s="378"/>
      <c r="AB632" s="378"/>
      <c r="AC632" s="378"/>
      <c r="AD632" s="378"/>
      <c r="AE632" s="378"/>
      <c r="AF632" s="378"/>
      <c r="AG632" s="378"/>
      <c r="AH632" s="378"/>
      <c r="AI632" s="378"/>
      <c r="AJ632" s="378"/>
      <c r="AK632" s="378"/>
      <c r="AL632" s="378"/>
      <c r="AM632" s="378"/>
      <c r="AN632" s="378"/>
      <c r="AO632" s="378"/>
      <c r="AP632" s="378"/>
      <c r="AQ632" s="378"/>
      <c r="AR632" s="378"/>
      <c r="AS632" s="378"/>
      <c r="AT632" s="378"/>
      <c r="AU632" s="378"/>
    </row>
    <row r="633" spans="1:47" ht="34.5" x14ac:dyDescent="0.25">
      <c r="A633" s="750"/>
      <c r="B633" s="1077" t="str">
        <f>+'3 INDICADORES'!B63:C63</f>
        <v>Acesso ao serviço de saúde*</v>
      </c>
      <c r="C633" s="1078">
        <v>1</v>
      </c>
      <c r="D633" s="378"/>
      <c r="E633" s="378"/>
      <c r="F633" s="1080">
        <f>IF(G633&gt;0,1,0)</f>
        <v>0</v>
      </c>
      <c r="G633" s="1080">
        <f>+'3 INDICADORES'!E66+'3 INDICADORES'!E63+'3 INDICADORES'!E62+'3 INDICADORES'!E61+'3 INDICADORES'!E60*I632+'3 INDICADORES'!E67+'3 INDICADORES'!E68+'3 INDICADORES'!E64+'3 INDICADORES'!E65</f>
        <v>0</v>
      </c>
      <c r="H633" s="1080">
        <f>+F635+F634+F633+F632</f>
        <v>0</v>
      </c>
      <c r="I633" s="45"/>
      <c r="J633" s="378"/>
      <c r="K633" s="378"/>
      <c r="L633" s="378"/>
      <c r="M633" s="378"/>
      <c r="N633" s="378"/>
      <c r="O633" s="378"/>
      <c r="P633" s="378"/>
      <c r="Q633" s="378"/>
      <c r="R633" s="378"/>
      <c r="S633" s="378"/>
      <c r="T633" s="378"/>
      <c r="U633" s="378"/>
      <c r="V633" s="378"/>
      <c r="W633" s="378"/>
      <c r="X633" s="378"/>
      <c r="Y633" s="378"/>
      <c r="Z633" s="378"/>
      <c r="AA633" s="378"/>
      <c r="AB633" s="378"/>
      <c r="AC633" s="378"/>
      <c r="AD633" s="378"/>
      <c r="AE633" s="378"/>
      <c r="AF633" s="378"/>
      <c r="AG633" s="378"/>
      <c r="AH633" s="378"/>
      <c r="AI633" s="378"/>
      <c r="AJ633" s="378"/>
      <c r="AK633" s="378"/>
      <c r="AL633" s="378"/>
      <c r="AM633" s="378"/>
      <c r="AN633" s="378"/>
      <c r="AO633" s="378"/>
      <c r="AP633" s="378"/>
      <c r="AQ633" s="378"/>
      <c r="AR633" s="378"/>
      <c r="AS633" s="378"/>
      <c r="AT633" s="378"/>
      <c r="AU633" s="378"/>
    </row>
    <row r="634" spans="1:47" ht="34.5" x14ac:dyDescent="0.25">
      <c r="A634" s="750"/>
      <c r="B634" s="1077" t="str">
        <f>+'3 INDICADORES'!B64:C64</f>
        <v>Acesso regular ao transporte escolar</v>
      </c>
      <c r="C634" s="1078">
        <v>1</v>
      </c>
      <c r="D634" s="378"/>
      <c r="E634" s="378"/>
      <c r="F634" s="1080">
        <f>IF(G634&gt;0,1,0)</f>
        <v>0</v>
      </c>
      <c r="G634" s="1080">
        <f>+'3 INDICADORES'!F66+'3 INDICADORES'!F63+'3 INDICADORES'!F62+'3 INDICADORES'!F61+'3 INDICADORES'!F60*I632+'3 INDICADORES'!F67+'3 INDICADORES'!F68+'3 INDICADORES'!F64+'3 INDICADORES'!F65</f>
        <v>0</v>
      </c>
      <c r="H634" s="1080">
        <f>IF(H633=0,1,H633)</f>
        <v>1</v>
      </c>
      <c r="I634" s="45"/>
      <c r="J634" s="378"/>
      <c r="K634" s="378"/>
      <c r="L634" s="378"/>
      <c r="M634" s="378"/>
      <c r="N634" s="378"/>
      <c r="O634" s="378"/>
      <c r="P634" s="378"/>
      <c r="Q634" s="378"/>
      <c r="R634" s="378"/>
      <c r="S634" s="378"/>
      <c r="T634" s="378"/>
      <c r="U634" s="378"/>
      <c r="V634" s="378"/>
      <c r="W634" s="378"/>
      <c r="X634" s="378"/>
      <c r="Y634" s="378"/>
      <c r="Z634" s="378"/>
      <c r="AA634" s="378"/>
      <c r="AB634" s="378"/>
      <c r="AC634" s="378"/>
      <c r="AD634" s="378"/>
      <c r="AE634" s="378"/>
      <c r="AF634" s="378"/>
      <c r="AG634" s="378"/>
      <c r="AH634" s="378"/>
      <c r="AI634" s="378"/>
      <c r="AJ634" s="378"/>
      <c r="AK634" s="378"/>
      <c r="AL634" s="378"/>
      <c r="AM634" s="378"/>
      <c r="AN634" s="378"/>
      <c r="AO634" s="378"/>
      <c r="AP634" s="378"/>
      <c r="AQ634" s="378"/>
      <c r="AR634" s="378"/>
      <c r="AS634" s="378"/>
      <c r="AT634" s="378"/>
      <c r="AU634" s="378"/>
    </row>
    <row r="635" spans="1:47" ht="57" x14ac:dyDescent="0.25">
      <c r="A635" s="750"/>
      <c r="B635" s="1077" t="str">
        <f>+'3 INDICADORES'!B65:C65</f>
        <v>Segurança no campo (patrulha para policiamento rural)</v>
      </c>
      <c r="C635" s="1078">
        <v>1</v>
      </c>
      <c r="D635" s="378"/>
      <c r="E635" s="378"/>
      <c r="F635" s="1080">
        <f>IF(G635&gt;0,1,0)</f>
        <v>0</v>
      </c>
      <c r="G635" s="1080">
        <f>+'3 INDICADORES'!G66+'3 INDICADORES'!G63+'3 INDICADORES'!G62+'3 INDICADORES'!G61+'3 INDICADORES'!G60*I632+'3 INDICADORES'!G67+'3 INDICADORES'!G68+'3 INDICADORES'!G64+'3 INDICADORES'!G65</f>
        <v>0</v>
      </c>
      <c r="H635" s="378"/>
      <c r="I635" s="45"/>
      <c r="J635" s="378"/>
      <c r="K635" s="378"/>
      <c r="L635" s="378"/>
      <c r="M635" s="378"/>
      <c r="N635" s="378"/>
      <c r="O635" s="378"/>
      <c r="P635" s="378"/>
      <c r="Q635" s="378"/>
      <c r="R635" s="378"/>
      <c r="S635" s="378"/>
      <c r="T635" s="378"/>
      <c r="U635" s="378"/>
      <c r="V635" s="378"/>
      <c r="W635" s="378"/>
      <c r="X635" s="378"/>
      <c r="Y635" s="378"/>
      <c r="Z635" s="378"/>
      <c r="AA635" s="378"/>
      <c r="AB635" s="378"/>
      <c r="AC635" s="378"/>
      <c r="AD635" s="378"/>
      <c r="AE635" s="378"/>
      <c r="AF635" s="378"/>
      <c r="AG635" s="378"/>
      <c r="AH635" s="378"/>
      <c r="AI635" s="378"/>
      <c r="AJ635" s="378"/>
      <c r="AK635" s="378"/>
      <c r="AL635" s="378"/>
      <c r="AM635" s="378"/>
      <c r="AN635" s="378"/>
      <c r="AO635" s="378"/>
      <c r="AP635" s="378"/>
      <c r="AQ635" s="378"/>
      <c r="AR635" s="378"/>
      <c r="AS635" s="378"/>
      <c r="AT635" s="378"/>
      <c r="AU635" s="378"/>
    </row>
    <row r="636" spans="1:47" ht="34.5" x14ac:dyDescent="0.25">
      <c r="A636" s="750"/>
      <c r="B636" s="1077" t="str">
        <f>+'3 INDICADORES'!B66:C66</f>
        <v>Telefone (celular, celular rural, ou fixo)</v>
      </c>
      <c r="C636" s="1078">
        <v>1</v>
      </c>
      <c r="D636" s="378"/>
      <c r="E636" s="378"/>
      <c r="F636" s="378"/>
      <c r="G636" s="378"/>
      <c r="H636" s="378"/>
      <c r="I636" s="137"/>
      <c r="J636" s="378"/>
      <c r="K636" s="378"/>
      <c r="L636" s="378"/>
      <c r="M636" s="378"/>
      <c r="N636" s="378"/>
      <c r="O636" s="378"/>
      <c r="P636" s="378"/>
      <c r="Q636" s="378"/>
      <c r="R636" s="378"/>
      <c r="S636" s="378"/>
      <c r="T636" s="378"/>
      <c r="U636" s="378"/>
      <c r="V636" s="378"/>
      <c r="W636" s="378"/>
      <c r="X636" s="378"/>
      <c r="Y636" s="378"/>
      <c r="Z636" s="378"/>
      <c r="AA636" s="378"/>
      <c r="AB636" s="378"/>
      <c r="AC636" s="378"/>
      <c r="AD636" s="378"/>
      <c r="AE636" s="378"/>
      <c r="AF636" s="378"/>
      <c r="AG636" s="378"/>
      <c r="AH636" s="378"/>
      <c r="AI636" s="378"/>
      <c r="AJ636" s="378"/>
      <c r="AK636" s="378"/>
      <c r="AL636" s="378"/>
      <c r="AM636" s="378"/>
      <c r="AN636" s="378"/>
      <c r="AO636" s="378"/>
      <c r="AP636" s="378"/>
      <c r="AQ636" s="378"/>
      <c r="AR636" s="378"/>
      <c r="AS636" s="378"/>
      <c r="AT636" s="378"/>
      <c r="AU636" s="378"/>
    </row>
    <row r="637" spans="1:47" x14ac:dyDescent="0.25">
      <c r="A637" s="750"/>
      <c r="B637" s="1077" t="str">
        <f>+'3 INDICADORES'!B67:C67</f>
        <v>Internet</v>
      </c>
      <c r="C637" s="1078">
        <v>1</v>
      </c>
      <c r="D637" s="378"/>
      <c r="E637" s="378"/>
      <c r="F637" s="378"/>
      <c r="G637" s="378"/>
      <c r="H637" s="378"/>
      <c r="I637" s="378"/>
      <c r="J637" s="378"/>
      <c r="K637" s="378"/>
      <c r="L637" s="378"/>
      <c r="M637" s="378"/>
      <c r="N637" s="378"/>
      <c r="O637" s="378"/>
      <c r="P637" s="378"/>
      <c r="Q637" s="378"/>
      <c r="R637" s="378"/>
      <c r="S637" s="378"/>
      <c r="T637" s="378"/>
      <c r="U637" s="378"/>
      <c r="V637" s="378"/>
      <c r="W637" s="378"/>
      <c r="X637" s="378"/>
      <c r="Y637" s="378"/>
      <c r="Z637" s="378"/>
      <c r="AA637" s="378"/>
      <c r="AB637" s="378"/>
      <c r="AC637" s="378"/>
      <c r="AD637" s="378"/>
      <c r="AE637" s="378"/>
      <c r="AF637" s="378"/>
      <c r="AG637" s="378"/>
      <c r="AH637" s="378"/>
      <c r="AI637" s="378"/>
      <c r="AJ637" s="378"/>
      <c r="AK637" s="378"/>
      <c r="AL637" s="378"/>
      <c r="AM637" s="378"/>
      <c r="AN637" s="378"/>
      <c r="AO637" s="378"/>
      <c r="AP637" s="378"/>
      <c r="AQ637" s="378"/>
      <c r="AR637" s="378"/>
      <c r="AS637" s="378"/>
      <c r="AT637" s="378"/>
      <c r="AU637" s="378"/>
    </row>
    <row r="638" spans="1:47" s="453" customFormat="1" ht="23.25" x14ac:dyDescent="0.25">
      <c r="A638" s="750"/>
      <c r="B638" s="1077" t="str">
        <f>+'3 INDICADORES'!B68:C68</f>
        <v>Coleta pública de lixo</v>
      </c>
      <c r="C638" s="1078">
        <v>1</v>
      </c>
      <c r="D638" s="378"/>
      <c r="E638" s="378"/>
      <c r="F638" s="378"/>
      <c r="G638" s="378"/>
      <c r="H638" s="378"/>
      <c r="I638" s="378"/>
      <c r="J638" s="378"/>
      <c r="K638" s="378"/>
      <c r="L638" s="378"/>
      <c r="M638" s="378"/>
      <c r="N638" s="378"/>
      <c r="O638" s="378"/>
      <c r="P638" s="378"/>
      <c r="Q638" s="378"/>
      <c r="R638" s="378"/>
      <c r="S638" s="378"/>
      <c r="T638" s="378"/>
      <c r="U638" s="378"/>
      <c r="V638" s="378"/>
      <c r="W638" s="378"/>
      <c r="X638" s="378"/>
      <c r="Y638" s="378"/>
      <c r="Z638" s="378"/>
      <c r="AA638" s="378"/>
      <c r="AB638" s="378"/>
      <c r="AC638" s="378"/>
      <c r="AD638" s="378"/>
      <c r="AE638" s="378"/>
      <c r="AF638" s="378"/>
      <c r="AG638" s="378"/>
      <c r="AH638" s="378"/>
      <c r="AI638" s="378"/>
      <c r="AJ638" s="378"/>
      <c r="AK638" s="378"/>
      <c r="AL638" s="378"/>
      <c r="AM638" s="378"/>
      <c r="AN638" s="378"/>
      <c r="AO638" s="378"/>
      <c r="AP638" s="378"/>
      <c r="AQ638" s="378"/>
      <c r="AR638" s="378"/>
      <c r="AS638" s="378"/>
      <c r="AT638" s="378"/>
      <c r="AU638" s="378"/>
    </row>
    <row r="639" spans="1:47" x14ac:dyDescent="0.25">
      <c r="A639" s="750"/>
      <c r="B639" s="378"/>
      <c r="C639" s="378"/>
      <c r="D639" s="378"/>
      <c r="E639" s="378"/>
      <c r="F639" s="378"/>
      <c r="G639" s="378"/>
      <c r="H639" s="378"/>
      <c r="I639" s="378"/>
      <c r="J639" s="378"/>
      <c r="K639" s="378"/>
      <c r="L639" s="378"/>
      <c r="M639" s="378"/>
      <c r="N639" s="378"/>
      <c r="O639" s="378"/>
      <c r="P639" s="378"/>
      <c r="Q639" s="378"/>
      <c r="R639" s="378"/>
      <c r="S639" s="378"/>
      <c r="T639" s="378"/>
      <c r="U639" s="378"/>
      <c r="V639" s="378"/>
      <c r="W639" s="378"/>
      <c r="X639" s="378"/>
      <c r="Y639" s="378"/>
      <c r="Z639" s="378"/>
      <c r="AA639" s="378"/>
      <c r="AB639" s="378"/>
      <c r="AC639" s="378"/>
      <c r="AD639" s="378"/>
      <c r="AE639" s="378"/>
      <c r="AF639" s="378"/>
      <c r="AG639" s="378"/>
      <c r="AH639" s="378"/>
      <c r="AI639" s="378"/>
      <c r="AJ639" s="378"/>
      <c r="AK639" s="378"/>
      <c r="AL639" s="378"/>
      <c r="AM639" s="378"/>
      <c r="AN639" s="378"/>
      <c r="AO639" s="378"/>
      <c r="AP639" s="378"/>
      <c r="AQ639" s="378"/>
      <c r="AR639" s="378"/>
      <c r="AS639" s="378"/>
      <c r="AT639" s="378"/>
      <c r="AU639" s="378"/>
    </row>
    <row r="640" spans="1:47" x14ac:dyDescent="0.25">
      <c r="A640" s="750"/>
      <c r="B640" s="378"/>
      <c r="C640" s="378"/>
      <c r="D640" s="378"/>
      <c r="E640" s="378"/>
      <c r="F640" s="378"/>
      <c r="G640" s="378"/>
      <c r="H640" s="378"/>
      <c r="I640" s="378"/>
      <c r="J640" s="378"/>
      <c r="K640" s="378"/>
      <c r="L640" s="378"/>
      <c r="M640" s="378"/>
      <c r="N640" s="378"/>
      <c r="O640" s="378"/>
      <c r="P640" s="378"/>
      <c r="Q640" s="378"/>
      <c r="R640" s="378"/>
      <c r="S640" s="378"/>
      <c r="T640" s="378"/>
      <c r="U640" s="378"/>
      <c r="V640" s="378"/>
      <c r="W640" s="378"/>
      <c r="X640" s="378"/>
      <c r="Y640" s="378"/>
      <c r="Z640" s="378"/>
      <c r="AA640" s="378"/>
      <c r="AB640" s="378"/>
      <c r="AC640" s="378"/>
      <c r="AD640" s="378"/>
      <c r="AE640" s="378"/>
      <c r="AF640" s="378"/>
      <c r="AG640" s="378"/>
      <c r="AH640" s="378"/>
      <c r="AI640" s="378"/>
      <c r="AJ640" s="378"/>
      <c r="AK640" s="378"/>
      <c r="AL640" s="378"/>
      <c r="AM640" s="378"/>
      <c r="AN640" s="378"/>
      <c r="AO640" s="378"/>
      <c r="AP640" s="378"/>
      <c r="AQ640" s="378"/>
      <c r="AR640" s="378"/>
      <c r="AS640" s="378"/>
      <c r="AT640" s="378"/>
      <c r="AU640" s="378"/>
    </row>
    <row r="641" spans="1:47" x14ac:dyDescent="0.25">
      <c r="A641" s="750"/>
      <c r="B641" s="378"/>
      <c r="C641" s="378"/>
      <c r="D641" s="378"/>
      <c r="E641" s="378"/>
      <c r="F641" s="378"/>
      <c r="G641" s="378"/>
      <c r="H641" s="378"/>
      <c r="I641" s="378"/>
      <c r="J641" s="378"/>
      <c r="K641" s="378"/>
      <c r="L641" s="378"/>
      <c r="M641" s="378"/>
      <c r="N641" s="378"/>
      <c r="O641" s="378"/>
      <c r="P641" s="378"/>
      <c r="Q641" s="378"/>
      <c r="R641" s="378"/>
      <c r="S641" s="378"/>
      <c r="T641" s="378"/>
      <c r="U641" s="378"/>
      <c r="V641" s="378"/>
      <c r="W641" s="378"/>
      <c r="X641" s="378"/>
      <c r="Y641" s="378"/>
      <c r="Z641" s="378"/>
      <c r="AA641" s="378"/>
      <c r="AB641" s="378"/>
      <c r="AC641" s="378"/>
      <c r="AD641" s="378"/>
      <c r="AE641" s="378"/>
      <c r="AF641" s="378"/>
      <c r="AG641" s="378"/>
      <c r="AH641" s="378"/>
      <c r="AI641" s="378"/>
      <c r="AJ641" s="378"/>
      <c r="AK641" s="378"/>
      <c r="AL641" s="378"/>
      <c r="AM641" s="378"/>
      <c r="AN641" s="378"/>
      <c r="AO641" s="378"/>
      <c r="AP641" s="378"/>
      <c r="AQ641" s="378"/>
      <c r="AR641" s="378"/>
      <c r="AS641" s="378"/>
      <c r="AT641" s="378"/>
      <c r="AU641" s="378"/>
    </row>
    <row r="642" spans="1:47" ht="21" customHeight="1" x14ac:dyDescent="0.35">
      <c r="A642" s="749"/>
      <c r="B642" s="2012" t="s">
        <v>799</v>
      </c>
      <c r="C642" s="2012"/>
      <c r="D642" s="378"/>
      <c r="E642" s="378"/>
      <c r="F642" s="1983" t="s">
        <v>766</v>
      </c>
      <c r="G642" s="1984"/>
      <c r="H642" s="1984"/>
      <c r="I642" s="1985"/>
      <c r="J642" s="378"/>
      <c r="K642" s="1986" t="s">
        <v>836</v>
      </c>
      <c r="L642" s="1986"/>
      <c r="M642" s="1986"/>
      <c r="N642" s="539"/>
      <c r="O642" s="378"/>
      <c r="P642" s="378"/>
      <c r="Q642" s="378"/>
      <c r="R642" s="378"/>
      <c r="S642" s="378"/>
      <c r="T642" s="378"/>
      <c r="U642" s="378"/>
      <c r="V642" s="378"/>
      <c r="W642" s="378"/>
      <c r="X642" s="378"/>
      <c r="Y642" s="378"/>
      <c r="Z642" s="378"/>
      <c r="AA642" s="378"/>
      <c r="AB642" s="378"/>
      <c r="AC642" s="378"/>
      <c r="AD642" s="378"/>
      <c r="AE642" s="378"/>
      <c r="AF642" s="378"/>
      <c r="AG642" s="378"/>
      <c r="AH642" s="378"/>
      <c r="AI642" s="378"/>
      <c r="AJ642" s="378"/>
      <c r="AK642" s="378"/>
      <c r="AL642" s="378"/>
      <c r="AM642" s="378"/>
      <c r="AN642" s="378"/>
      <c r="AO642" s="378"/>
      <c r="AP642" s="378"/>
      <c r="AQ642" s="378"/>
      <c r="AR642" s="378"/>
      <c r="AS642" s="378"/>
      <c r="AT642" s="378"/>
      <c r="AU642" s="378"/>
    </row>
    <row r="643" spans="1:47" ht="34.5" x14ac:dyDescent="0.25">
      <c r="A643" s="750"/>
      <c r="B643" s="1077" t="str">
        <f>+'3 INDICADORES'!B75:C75</f>
        <v>Hortaliças, grãos e tubérculos</v>
      </c>
      <c r="C643" s="1066">
        <v>1</v>
      </c>
      <c r="D643" s="378"/>
      <c r="E643" s="378"/>
      <c r="F643" s="2187" t="s">
        <v>837</v>
      </c>
      <c r="G643" s="2188"/>
      <c r="H643" s="2188"/>
      <c r="I643" s="2189"/>
      <c r="J643" s="378"/>
      <c r="K643" s="1986"/>
      <c r="L643" s="1986"/>
      <c r="M643" s="1986"/>
      <c r="N643" s="539"/>
      <c r="O643" s="378"/>
      <c r="P643" s="378"/>
      <c r="Q643" s="378"/>
      <c r="R643" s="378"/>
      <c r="S643" s="378"/>
      <c r="T643" s="378"/>
      <c r="U643" s="378"/>
      <c r="V643" s="378"/>
      <c r="W643" s="378"/>
      <c r="X643" s="378"/>
      <c r="Y643" s="378"/>
      <c r="Z643" s="378"/>
      <c r="AA643" s="378"/>
      <c r="AB643" s="378"/>
      <c r="AC643" s="378"/>
      <c r="AD643" s="378"/>
      <c r="AE643" s="378"/>
      <c r="AF643" s="378"/>
      <c r="AG643" s="378"/>
      <c r="AH643" s="378"/>
      <c r="AI643" s="378"/>
      <c r="AJ643" s="378"/>
      <c r="AK643" s="378"/>
      <c r="AL643" s="378"/>
      <c r="AM643" s="378"/>
      <c r="AN643" s="378"/>
      <c r="AO643" s="378"/>
      <c r="AP643" s="378"/>
      <c r="AQ643" s="378"/>
      <c r="AR643" s="378"/>
      <c r="AS643" s="378"/>
      <c r="AT643" s="378"/>
      <c r="AU643" s="378"/>
    </row>
    <row r="644" spans="1:47" x14ac:dyDescent="0.25">
      <c r="A644" s="750"/>
      <c r="B644" s="1077" t="str">
        <f>+'3 INDICADORES'!B76:C76</f>
        <v>Pomar</v>
      </c>
      <c r="C644" s="1066">
        <v>1</v>
      </c>
      <c r="D644" s="378"/>
      <c r="E644" s="378"/>
      <c r="F644" s="2190"/>
      <c r="G644" s="2191"/>
      <c r="H644" s="1941"/>
      <c r="I644" s="1935"/>
      <c r="J644" s="378"/>
      <c r="K644" s="1986"/>
      <c r="L644" s="1986"/>
      <c r="M644" s="1986"/>
      <c r="N644" s="539"/>
      <c r="O644" s="378"/>
      <c r="P644" s="378"/>
      <c r="Q644" s="378"/>
      <c r="R644" s="378"/>
      <c r="S644" s="378"/>
      <c r="T644" s="378"/>
      <c r="U644" s="378"/>
      <c r="V644" s="378"/>
      <c r="W644" s="378"/>
      <c r="X644" s="378"/>
      <c r="Y644" s="378"/>
      <c r="Z644" s="378"/>
      <c r="AA644" s="378"/>
      <c r="AB644" s="378"/>
      <c r="AC644" s="378"/>
      <c r="AD644" s="378"/>
      <c r="AE644" s="378"/>
      <c r="AF644" s="378"/>
      <c r="AG644" s="378"/>
      <c r="AH644" s="378"/>
      <c r="AI644" s="378"/>
      <c r="AJ644" s="378"/>
      <c r="AK644" s="378"/>
      <c r="AL644" s="378"/>
      <c r="AM644" s="378"/>
      <c r="AN644" s="378"/>
      <c r="AO644" s="378"/>
      <c r="AP644" s="378"/>
      <c r="AQ644" s="378"/>
      <c r="AR644" s="378"/>
      <c r="AS644" s="378"/>
      <c r="AT644" s="378"/>
      <c r="AU644" s="378"/>
    </row>
    <row r="645" spans="1:47" ht="23.25" x14ac:dyDescent="0.25">
      <c r="A645" s="750"/>
      <c r="B645" s="1077" t="str">
        <f>+'3 INDICADORES'!B77:C77</f>
        <v>Criação de animais</v>
      </c>
      <c r="C645" s="1066">
        <v>1</v>
      </c>
      <c r="D645" s="378"/>
      <c r="E645" s="378"/>
      <c r="F645" s="1080">
        <f>IF(G645&gt;0,1,0)</f>
        <v>0</v>
      </c>
      <c r="G645" s="1082">
        <f>'3 INDICADORES'!D75+'3 INDICADORES'!D76+'3 INDICADORES'!D77</f>
        <v>0</v>
      </c>
      <c r="H645" s="1084"/>
      <c r="I645" s="1085"/>
      <c r="J645" s="378"/>
      <c r="K645" s="1986"/>
      <c r="L645" s="1986"/>
      <c r="M645" s="1986"/>
      <c r="N645" s="539"/>
      <c r="O645" s="378"/>
      <c r="P645" s="378"/>
      <c r="Q645" s="378"/>
      <c r="R645" s="378"/>
      <c r="S645" s="378"/>
      <c r="T645" s="378"/>
      <c r="U645" s="378"/>
      <c r="V645" s="378"/>
      <c r="W645" s="378"/>
      <c r="X645" s="378"/>
      <c r="Y645" s="378"/>
      <c r="Z645" s="378"/>
      <c r="AA645" s="378"/>
      <c r="AB645" s="378"/>
      <c r="AC645" s="378"/>
      <c r="AD645" s="378"/>
      <c r="AE645" s="378"/>
      <c r="AF645" s="378"/>
      <c r="AG645" s="378"/>
      <c r="AH645" s="378"/>
      <c r="AI645" s="378"/>
      <c r="AJ645" s="378"/>
      <c r="AK645" s="378"/>
      <c r="AL645" s="378"/>
      <c r="AM645" s="378"/>
      <c r="AN645" s="378"/>
      <c r="AO645" s="378"/>
      <c r="AP645" s="378"/>
      <c r="AQ645" s="378"/>
      <c r="AR645" s="378"/>
      <c r="AS645" s="378"/>
      <c r="AT645" s="378"/>
      <c r="AU645" s="378"/>
    </row>
    <row r="646" spans="1:47" x14ac:dyDescent="0.25">
      <c r="A646" s="750"/>
      <c r="B646" s="378"/>
      <c r="C646" s="378"/>
      <c r="D646" s="378"/>
      <c r="E646" s="378"/>
      <c r="F646" s="1080">
        <f>IF(G646&gt;0,1,0)</f>
        <v>0</v>
      </c>
      <c r="G646" s="1082">
        <f>'3 INDICADORES'!E75+'3 INDICADORES'!E76+'3 INDICADORES'!E77</f>
        <v>0</v>
      </c>
      <c r="H646" s="1074"/>
      <c r="I646" s="137"/>
      <c r="J646" s="378"/>
      <c r="K646" s="1986"/>
      <c r="L646" s="1986"/>
      <c r="M646" s="1986"/>
      <c r="N646" s="539"/>
      <c r="O646" s="378"/>
      <c r="P646" s="378"/>
      <c r="Q646" s="378"/>
      <c r="R646" s="378"/>
      <c r="S646" s="378"/>
      <c r="T646" s="378"/>
      <c r="U646" s="378"/>
      <c r="V646" s="378"/>
      <c r="W646" s="378"/>
      <c r="X646" s="378"/>
      <c r="Y646" s="378"/>
      <c r="Z646" s="378"/>
      <c r="AA646" s="378"/>
      <c r="AB646" s="378"/>
      <c r="AC646" s="378"/>
      <c r="AD646" s="378"/>
      <c r="AE646" s="378"/>
      <c r="AF646" s="378"/>
      <c r="AG646" s="378"/>
      <c r="AH646" s="378"/>
      <c r="AI646" s="378"/>
      <c r="AJ646" s="378"/>
      <c r="AK646" s="378"/>
      <c r="AL646" s="378"/>
      <c r="AM646" s="378"/>
      <c r="AN646" s="378"/>
      <c r="AO646" s="378"/>
      <c r="AP646" s="378"/>
      <c r="AQ646" s="378"/>
      <c r="AR646" s="378"/>
      <c r="AS646" s="378"/>
      <c r="AT646" s="378"/>
      <c r="AU646" s="378"/>
    </row>
    <row r="647" spans="1:47" x14ac:dyDescent="0.25">
      <c r="A647" s="750"/>
      <c r="B647" s="378"/>
      <c r="C647" s="378"/>
      <c r="D647" s="378"/>
      <c r="E647" s="378"/>
      <c r="F647" s="1080">
        <f>IF(G647&gt;0,1,0)</f>
        <v>0</v>
      </c>
      <c r="G647" s="1082">
        <f>'3 INDICADORES'!F75+'3 INDICADORES'!F76+'3 INDICADORES'!F77</f>
        <v>0</v>
      </c>
      <c r="H647" s="1074"/>
      <c r="I647" s="137"/>
      <c r="J647" s="378"/>
      <c r="K647" s="1986"/>
      <c r="L647" s="1986"/>
      <c r="M647" s="1986"/>
      <c r="N647" s="539"/>
      <c r="O647" s="378"/>
      <c r="P647" s="378"/>
      <c r="Q647" s="378"/>
      <c r="R647" s="378"/>
      <c r="S647" s="378"/>
      <c r="T647" s="378"/>
      <c r="U647" s="378"/>
      <c r="V647" s="378"/>
      <c r="W647" s="378"/>
      <c r="X647" s="378"/>
      <c r="Y647" s="378"/>
      <c r="Z647" s="378"/>
      <c r="AA647" s="378"/>
      <c r="AB647" s="378"/>
      <c r="AC647" s="378"/>
      <c r="AD647" s="378"/>
      <c r="AE647" s="378"/>
      <c r="AF647" s="378"/>
      <c r="AG647" s="378"/>
      <c r="AH647" s="378"/>
      <c r="AI647" s="378"/>
      <c r="AJ647" s="378"/>
      <c r="AK647" s="378"/>
      <c r="AL647" s="378"/>
      <c r="AM647" s="378"/>
      <c r="AN647" s="378"/>
      <c r="AO647" s="378"/>
      <c r="AP647" s="378"/>
      <c r="AQ647" s="378"/>
      <c r="AR647" s="378"/>
      <c r="AS647" s="378"/>
      <c r="AT647" s="378"/>
      <c r="AU647" s="378"/>
    </row>
    <row r="648" spans="1:47" x14ac:dyDescent="0.25">
      <c r="A648" s="750"/>
      <c r="B648" s="378"/>
      <c r="C648" s="378"/>
      <c r="D648" s="378"/>
      <c r="E648" s="378"/>
      <c r="F648" s="1080">
        <f>IF(G648&gt;0,1,0)</f>
        <v>0</v>
      </c>
      <c r="G648" s="1082">
        <f>'3 INDICADORES'!G75+'3 INDICADORES'!G76+'3 INDICADORES'!G77</f>
        <v>0</v>
      </c>
      <c r="H648" s="1074"/>
      <c r="I648" s="137"/>
      <c r="J648" s="378"/>
      <c r="K648" s="1986"/>
      <c r="L648" s="1986"/>
      <c r="M648" s="1986"/>
      <c r="N648" s="539"/>
      <c r="O648" s="378"/>
      <c r="P648" s="378"/>
      <c r="Q648" s="378"/>
      <c r="R648" s="378"/>
      <c r="S648" s="378"/>
      <c r="T648" s="378"/>
      <c r="U648" s="378"/>
      <c r="V648" s="378"/>
      <c r="W648" s="378"/>
      <c r="X648" s="378"/>
      <c r="Y648" s="378"/>
      <c r="Z648" s="378"/>
      <c r="AA648" s="378"/>
      <c r="AB648" s="378"/>
      <c r="AC648" s="378"/>
      <c r="AD648" s="378"/>
      <c r="AE648" s="378"/>
      <c r="AF648" s="378"/>
      <c r="AG648" s="378"/>
      <c r="AH648" s="378"/>
      <c r="AI648" s="378"/>
      <c r="AJ648" s="378"/>
      <c r="AK648" s="378"/>
      <c r="AL648" s="378"/>
      <c r="AM648" s="378"/>
      <c r="AN648" s="378"/>
      <c r="AO648" s="378"/>
      <c r="AP648" s="378"/>
      <c r="AQ648" s="378"/>
      <c r="AR648" s="378"/>
      <c r="AS648" s="378"/>
      <c r="AT648" s="378"/>
      <c r="AU648" s="378"/>
    </row>
    <row r="649" spans="1:47" x14ac:dyDescent="0.25">
      <c r="A649" s="750"/>
      <c r="B649" s="378"/>
      <c r="C649" s="378"/>
      <c r="D649" s="378"/>
      <c r="E649" s="378"/>
      <c r="F649" s="1083" t="e">
        <f>(('3 INDICADORES'!D75+'3 INDICADORES'!D76+'3 INDICADORES'!D77)+('3 INDICADORES'!E75+'3 INDICADORES'!E76+'3 INDICADORES'!E77)+('3 INDICADORES'!F75+'3 INDICADORES'!F76+'3 INDICADORES'!F77)+('3 INDICADORES'!G75+'3 INDICADORES'!G76+'3 INDICADORES'!G77))/F650</f>
        <v>#DIV/0!</v>
      </c>
      <c r="G649" s="1073"/>
      <c r="H649" s="1074"/>
      <c r="I649" s="137"/>
      <c r="J649" s="378"/>
      <c r="K649" s="1986"/>
      <c r="L649" s="1986"/>
      <c r="M649" s="1986"/>
      <c r="N649" s="539"/>
      <c r="O649" s="378"/>
      <c r="P649" s="378"/>
      <c r="Q649" s="378"/>
      <c r="R649" s="378"/>
      <c r="S649" s="378"/>
      <c r="T649" s="378"/>
      <c r="U649" s="378"/>
      <c r="V649" s="378"/>
      <c r="W649" s="378"/>
      <c r="X649" s="378"/>
      <c r="Y649" s="378"/>
      <c r="Z649" s="378"/>
      <c r="AA649" s="378"/>
      <c r="AB649" s="378"/>
      <c r="AC649" s="378"/>
      <c r="AD649" s="378"/>
      <c r="AE649" s="378"/>
      <c r="AF649" s="378"/>
      <c r="AG649" s="378"/>
      <c r="AH649" s="378"/>
      <c r="AI649" s="378"/>
      <c r="AJ649" s="378"/>
      <c r="AK649" s="378"/>
      <c r="AL649" s="378"/>
      <c r="AM649" s="378"/>
      <c r="AN649" s="378"/>
      <c r="AO649" s="378"/>
      <c r="AP649" s="378"/>
      <c r="AQ649" s="378"/>
      <c r="AR649" s="378"/>
      <c r="AS649" s="378"/>
      <c r="AT649" s="378"/>
      <c r="AU649" s="378"/>
    </row>
    <row r="650" spans="1:47" x14ac:dyDescent="0.25">
      <c r="A650" s="750"/>
      <c r="B650" s="378"/>
      <c r="C650" s="378"/>
      <c r="D650" s="378"/>
      <c r="E650" s="378"/>
      <c r="F650" s="1080">
        <f>SUM(F645:F648)</f>
        <v>0</v>
      </c>
      <c r="G650" s="1073"/>
      <c r="H650" s="1074"/>
      <c r="I650" s="137"/>
      <c r="J650" s="378"/>
      <c r="K650" s="378"/>
      <c r="L650" s="378"/>
      <c r="M650" s="378"/>
      <c r="N650" s="378"/>
      <c r="O650" s="378"/>
      <c r="P650" s="378"/>
      <c r="Q650" s="378"/>
      <c r="R650" s="378"/>
      <c r="S650" s="378"/>
      <c r="T650" s="378"/>
      <c r="U650" s="378"/>
      <c r="V650" s="378"/>
      <c r="W650" s="378"/>
      <c r="X650" s="378"/>
      <c r="Y650" s="378"/>
      <c r="Z650" s="378"/>
      <c r="AA650" s="378"/>
      <c r="AB650" s="378"/>
      <c r="AC650" s="378"/>
      <c r="AD650" s="378"/>
      <c r="AE650" s="378"/>
      <c r="AF650" s="378"/>
      <c r="AG650" s="378"/>
      <c r="AH650" s="378"/>
      <c r="AI650" s="378"/>
      <c r="AJ650" s="378"/>
      <c r="AK650" s="378"/>
      <c r="AL650" s="378"/>
      <c r="AM650" s="378"/>
      <c r="AN650" s="378"/>
      <c r="AO650" s="378"/>
      <c r="AP650" s="378"/>
      <c r="AQ650" s="378"/>
      <c r="AR650" s="378"/>
      <c r="AS650" s="378"/>
      <c r="AT650" s="378"/>
      <c r="AU650" s="378"/>
    </row>
    <row r="651" spans="1:47" x14ac:dyDescent="0.25">
      <c r="A651" s="750"/>
      <c r="B651" s="378"/>
      <c r="C651" s="378"/>
      <c r="D651" s="378"/>
      <c r="E651" s="378"/>
      <c r="F651" s="378"/>
      <c r="G651" s="378"/>
      <c r="H651" s="378"/>
      <c r="I651" s="378"/>
      <c r="J651" s="378"/>
      <c r="K651" s="378"/>
      <c r="L651" s="378"/>
      <c r="M651" s="378"/>
      <c r="N651" s="378"/>
      <c r="O651" s="378"/>
      <c r="P651" s="378"/>
      <c r="Q651" s="378"/>
      <c r="R651" s="378"/>
      <c r="S651" s="378"/>
      <c r="T651" s="378"/>
      <c r="U651" s="378"/>
      <c r="V651" s="378"/>
      <c r="W651" s="378"/>
      <c r="X651" s="378"/>
      <c r="Y651" s="378"/>
      <c r="Z651" s="378"/>
      <c r="AA651" s="378"/>
      <c r="AB651" s="378"/>
      <c r="AC651" s="378"/>
      <c r="AD651" s="378"/>
      <c r="AE651" s="378"/>
      <c r="AF651" s="378"/>
      <c r="AG651" s="378"/>
      <c r="AH651" s="378"/>
      <c r="AI651" s="378"/>
      <c r="AJ651" s="378"/>
      <c r="AK651" s="378"/>
      <c r="AL651" s="378"/>
      <c r="AM651" s="378"/>
      <c r="AN651" s="378"/>
      <c r="AO651" s="378"/>
      <c r="AP651" s="378"/>
      <c r="AQ651" s="378"/>
      <c r="AR651" s="378"/>
      <c r="AS651" s="378"/>
      <c r="AT651" s="378"/>
      <c r="AU651" s="378"/>
    </row>
    <row r="652" spans="1:47" ht="21" x14ac:dyDescent="0.35">
      <c r="A652" s="749">
        <v>6</v>
      </c>
      <c r="B652" s="2012" t="s">
        <v>799</v>
      </c>
      <c r="C652" s="2012"/>
      <c r="D652" s="378"/>
      <c r="E652" s="378"/>
      <c r="F652" s="1983" t="s">
        <v>766</v>
      </c>
      <c r="G652" s="1984"/>
      <c r="H652" s="1984"/>
      <c r="I652" s="1984"/>
      <c r="J652" s="1984"/>
      <c r="K652" s="1985"/>
      <c r="L652" s="378"/>
      <c r="M652" s="378"/>
      <c r="N652" s="378"/>
      <c r="O652" s="378"/>
      <c r="P652" s="378"/>
      <c r="Q652" s="378"/>
      <c r="R652" s="378"/>
      <c r="S652" s="378"/>
      <c r="T652" s="378"/>
      <c r="U652" s="378"/>
      <c r="V652" s="378"/>
      <c r="W652" s="378"/>
      <c r="X652" s="378"/>
      <c r="Y652" s="378"/>
      <c r="Z652" s="378"/>
      <c r="AA652" s="378"/>
      <c r="AB652" s="378"/>
      <c r="AC652" s="378"/>
      <c r="AD652" s="378"/>
      <c r="AE652" s="378"/>
      <c r="AF652" s="378"/>
      <c r="AG652" s="378"/>
      <c r="AH652" s="378"/>
      <c r="AI652" s="378"/>
      <c r="AJ652" s="378"/>
      <c r="AK652" s="378"/>
      <c r="AL652" s="378"/>
      <c r="AM652" s="378"/>
      <c r="AN652" s="378"/>
      <c r="AO652" s="378"/>
      <c r="AP652" s="378"/>
      <c r="AQ652" s="378"/>
      <c r="AR652" s="378"/>
      <c r="AS652" s="378"/>
      <c r="AT652" s="378"/>
      <c r="AU652" s="378"/>
    </row>
    <row r="653" spans="1:47" ht="39.75" customHeight="1" x14ac:dyDescent="0.25">
      <c r="A653" s="750"/>
      <c r="B653" s="1077" t="str">
        <f>+'3 INDICADORES'!B88:C88</f>
        <v>6.2 - Menos de 5 anos de estudo</v>
      </c>
      <c r="C653" s="1066">
        <v>0.7</v>
      </c>
      <c r="D653" s="378"/>
      <c r="E653" s="378"/>
      <c r="F653" s="1987" t="s">
        <v>838</v>
      </c>
      <c r="G653" s="1988"/>
      <c r="H653" s="1988"/>
      <c r="I653" s="1988"/>
      <c r="J653" s="1988"/>
      <c r="K653" s="1989"/>
      <c r="L653" s="378"/>
      <c r="M653" s="378"/>
      <c r="N653" s="378"/>
      <c r="O653" s="378"/>
      <c r="P653" s="378"/>
      <c r="Q653" s="378"/>
      <c r="R653" s="378"/>
      <c r="S653" s="378"/>
      <c r="T653" s="378"/>
      <c r="U653" s="378"/>
      <c r="V653" s="378"/>
      <c r="W653" s="378"/>
      <c r="X653" s="378"/>
      <c r="Y653" s="378"/>
      <c r="Z653" s="378"/>
      <c r="AA653" s="378"/>
      <c r="AB653" s="378"/>
      <c r="AC653" s="378"/>
      <c r="AD653" s="378"/>
      <c r="AE653" s="378"/>
      <c r="AF653" s="378"/>
      <c r="AG653" s="378"/>
      <c r="AH653" s="378"/>
      <c r="AI653" s="378"/>
      <c r="AJ653" s="378"/>
      <c r="AK653" s="378"/>
      <c r="AL653" s="378"/>
      <c r="AM653" s="378"/>
      <c r="AN653" s="378"/>
      <c r="AO653" s="378"/>
      <c r="AP653" s="378"/>
      <c r="AQ653" s="378"/>
      <c r="AR653" s="378"/>
      <c r="AS653" s="378"/>
      <c r="AT653" s="378"/>
      <c r="AU653" s="378"/>
    </row>
    <row r="654" spans="1:47" ht="23.25" x14ac:dyDescent="0.25">
      <c r="A654" s="750"/>
      <c r="B654" s="1077" t="str">
        <f>+'3 INDICADORES'!B89:C89</f>
        <v>6.3 - 5 a 9 anos de estudo</v>
      </c>
      <c r="C654" s="1066">
        <v>1</v>
      </c>
      <c r="D654" s="378"/>
      <c r="E654" s="378"/>
      <c r="F654" s="1990"/>
      <c r="G654" s="1991"/>
      <c r="H654" s="1991"/>
      <c r="I654" s="1991"/>
      <c r="J654" s="1991"/>
      <c r="K654" s="1992"/>
      <c r="L654" s="378"/>
      <c r="M654" s="378"/>
      <c r="N654" s="378"/>
      <c r="O654" s="378"/>
      <c r="P654" s="378"/>
      <c r="Q654" s="378"/>
      <c r="R654" s="378"/>
      <c r="S654" s="378"/>
      <c r="T654" s="378"/>
      <c r="U654" s="378"/>
      <c r="V654" s="378"/>
      <c r="W654" s="378"/>
      <c r="X654" s="378"/>
      <c r="Y654" s="378"/>
      <c r="Z654" s="378"/>
      <c r="AA654" s="378"/>
      <c r="AB654" s="378"/>
      <c r="AC654" s="378"/>
      <c r="AD654" s="378"/>
      <c r="AE654" s="378"/>
      <c r="AF654" s="378"/>
      <c r="AG654" s="378"/>
      <c r="AH654" s="378"/>
      <c r="AI654" s="378"/>
      <c r="AJ654" s="378"/>
      <c r="AK654" s="378"/>
      <c r="AL654" s="378"/>
      <c r="AM654" s="378"/>
      <c r="AN654" s="378"/>
      <c r="AO654" s="378"/>
      <c r="AP654" s="378"/>
      <c r="AQ654" s="378"/>
      <c r="AR654" s="378"/>
      <c r="AS654" s="378"/>
      <c r="AT654" s="378"/>
      <c r="AU654" s="378"/>
    </row>
    <row r="655" spans="1:47" ht="34.5" x14ac:dyDescent="0.25">
      <c r="A655" s="750"/>
      <c r="B655" s="1077" t="str">
        <f>+'3 INDICADORES'!B90:C90</f>
        <v>6.4 - Acima de 9 anos de estudo</v>
      </c>
      <c r="C655" s="1066">
        <v>1.2</v>
      </c>
      <c r="D655" s="378"/>
      <c r="E655" s="378"/>
      <c r="F655" s="1990"/>
      <c r="G655" s="1991"/>
      <c r="H655" s="1991"/>
      <c r="I655" s="1991"/>
      <c r="J655" s="1991"/>
      <c r="K655" s="1992"/>
      <c r="L655" s="378"/>
      <c r="M655" s="378"/>
      <c r="N655" s="378"/>
      <c r="O655" s="378"/>
      <c r="P655" s="378"/>
      <c r="Q655" s="378"/>
      <c r="R655" s="378"/>
      <c r="S655" s="378"/>
      <c r="T655" s="378"/>
      <c r="U655" s="378"/>
      <c r="V655" s="378"/>
      <c r="W655" s="378"/>
      <c r="X655" s="378"/>
      <c r="Y655" s="378"/>
      <c r="Z655" s="378"/>
      <c r="AA655" s="378"/>
      <c r="AB655" s="378"/>
      <c r="AC655" s="378"/>
      <c r="AD655" s="378"/>
      <c r="AE655" s="378"/>
      <c r="AF655" s="378"/>
      <c r="AG655" s="378"/>
      <c r="AH655" s="378"/>
      <c r="AI655" s="378"/>
      <c r="AJ655" s="378"/>
      <c r="AK655" s="378"/>
      <c r="AL655" s="378"/>
      <c r="AM655" s="378"/>
      <c r="AN655" s="378"/>
      <c r="AO655" s="378"/>
      <c r="AP655" s="378"/>
      <c r="AQ655" s="378"/>
      <c r="AR655" s="378"/>
      <c r="AS655" s="378"/>
      <c r="AT655" s="378"/>
      <c r="AU655" s="378"/>
    </row>
    <row r="656" spans="1:47" ht="23.25" x14ac:dyDescent="0.25">
      <c r="A656" s="750"/>
      <c r="B656" s="1077" t="str">
        <f>+'3 INDICADORES'!B91:C91</f>
        <v>6.5 - Curso superior</v>
      </c>
      <c r="C656" s="1066">
        <v>1.5</v>
      </c>
      <c r="D656" s="378"/>
      <c r="E656" s="378"/>
      <c r="F656" s="1993"/>
      <c r="G656" s="1994"/>
      <c r="H656" s="1994"/>
      <c r="I656" s="1994"/>
      <c r="J656" s="1994"/>
      <c r="K656" s="1995"/>
      <c r="L656" s="378"/>
      <c r="M656" s="378"/>
      <c r="N656" s="378"/>
      <c r="O656" s="378"/>
      <c r="P656" s="378"/>
      <c r="Q656" s="378"/>
      <c r="R656" s="378"/>
      <c r="S656" s="378"/>
      <c r="T656" s="378"/>
      <c r="U656" s="378"/>
      <c r="V656" s="378"/>
      <c r="W656" s="378"/>
      <c r="X656" s="378"/>
      <c r="Y656" s="378"/>
      <c r="Z656" s="378"/>
      <c r="AA656" s="378"/>
      <c r="AB656" s="378"/>
      <c r="AC656" s="378"/>
      <c r="AD656" s="378"/>
      <c r="AE656" s="378"/>
      <c r="AF656" s="378"/>
      <c r="AG656" s="378"/>
      <c r="AH656" s="378"/>
      <c r="AI656" s="378"/>
      <c r="AJ656" s="378"/>
      <c r="AK656" s="378"/>
      <c r="AL656" s="378"/>
      <c r="AM656" s="378"/>
      <c r="AN656" s="378"/>
      <c r="AO656" s="378"/>
      <c r="AP656" s="378"/>
      <c r="AQ656" s="378"/>
      <c r="AR656" s="378"/>
      <c r="AS656" s="378"/>
      <c r="AT656" s="378"/>
      <c r="AU656" s="378"/>
    </row>
    <row r="657" spans="1:47" ht="50.25" customHeight="1" x14ac:dyDescent="0.25">
      <c r="A657" s="750"/>
      <c r="B657" s="1077" t="str">
        <f>+'3 INDICADORES'!B92:C92</f>
        <v>6.6 - Capacitação curta temporada*</v>
      </c>
      <c r="C657" s="1066">
        <v>0.5</v>
      </c>
      <c r="D657" s="378"/>
      <c r="E657" s="378"/>
      <c r="F657" s="2005" t="s">
        <v>839</v>
      </c>
      <c r="G657" s="2006"/>
      <c r="H657" s="2006"/>
      <c r="I657" s="2006"/>
      <c r="J657" s="2006"/>
      <c r="K657" s="2007"/>
      <c r="L657" s="378"/>
      <c r="M657" s="378"/>
      <c r="N657" s="378"/>
      <c r="O657" s="378"/>
      <c r="P657" s="378"/>
      <c r="Q657" s="378"/>
      <c r="R657" s="378"/>
      <c r="S657" s="378"/>
      <c r="T657" s="378"/>
      <c r="U657" s="378"/>
      <c r="V657" s="378"/>
      <c r="W657" s="378"/>
      <c r="X657" s="378"/>
      <c r="Y657" s="378"/>
      <c r="Z657" s="378"/>
      <c r="AA657" s="378"/>
      <c r="AB657" s="378"/>
      <c r="AC657" s="378"/>
      <c r="AD657" s="378"/>
      <c r="AE657" s="378"/>
      <c r="AF657" s="378"/>
      <c r="AG657" s="378"/>
      <c r="AH657" s="378"/>
      <c r="AI657" s="378"/>
      <c r="AJ657" s="378"/>
      <c r="AK657" s="378"/>
      <c r="AL657" s="378"/>
      <c r="AM657" s="378"/>
      <c r="AN657" s="378"/>
      <c r="AO657" s="378"/>
      <c r="AP657" s="378"/>
      <c r="AQ657" s="378"/>
      <c r="AR657" s="378"/>
      <c r="AS657" s="378"/>
      <c r="AT657" s="378"/>
      <c r="AU657" s="378"/>
    </row>
    <row r="658" spans="1:47" ht="52.5" customHeight="1" x14ac:dyDescent="0.25">
      <c r="A658" s="750"/>
      <c r="B658" s="1077" t="str">
        <f>+'3 INDICADORES'!B93:C93</f>
        <v>6.7 - Capacitação longa temporada**</v>
      </c>
      <c r="C658" s="1066">
        <v>0.8</v>
      </c>
      <c r="D658" s="378"/>
      <c r="E658" s="378"/>
      <c r="F658" s="2008"/>
      <c r="G658" s="2009"/>
      <c r="H658" s="2009"/>
      <c r="I658" s="2009"/>
      <c r="J658" s="2009"/>
      <c r="K658" s="2010"/>
      <c r="L658" s="378"/>
      <c r="M658" s="378"/>
      <c r="N658" s="378"/>
      <c r="O658" s="378"/>
      <c r="P658" s="378"/>
      <c r="Q658" s="378"/>
      <c r="R658" s="378"/>
      <c r="S658" s="378"/>
      <c r="T658" s="378"/>
      <c r="U658" s="378"/>
      <c r="V658" s="378"/>
      <c r="W658" s="378"/>
      <c r="X658" s="378"/>
      <c r="Y658" s="378"/>
      <c r="Z658" s="378"/>
      <c r="AA658" s="378"/>
      <c r="AB658" s="378"/>
      <c r="AC658" s="378"/>
      <c r="AD658" s="378"/>
      <c r="AE658" s="378"/>
      <c r="AF658" s="378"/>
      <c r="AG658" s="378"/>
      <c r="AH658" s="378"/>
      <c r="AI658" s="378"/>
      <c r="AJ658" s="378"/>
      <c r="AK658" s="378"/>
      <c r="AL658" s="378"/>
      <c r="AM658" s="378"/>
      <c r="AN658" s="378"/>
      <c r="AO658" s="378"/>
      <c r="AP658" s="378"/>
      <c r="AQ658" s="378"/>
      <c r="AR658" s="378"/>
      <c r="AS658" s="378"/>
      <c r="AT658" s="378"/>
      <c r="AU658" s="378"/>
    </row>
    <row r="659" spans="1:47" ht="28.5" customHeight="1" x14ac:dyDescent="0.25">
      <c r="A659" s="750"/>
      <c r="B659" s="1077" t="str">
        <f>+'3 INDICADORES'!B94:C94</f>
        <v xml:space="preserve">6.8 - Frequenta rede de ensino </v>
      </c>
      <c r="C659" s="1066">
        <v>1</v>
      </c>
      <c r="D659" s="378"/>
      <c r="E659" s="378"/>
      <c r="F659" s="1088">
        <f>IF('3 INDICADORES'!D87&gt;0,((('3 INDICADORES'!D88*'3 INDICADORES'!H88+'3 INDICADORES'!D89*'3 INDICADORES'!H89+'3 INDICADORES'!D90*'3 INDICADORES'!H90+'3 INDICADORES'!D91*'3 INDICADORES'!H91))*0.7),0)</f>
        <v>0</v>
      </c>
      <c r="G659" s="1088">
        <f>IF('3 INDICADORES'!D87&gt;0,(('3 INDICADORES'!D92*'3 INDICADORES'!H92+'3 INDICADORES'!D93*'3 INDICADORES'!H93))*0.3,0)</f>
        <v>0</v>
      </c>
      <c r="H659" s="1088">
        <f>+'3 INDICADORES'!D87+'3 INDICADORES'!F87</f>
        <v>0</v>
      </c>
      <c r="I659" s="1088">
        <f>IF('3 INDICADORES'!E87&gt;0,(('3 INDICADORES'!E94*'3 INDICADORES'!H94)*0.7),0)</f>
        <v>0</v>
      </c>
      <c r="J659" s="1086"/>
      <c r="K659" s="1088" t="e">
        <f>I661+G661</f>
        <v>#DIV/0!</v>
      </c>
      <c r="L659" s="378"/>
      <c r="M659" s="378"/>
      <c r="N659" s="378"/>
      <c r="O659" s="378"/>
      <c r="P659" s="378"/>
      <c r="Q659" s="378"/>
      <c r="R659" s="378"/>
      <c r="S659" s="378"/>
      <c r="T659" s="378"/>
      <c r="U659" s="378"/>
      <c r="V659" s="378"/>
      <c r="W659" s="378"/>
      <c r="X659" s="378"/>
      <c r="Y659" s="378"/>
      <c r="Z659" s="378"/>
      <c r="AA659" s="378"/>
      <c r="AB659" s="378"/>
      <c r="AC659" s="378"/>
      <c r="AD659" s="378"/>
      <c r="AE659" s="378"/>
      <c r="AF659" s="378"/>
      <c r="AG659" s="378"/>
      <c r="AH659" s="378"/>
      <c r="AI659" s="378"/>
      <c r="AJ659" s="378"/>
      <c r="AK659" s="378"/>
      <c r="AL659" s="378"/>
      <c r="AM659" s="378"/>
      <c r="AN659" s="378"/>
      <c r="AO659" s="378"/>
      <c r="AP659" s="378"/>
      <c r="AQ659" s="378"/>
      <c r="AR659" s="378"/>
      <c r="AS659" s="378"/>
      <c r="AT659" s="378"/>
      <c r="AU659" s="378"/>
    </row>
    <row r="660" spans="1:47" x14ac:dyDescent="0.25">
      <c r="A660" s="750"/>
      <c r="B660" s="378"/>
      <c r="C660" s="378"/>
      <c r="D660" s="378"/>
      <c r="E660" s="378"/>
      <c r="F660" s="1088">
        <f>IF('3 INDICADORES'!F87&gt;0,((('3 INDICADORES'!F88*'3 INDICADORES'!H88+'3 INDICADORES'!F89*'3 INDICADORES'!H89+'3 INDICADORES'!F90*'3 INDICADORES'!H90+'3 INDICADORES'!F91*'3 INDICADORES'!H91))*0.7),0)</f>
        <v>0</v>
      </c>
      <c r="G660" s="1088">
        <f>IF('3 INDICADORES'!F87&gt;0,(('3 INDICADORES'!F92*'3 INDICADORES'!H92+'3 INDICADORES'!F93*'3 INDICADORES'!H93))*0.3,0)</f>
        <v>0</v>
      </c>
      <c r="H660" s="1088">
        <f>+'3 INDICADORES'!E87+'3 INDICADORES'!G87</f>
        <v>0</v>
      </c>
      <c r="I660" s="1088">
        <f>IF('3 INDICADORES'!G87&gt;0,(('3 INDICADORES'!G94*'3 INDICADORES'!H94))*0.7,0)</f>
        <v>0</v>
      </c>
      <c r="J660" s="1086"/>
      <c r="K660" s="1089" t="e">
        <f>K659</f>
        <v>#DIV/0!</v>
      </c>
      <c r="L660" s="378"/>
      <c r="M660" s="378"/>
      <c r="N660" s="378"/>
      <c r="O660" s="378"/>
      <c r="P660" s="378"/>
      <c r="Q660" s="378"/>
      <c r="R660" s="378"/>
      <c r="S660" s="378"/>
      <c r="T660" s="378"/>
      <c r="U660" s="378"/>
      <c r="V660" s="378"/>
      <c r="W660" s="378"/>
      <c r="X660" s="378"/>
      <c r="Y660" s="378"/>
      <c r="Z660" s="378"/>
      <c r="AA660" s="378"/>
      <c r="AB660" s="378"/>
      <c r="AC660" s="378"/>
      <c r="AD660" s="378"/>
      <c r="AE660" s="378"/>
      <c r="AF660" s="378"/>
      <c r="AG660" s="378"/>
      <c r="AH660" s="378"/>
      <c r="AI660" s="378"/>
      <c r="AJ660" s="378"/>
      <c r="AK660" s="378"/>
      <c r="AL660" s="378"/>
      <c r="AM660" s="378"/>
      <c r="AN660" s="378"/>
      <c r="AO660" s="378"/>
      <c r="AP660" s="378"/>
      <c r="AQ660" s="378"/>
      <c r="AR660" s="378"/>
      <c r="AS660" s="378"/>
      <c r="AT660" s="378"/>
      <c r="AU660" s="378"/>
    </row>
    <row r="661" spans="1:47" x14ac:dyDescent="0.25">
      <c r="A661" s="750"/>
      <c r="B661" s="378"/>
      <c r="C661" s="378"/>
      <c r="D661" s="378"/>
      <c r="E661" s="378"/>
      <c r="F661" s="1088" t="e">
        <f>(F659+F660)/H659</f>
        <v>#DIV/0!</v>
      </c>
      <c r="G661" s="1088" t="e">
        <f>(G659+G660)/H659</f>
        <v>#DIV/0!</v>
      </c>
      <c r="H661" s="1088" t="e">
        <f>(I659+I660)/H660</f>
        <v>#DIV/0!</v>
      </c>
      <c r="I661" s="1088" t="e">
        <f>IF(OR('3 INDICADORES'!E87&gt;0,'3 INDICADORES'!G87&gt;0),((H661+F661)/2),F661)</f>
        <v>#DIV/0!</v>
      </c>
      <c r="J661" s="1086"/>
      <c r="K661" s="1087"/>
      <c r="L661" s="378"/>
      <c r="M661" s="378"/>
      <c r="N661" s="378"/>
      <c r="O661" s="378"/>
      <c r="P661" s="378"/>
      <c r="Q661" s="378"/>
      <c r="R661" s="378"/>
      <c r="S661" s="378"/>
      <c r="T661" s="378"/>
      <c r="U661" s="378"/>
      <c r="V661" s="378"/>
      <c r="W661" s="378"/>
      <c r="X661" s="378"/>
      <c r="Y661" s="378"/>
      <c r="Z661" s="378"/>
      <c r="AA661" s="378"/>
      <c r="AB661" s="378"/>
      <c r="AC661" s="378"/>
      <c r="AD661" s="378"/>
      <c r="AE661" s="378"/>
      <c r="AF661" s="378"/>
      <c r="AG661" s="378"/>
      <c r="AH661" s="378"/>
      <c r="AI661" s="378"/>
      <c r="AJ661" s="378"/>
      <c r="AK661" s="378"/>
      <c r="AL661" s="378"/>
      <c r="AM661" s="378"/>
      <c r="AN661" s="378"/>
      <c r="AO661" s="378"/>
      <c r="AP661" s="378"/>
      <c r="AQ661" s="378"/>
      <c r="AR661" s="378"/>
      <c r="AS661" s="378"/>
      <c r="AT661" s="378"/>
      <c r="AU661" s="378"/>
    </row>
    <row r="662" spans="1:47" x14ac:dyDescent="0.25">
      <c r="A662" s="750"/>
      <c r="B662" s="378"/>
      <c r="C662" s="378"/>
      <c r="D662" s="378"/>
      <c r="E662" s="378"/>
      <c r="F662" s="378"/>
      <c r="G662" s="378"/>
      <c r="H662" s="378"/>
      <c r="I662" s="378"/>
      <c r="J662" s="378"/>
      <c r="K662" s="378"/>
      <c r="L662" s="378"/>
      <c r="M662" s="378"/>
      <c r="N662" s="378"/>
      <c r="O662" s="378"/>
      <c r="P662" s="378"/>
      <c r="Q662" s="378"/>
      <c r="R662" s="378"/>
      <c r="S662" s="378"/>
      <c r="T662" s="378"/>
      <c r="U662" s="378"/>
      <c r="V662" s="378"/>
      <c r="W662" s="378"/>
      <c r="X662" s="378"/>
      <c r="Y662" s="378"/>
      <c r="Z662" s="378"/>
      <c r="AA662" s="378"/>
      <c r="AB662" s="378"/>
      <c r="AC662" s="378"/>
      <c r="AD662" s="378"/>
      <c r="AE662" s="378"/>
      <c r="AF662" s="378"/>
      <c r="AG662" s="378"/>
      <c r="AH662" s="378"/>
      <c r="AI662" s="378"/>
      <c r="AJ662" s="378"/>
      <c r="AK662" s="378"/>
      <c r="AL662" s="378"/>
      <c r="AM662" s="378"/>
      <c r="AN662" s="378"/>
      <c r="AO662" s="378"/>
      <c r="AP662" s="378"/>
      <c r="AQ662" s="378"/>
      <c r="AR662" s="378"/>
      <c r="AS662" s="378"/>
      <c r="AT662" s="378"/>
      <c r="AU662" s="378"/>
    </row>
    <row r="663" spans="1:47" ht="21" x14ac:dyDescent="0.35">
      <c r="A663" s="749">
        <v>7</v>
      </c>
      <c r="B663" s="2012" t="s">
        <v>799</v>
      </c>
      <c r="C663" s="2012"/>
      <c r="D663" s="378"/>
      <c r="E663" s="378"/>
      <c r="F663" s="1983" t="s">
        <v>766</v>
      </c>
      <c r="G663" s="1984"/>
      <c r="H663" s="1985"/>
      <c r="I663" s="378"/>
      <c r="J663" s="378"/>
      <c r="K663" s="378"/>
      <c r="L663" s="378"/>
      <c r="M663" s="378"/>
      <c r="N663" s="378"/>
      <c r="O663" s="378"/>
      <c r="P663" s="378"/>
      <c r="Q663" s="378"/>
      <c r="R663" s="378"/>
      <c r="S663" s="378"/>
      <c r="T663" s="378"/>
      <c r="U663" s="378"/>
      <c r="V663" s="378"/>
      <c r="W663" s="378"/>
      <c r="X663" s="378"/>
      <c r="Y663" s="378"/>
      <c r="Z663" s="378"/>
      <c r="AA663" s="378"/>
      <c r="AB663" s="378"/>
      <c r="AC663" s="378"/>
      <c r="AD663" s="378"/>
      <c r="AE663" s="378"/>
      <c r="AF663" s="378"/>
      <c r="AG663" s="378"/>
      <c r="AH663" s="378"/>
      <c r="AI663" s="378"/>
      <c r="AJ663" s="378"/>
      <c r="AK663" s="378"/>
      <c r="AL663" s="378"/>
      <c r="AM663" s="378"/>
      <c r="AN663" s="378"/>
      <c r="AO663" s="378"/>
      <c r="AP663" s="378"/>
      <c r="AQ663" s="378"/>
      <c r="AR663" s="378"/>
      <c r="AS663" s="378"/>
      <c r="AT663" s="378"/>
      <c r="AU663" s="378"/>
    </row>
    <row r="664" spans="1:47" ht="45.75" customHeight="1" x14ac:dyDescent="0.25">
      <c r="A664" s="750"/>
      <c r="B664" s="1077" t="str">
        <f>+'3 INDICADORES'!B103:D103</f>
        <v>7.2 - Registro de funcionários (carteira de trabalho)</v>
      </c>
      <c r="C664" s="1066">
        <v>1</v>
      </c>
      <c r="D664" s="378"/>
      <c r="E664" s="378"/>
      <c r="F664" s="2005" t="s">
        <v>840</v>
      </c>
      <c r="G664" s="2006"/>
      <c r="H664" s="2007"/>
      <c r="I664" s="378"/>
      <c r="J664" s="378"/>
      <c r="K664" s="378"/>
      <c r="L664" s="378"/>
      <c r="M664" s="378"/>
      <c r="N664" s="378"/>
      <c r="O664" s="378"/>
      <c r="P664" s="378"/>
      <c r="Q664" s="378"/>
      <c r="R664" s="378"/>
      <c r="S664" s="378"/>
      <c r="T664" s="378"/>
      <c r="U664" s="378"/>
      <c r="V664" s="378"/>
      <c r="W664" s="378"/>
      <c r="X664" s="378"/>
      <c r="Y664" s="378"/>
      <c r="Z664" s="378"/>
      <c r="AA664" s="378"/>
      <c r="AB664" s="378"/>
      <c r="AC664" s="378"/>
      <c r="AD664" s="378"/>
      <c r="AE664" s="378"/>
      <c r="AF664" s="378"/>
      <c r="AG664" s="378"/>
      <c r="AH664" s="378"/>
      <c r="AI664" s="378"/>
      <c r="AJ664" s="378"/>
      <c r="AK664" s="378"/>
      <c r="AL664" s="378"/>
      <c r="AM664" s="378"/>
      <c r="AN664" s="378"/>
      <c r="AO664" s="378"/>
      <c r="AP664" s="378"/>
      <c r="AQ664" s="378"/>
      <c r="AR664" s="378"/>
      <c r="AS664" s="378"/>
      <c r="AT664" s="378"/>
      <c r="AU664" s="378"/>
    </row>
    <row r="665" spans="1:47" ht="57" x14ac:dyDescent="0.25">
      <c r="A665" s="750"/>
      <c r="B665" s="1077" t="str">
        <f>+'3 INDICADORES'!B104:D104</f>
        <v>7.3 - Pagamento de hora extra (ou banco de horas*)</v>
      </c>
      <c r="C665" s="1066">
        <v>1</v>
      </c>
      <c r="D665" s="378"/>
      <c r="E665" s="378"/>
      <c r="F665" s="2008"/>
      <c r="G665" s="2009"/>
      <c r="H665" s="2010"/>
      <c r="I665" s="378"/>
      <c r="J665" s="378"/>
      <c r="K665" s="378"/>
      <c r="L665" s="378"/>
      <c r="M665" s="378"/>
      <c r="N665" s="378"/>
      <c r="O665" s="378"/>
      <c r="P665" s="378"/>
      <c r="Q665" s="378"/>
      <c r="R665" s="378"/>
      <c r="S665" s="378"/>
      <c r="T665" s="378"/>
      <c r="U665" s="378"/>
      <c r="V665" s="378"/>
      <c r="W665" s="378"/>
      <c r="X665" s="378"/>
      <c r="Y665" s="378"/>
      <c r="Z665" s="378"/>
      <c r="AA665" s="378"/>
      <c r="AB665" s="378"/>
      <c r="AC665" s="378"/>
      <c r="AD665" s="378"/>
      <c r="AE665" s="378"/>
      <c r="AF665" s="378"/>
      <c r="AG665" s="378"/>
      <c r="AH665" s="378"/>
      <c r="AI665" s="378"/>
      <c r="AJ665" s="378"/>
      <c r="AK665" s="378"/>
      <c r="AL665" s="378"/>
      <c r="AM665" s="378"/>
      <c r="AN665" s="378"/>
      <c r="AO665" s="378"/>
      <c r="AP665" s="378"/>
      <c r="AQ665" s="378"/>
      <c r="AR665" s="378"/>
      <c r="AS665" s="378"/>
      <c r="AT665" s="378"/>
      <c r="AU665" s="378"/>
    </row>
    <row r="666" spans="1:47" ht="34.5" x14ac:dyDescent="0.25">
      <c r="A666" s="750"/>
      <c r="B666" s="1077" t="str">
        <f>+'3 INDICADORES'!B105:D105</f>
        <v>7.4 - Acima de 1 salário mínimo</v>
      </c>
      <c r="C666" s="1066">
        <v>1</v>
      </c>
      <c r="D666" s="378"/>
      <c r="E666" s="378"/>
      <c r="F666" s="1088">
        <f>IF('3 INDICADORES'!E102&gt;0,((('3 INDICADORES'!E103*'3 INDICADORES'!$G$103+'3 INDICADORES'!E104*'3 INDICADORES'!$G$104)/('3 INDICADORES'!E102*2))*0.7),0.7)</f>
        <v>0.7</v>
      </c>
      <c r="G666" s="1088">
        <f>IF('3 INDICADORES'!E102&gt;0,(('3 INDICADORES'!E105*'3 INDICADORES'!$G$105+'3 INDICADORES'!E106*'3 INDICADORES'!$G$106+'3 INDICADORES'!E107*'3 INDICADORES'!$G$107+'3 INDICADORES'!E108*'3 INDICADORES'!$G$108+'3 INDICADORES'!E109*'3 INDICADORES'!$G$109+'3 INDICADORES'!E110*'3 INDICADORES'!$G$110+'3 INDICADORES'!E111*'3 INDICADORES'!$G$111+'3 INDICADORES'!E112*'3 INDICADORES'!$G$112)/('3 INDICADORES'!E102*8)*0.3),0)</f>
        <v>0</v>
      </c>
      <c r="H666" s="1088">
        <f>(F666+G666)</f>
        <v>0.7</v>
      </c>
      <c r="I666" s="378"/>
      <c r="J666" s="378"/>
      <c r="K666" s="378"/>
      <c r="L666" s="378"/>
      <c r="M666" s="378"/>
      <c r="N666" s="378"/>
      <c r="O666" s="378"/>
      <c r="P666" s="378"/>
      <c r="Q666" s="378"/>
      <c r="R666" s="378"/>
      <c r="S666" s="378"/>
      <c r="T666" s="378"/>
      <c r="U666" s="378"/>
      <c r="V666" s="378"/>
      <c r="W666" s="378"/>
      <c r="X666" s="378"/>
      <c r="Y666" s="378"/>
      <c r="Z666" s="378"/>
      <c r="AA666" s="378"/>
      <c r="AB666" s="378"/>
      <c r="AC666" s="378"/>
      <c r="AD666" s="378"/>
      <c r="AE666" s="378"/>
      <c r="AF666" s="378"/>
      <c r="AG666" s="378"/>
      <c r="AH666" s="378"/>
      <c r="AI666" s="378"/>
      <c r="AJ666" s="378"/>
      <c r="AK666" s="378"/>
      <c r="AL666" s="378"/>
      <c r="AM666" s="378"/>
      <c r="AN666" s="378"/>
      <c r="AO666" s="378"/>
      <c r="AP666" s="378"/>
      <c r="AQ666" s="378"/>
      <c r="AR666" s="378"/>
      <c r="AS666" s="378"/>
      <c r="AT666" s="378"/>
      <c r="AU666" s="378"/>
    </row>
    <row r="667" spans="1:47" ht="23.25" x14ac:dyDescent="0.25">
      <c r="A667" s="750"/>
      <c r="B667" s="1077" t="str">
        <f>+'3 INDICADORES'!B106:D106</f>
        <v>7.5 - Auxílio alimentação</v>
      </c>
      <c r="C667" s="1066">
        <v>1</v>
      </c>
      <c r="D667" s="378"/>
      <c r="E667" s="378"/>
      <c r="F667" s="1088">
        <f>IF('3 INDICADORES'!F102&gt;0,((('3 INDICADORES'!F103*'3 INDICADORES'!$G$103+'3 INDICADORES'!F104*'3 INDICADORES'!$G$104)/('3 INDICADORES'!F102*2))*0.7),0.7)</f>
        <v>0.7</v>
      </c>
      <c r="G667" s="1088">
        <f>IF('3 INDICADORES'!F102&gt;0,(('3 INDICADORES'!F105*'3 INDICADORES'!$G$105+'3 INDICADORES'!F106*'3 INDICADORES'!$G$106+'3 INDICADORES'!F107*'3 INDICADORES'!$G$107+'3 INDICADORES'!F108*'3 INDICADORES'!$G$108+'3 INDICADORES'!F109*'3 INDICADORES'!$G$109+'3 INDICADORES'!F110*'3 INDICADORES'!$G$110+'3 INDICADORES'!F111*'3 INDICADORES'!$G$111+'3 INDICADORES'!F112*'3 INDICADORES'!$G$112)/('3 INDICADORES'!F102*8)*0.3),0)</f>
        <v>0</v>
      </c>
      <c r="H667" s="1088">
        <f>(F667+G667)</f>
        <v>0.7</v>
      </c>
      <c r="I667" s="378"/>
      <c r="J667" s="378"/>
      <c r="K667" s="378"/>
      <c r="L667" s="378"/>
      <c r="M667" s="378"/>
      <c r="N667" s="378"/>
      <c r="O667" s="378"/>
      <c r="P667" s="378"/>
      <c r="Q667" s="378"/>
      <c r="R667" s="378"/>
      <c r="S667" s="378"/>
      <c r="T667" s="378"/>
      <c r="U667" s="378"/>
      <c r="V667" s="378"/>
      <c r="W667" s="378"/>
      <c r="X667" s="378"/>
      <c r="Y667" s="378"/>
      <c r="Z667" s="378"/>
      <c r="AA667" s="378"/>
      <c r="AB667" s="378"/>
      <c r="AC667" s="378"/>
      <c r="AD667" s="378"/>
      <c r="AE667" s="378"/>
      <c r="AF667" s="378"/>
      <c r="AG667" s="378"/>
      <c r="AH667" s="378"/>
      <c r="AI667" s="378"/>
      <c r="AJ667" s="378"/>
      <c r="AK667" s="378"/>
      <c r="AL667" s="378"/>
      <c r="AM667" s="378"/>
      <c r="AN667" s="378"/>
      <c r="AO667" s="378"/>
      <c r="AP667" s="378"/>
      <c r="AQ667" s="378"/>
      <c r="AR667" s="378"/>
      <c r="AS667" s="378"/>
      <c r="AT667" s="378"/>
      <c r="AU667" s="378"/>
    </row>
    <row r="668" spans="1:47" ht="23.25" x14ac:dyDescent="0.25">
      <c r="A668" s="750"/>
      <c r="B668" s="1077" t="str">
        <f>+'3 INDICADORES'!B107:D107</f>
        <v>7.6 - Auxílio moradia</v>
      </c>
      <c r="C668" s="1066">
        <v>1</v>
      </c>
      <c r="D668" s="378"/>
      <c r="E668" s="378"/>
      <c r="F668" s="1092">
        <f>+H666</f>
        <v>0.7</v>
      </c>
      <c r="G668" s="1092">
        <f>IF('3 INDICADORES'!F102&gt;0,(H667+F668)/2,F668)</f>
        <v>0.7</v>
      </c>
      <c r="H668" s="1093">
        <f>IF(SUM('3 INDICADORES'!E102:F102)=0,0.7,'GUIA DE APLICAÇÃO'!G668)</f>
        <v>0.7</v>
      </c>
      <c r="I668" s="378"/>
      <c r="J668" s="378"/>
      <c r="K668" s="378"/>
      <c r="L668" s="378"/>
      <c r="M668" s="378"/>
      <c r="N668" s="378"/>
      <c r="O668" s="378"/>
      <c r="P668" s="378"/>
      <c r="Q668" s="378"/>
      <c r="R668" s="378"/>
      <c r="S668" s="378"/>
      <c r="T668" s="378"/>
      <c r="U668" s="378"/>
      <c r="V668" s="378"/>
      <c r="W668" s="378"/>
      <c r="X668" s="378"/>
      <c r="Y668" s="378"/>
      <c r="Z668" s="378"/>
      <c r="AA668" s="378"/>
      <c r="AB668" s="378"/>
      <c r="AC668" s="378"/>
      <c r="AD668" s="378"/>
      <c r="AE668" s="378"/>
      <c r="AF668" s="378"/>
      <c r="AG668" s="378"/>
      <c r="AH668" s="378"/>
      <c r="AI668" s="378"/>
      <c r="AJ668" s="378"/>
      <c r="AK668" s="378"/>
      <c r="AL668" s="378"/>
      <c r="AM668" s="378"/>
      <c r="AN668" s="378"/>
      <c r="AO668" s="378"/>
      <c r="AP668" s="378"/>
      <c r="AQ668" s="378"/>
      <c r="AR668" s="378"/>
      <c r="AS668" s="378"/>
      <c r="AT668" s="378"/>
      <c r="AU668" s="378"/>
    </row>
    <row r="669" spans="1:47" ht="34.5" x14ac:dyDescent="0.25">
      <c r="A669" s="750"/>
      <c r="B669" s="1077" t="str">
        <f>+'3 INDICADORES'!B108:D108</f>
        <v>7.7 - Auxílio educação e transporte</v>
      </c>
      <c r="C669" s="1066">
        <v>1</v>
      </c>
      <c r="D669" s="378"/>
      <c r="E669" s="378"/>
      <c r="F669" s="973"/>
      <c r="G669" s="973"/>
      <c r="H669" s="973"/>
      <c r="I669" s="378"/>
      <c r="J669" s="378"/>
      <c r="K669" s="378"/>
      <c r="L669" s="378"/>
      <c r="M669" s="378"/>
      <c r="N669" s="378"/>
      <c r="O669" s="378"/>
      <c r="P669" s="378"/>
      <c r="Q669" s="378"/>
      <c r="R669" s="378"/>
      <c r="S669" s="378"/>
      <c r="T669" s="378"/>
      <c r="U669" s="378"/>
      <c r="V669" s="378"/>
      <c r="W669" s="378"/>
      <c r="X669" s="378"/>
      <c r="Y669" s="378"/>
      <c r="Z669" s="378"/>
      <c r="AA669" s="378"/>
      <c r="AB669" s="378"/>
      <c r="AC669" s="378"/>
      <c r="AD669" s="378"/>
      <c r="AE669" s="378"/>
      <c r="AF669" s="378"/>
      <c r="AG669" s="378"/>
      <c r="AH669" s="378"/>
      <c r="AI669" s="378"/>
      <c r="AJ669" s="378"/>
      <c r="AK669" s="378"/>
      <c r="AL669" s="378"/>
      <c r="AM669" s="378"/>
      <c r="AN669" s="378"/>
      <c r="AO669" s="378"/>
      <c r="AP669" s="378"/>
      <c r="AQ669" s="378"/>
      <c r="AR669" s="378"/>
      <c r="AS669" s="378"/>
      <c r="AT669" s="378"/>
      <c r="AU669" s="378"/>
    </row>
    <row r="670" spans="1:47" ht="34.5" x14ac:dyDescent="0.25">
      <c r="A670" s="750"/>
      <c r="B670" s="1077" t="str">
        <f>+'3 INDICADORES'!B109:D109</f>
        <v>7.8 - Participação nos lucros</v>
      </c>
      <c r="C670" s="1066">
        <v>5</v>
      </c>
      <c r="D670" s="378"/>
      <c r="E670" s="378"/>
      <c r="F670" s="3"/>
      <c r="G670" s="3"/>
      <c r="H670" s="3"/>
      <c r="I670" s="378"/>
      <c r="J670" s="378"/>
      <c r="K670" s="378"/>
      <c r="L670" s="378"/>
      <c r="M670" s="378"/>
      <c r="N670" s="378"/>
      <c r="O670" s="378"/>
      <c r="P670" s="378"/>
      <c r="Q670" s="378"/>
      <c r="R670" s="378"/>
      <c r="S670" s="378"/>
      <c r="T670" s="378"/>
      <c r="U670" s="378"/>
      <c r="V670" s="378"/>
      <c r="W670" s="378"/>
      <c r="X670" s="378"/>
      <c r="Y670" s="378"/>
      <c r="Z670" s="378"/>
      <c r="AA670" s="378"/>
      <c r="AB670" s="378"/>
      <c r="AC670" s="378"/>
      <c r="AD670" s="378"/>
      <c r="AE670" s="378"/>
      <c r="AF670" s="378"/>
      <c r="AG670" s="378"/>
      <c r="AH670" s="378"/>
      <c r="AI670" s="378"/>
      <c r="AJ670" s="378"/>
      <c r="AK670" s="378"/>
      <c r="AL670" s="378"/>
      <c r="AM670" s="378"/>
      <c r="AN670" s="378"/>
      <c r="AO670" s="378"/>
      <c r="AP670" s="378"/>
      <c r="AQ670" s="378"/>
      <c r="AR670" s="378"/>
      <c r="AS670" s="378"/>
      <c r="AT670" s="378"/>
      <c r="AU670" s="378"/>
    </row>
    <row r="671" spans="1:47" ht="34.5" x14ac:dyDescent="0.25">
      <c r="A671" s="750"/>
      <c r="B671" s="1077" t="str">
        <f>+'3 INDICADORES'!B110:D110</f>
        <v>7.9 - Seguro contra acidentes</v>
      </c>
      <c r="C671" s="1066">
        <v>3</v>
      </c>
      <c r="D671" s="378"/>
      <c r="E671" s="378"/>
      <c r="F671" s="378"/>
      <c r="G671" s="378"/>
      <c r="H671" s="378"/>
      <c r="I671" s="378"/>
      <c r="J671" s="378"/>
      <c r="K671" s="378"/>
      <c r="L671" s="378"/>
      <c r="M671" s="378"/>
      <c r="N671" s="378"/>
      <c r="O671" s="378"/>
      <c r="P671" s="378"/>
      <c r="Q671" s="378"/>
      <c r="R671" s="378"/>
      <c r="S671" s="378"/>
      <c r="T671" s="378"/>
      <c r="U671" s="378"/>
      <c r="V671" s="378"/>
      <c r="W671" s="378"/>
      <c r="X671" s="378"/>
      <c r="Y671" s="378"/>
      <c r="Z671" s="378"/>
      <c r="AA671" s="378"/>
      <c r="AB671" s="378"/>
      <c r="AC671" s="378"/>
      <c r="AD671" s="378"/>
      <c r="AE671" s="378"/>
      <c r="AF671" s="378"/>
      <c r="AG671" s="378"/>
      <c r="AH671" s="378"/>
      <c r="AI671" s="378"/>
      <c r="AJ671" s="378"/>
      <c r="AK671" s="378"/>
      <c r="AL671" s="378"/>
      <c r="AM671" s="378"/>
      <c r="AN671" s="378"/>
      <c r="AO671" s="378"/>
      <c r="AP671" s="378"/>
      <c r="AQ671" s="378"/>
      <c r="AR671" s="378"/>
      <c r="AS671" s="378"/>
      <c r="AT671" s="378"/>
      <c r="AU671" s="378"/>
    </row>
    <row r="672" spans="1:47" ht="23.25" x14ac:dyDescent="0.25">
      <c r="A672" s="750"/>
      <c r="B672" s="1077" t="str">
        <f>+'3 INDICADORES'!B111:D111</f>
        <v>7.10- Acesso a lazer</v>
      </c>
      <c r="C672" s="1066">
        <v>1</v>
      </c>
      <c r="D672" s="378"/>
      <c r="E672" s="378"/>
      <c r="F672" s="378"/>
      <c r="G672" s="378"/>
      <c r="H672" s="378"/>
      <c r="I672" s="378"/>
      <c r="J672" s="378"/>
      <c r="K672" s="378"/>
      <c r="L672" s="378"/>
      <c r="M672" s="378"/>
      <c r="N672" s="378"/>
      <c r="O672" s="378"/>
      <c r="P672" s="378"/>
      <c r="Q672" s="378"/>
      <c r="R672" s="378"/>
      <c r="S672" s="378"/>
      <c r="T672" s="378"/>
      <c r="U672" s="378"/>
      <c r="V672" s="378"/>
      <c r="W672" s="378"/>
      <c r="X672" s="378"/>
      <c r="Y672" s="378"/>
      <c r="Z672" s="378"/>
      <c r="AA672" s="378"/>
      <c r="AB672" s="378"/>
      <c r="AC672" s="378"/>
      <c r="AD672" s="378"/>
      <c r="AE672" s="378"/>
      <c r="AF672" s="378"/>
      <c r="AG672" s="378"/>
      <c r="AH672" s="378"/>
      <c r="AI672" s="378"/>
      <c r="AJ672" s="378"/>
      <c r="AK672" s="378"/>
      <c r="AL672" s="378"/>
      <c r="AM672" s="378"/>
      <c r="AN672" s="378"/>
      <c r="AO672" s="378"/>
      <c r="AP672" s="378"/>
      <c r="AQ672" s="378"/>
      <c r="AR672" s="378"/>
      <c r="AS672" s="378"/>
      <c r="AT672" s="378"/>
      <c r="AU672" s="378"/>
    </row>
    <row r="673" spans="1:47" ht="34.5" x14ac:dyDescent="0.25">
      <c r="A673" s="750"/>
      <c r="B673" s="1077" t="str">
        <f>+'3 INDICADORES'!B112:D112</f>
        <v xml:space="preserve">7.11 - Espaço para cultivo de alimentos </v>
      </c>
      <c r="C673" s="1066">
        <v>3</v>
      </c>
      <c r="D673" s="378"/>
      <c r="E673" s="378"/>
      <c r="F673" s="378"/>
      <c r="G673" s="378"/>
      <c r="H673" s="378"/>
      <c r="I673" s="378"/>
      <c r="J673" s="378"/>
      <c r="K673" s="378"/>
      <c r="L673" s="378"/>
      <c r="M673" s="378"/>
      <c r="N673" s="378"/>
      <c r="O673" s="378"/>
      <c r="P673" s="378"/>
      <c r="Q673" s="378"/>
      <c r="R673" s="378"/>
      <c r="S673" s="378"/>
      <c r="T673" s="378"/>
      <c r="U673" s="378"/>
      <c r="V673" s="378"/>
      <c r="W673" s="378"/>
      <c r="X673" s="378"/>
      <c r="Y673" s="378"/>
      <c r="Z673" s="378"/>
      <c r="AA673" s="378"/>
      <c r="AB673" s="378"/>
      <c r="AC673" s="378"/>
      <c r="AD673" s="378"/>
      <c r="AE673" s="378"/>
      <c r="AF673" s="378"/>
      <c r="AG673" s="378"/>
      <c r="AH673" s="378"/>
      <c r="AI673" s="378"/>
      <c r="AJ673" s="378"/>
      <c r="AK673" s="378"/>
      <c r="AL673" s="378"/>
      <c r="AM673" s="378"/>
      <c r="AN673" s="378"/>
      <c r="AO673" s="378"/>
      <c r="AP673" s="378"/>
      <c r="AQ673" s="378"/>
      <c r="AR673" s="378"/>
      <c r="AS673" s="378"/>
      <c r="AT673" s="378"/>
      <c r="AU673" s="378"/>
    </row>
    <row r="674" spans="1:47" x14ac:dyDescent="0.25">
      <c r="A674" s="750"/>
      <c r="B674" s="378"/>
      <c r="C674" s="378"/>
      <c r="D674" s="378"/>
      <c r="E674" s="378"/>
      <c r="F674" s="378"/>
      <c r="G674" s="378"/>
      <c r="H674" s="378"/>
      <c r="I674" s="378"/>
      <c r="J674" s="378"/>
      <c r="K674" s="378"/>
      <c r="L674" s="378"/>
      <c r="M674" s="378"/>
      <c r="N674" s="378"/>
      <c r="O674" s="378"/>
      <c r="P674" s="378"/>
      <c r="Q674" s="378"/>
      <c r="R674" s="378"/>
      <c r="S674" s="378"/>
      <c r="T674" s="378"/>
      <c r="U674" s="378"/>
      <c r="V674" s="378"/>
      <c r="W674" s="378"/>
      <c r="X674" s="378"/>
      <c r="Y674" s="378"/>
      <c r="Z674" s="378"/>
      <c r="AA674" s="378"/>
      <c r="AB674" s="378"/>
      <c r="AC674" s="378"/>
      <c r="AD674" s="378"/>
      <c r="AE674" s="378"/>
      <c r="AF674" s="378"/>
      <c r="AG674" s="378"/>
      <c r="AH674" s="378"/>
      <c r="AI674" s="378"/>
      <c r="AJ674" s="378"/>
      <c r="AK674" s="378"/>
      <c r="AL674" s="378"/>
      <c r="AM674" s="378"/>
      <c r="AN674" s="378"/>
      <c r="AO674" s="378"/>
      <c r="AP674" s="378"/>
      <c r="AQ674" s="378"/>
      <c r="AR674" s="378"/>
      <c r="AS674" s="378"/>
      <c r="AT674" s="378"/>
      <c r="AU674" s="378"/>
    </row>
    <row r="675" spans="1:47" s="532" customFormat="1" x14ac:dyDescent="0.25">
      <c r="A675" s="750"/>
      <c r="B675" s="378"/>
      <c r="C675" s="378"/>
      <c r="D675" s="378"/>
      <c r="E675" s="378"/>
      <c r="F675" s="378"/>
      <c r="G675" s="378"/>
      <c r="H675" s="378"/>
      <c r="I675" s="378"/>
      <c r="J675" s="378"/>
      <c r="K675" s="378"/>
      <c r="L675" s="378"/>
      <c r="M675" s="378"/>
      <c r="N675" s="378"/>
      <c r="O675" s="378"/>
      <c r="P675" s="378"/>
      <c r="Q675" s="378"/>
      <c r="R675" s="378"/>
      <c r="S675" s="378"/>
      <c r="T675" s="378"/>
      <c r="U675" s="378"/>
      <c r="V675" s="378"/>
      <c r="W675" s="378"/>
      <c r="X675" s="378"/>
      <c r="Y675" s="378"/>
      <c r="Z675" s="378"/>
      <c r="AA675" s="378"/>
      <c r="AB675" s="378"/>
      <c r="AC675" s="378"/>
      <c r="AD675" s="378"/>
      <c r="AE675" s="378"/>
      <c r="AF675" s="378"/>
      <c r="AG675" s="378"/>
      <c r="AH675" s="378"/>
      <c r="AI675" s="378"/>
      <c r="AJ675" s="378"/>
      <c r="AK675" s="378"/>
      <c r="AL675" s="378"/>
      <c r="AM675" s="378"/>
      <c r="AN675" s="378"/>
      <c r="AO675" s="378"/>
      <c r="AP675" s="378"/>
      <c r="AQ675" s="378"/>
      <c r="AR675" s="378"/>
      <c r="AS675" s="378"/>
      <c r="AT675" s="378"/>
      <c r="AU675" s="378"/>
    </row>
    <row r="676" spans="1:47" s="532" customFormat="1" x14ac:dyDescent="0.25">
      <c r="A676" s="750"/>
      <c r="B676" s="378"/>
      <c r="C676" s="378"/>
      <c r="D676" s="378"/>
      <c r="E676" s="378"/>
      <c r="F676" s="378"/>
      <c r="G676" s="378"/>
      <c r="H676" s="378"/>
      <c r="I676" s="378"/>
      <c r="J676" s="378"/>
      <c r="K676" s="378"/>
      <c r="L676" s="378"/>
      <c r="M676" s="378"/>
      <c r="N676" s="378"/>
      <c r="O676" s="378"/>
      <c r="P676" s="378"/>
      <c r="Q676" s="378"/>
      <c r="R676" s="378"/>
      <c r="S676" s="378"/>
      <c r="T676" s="378"/>
      <c r="U676" s="378"/>
      <c r="V676" s="378"/>
      <c r="W676" s="378"/>
      <c r="X676" s="378"/>
      <c r="Y676" s="378"/>
      <c r="Z676" s="378"/>
      <c r="AA676" s="378"/>
      <c r="AB676" s="378"/>
      <c r="AC676" s="378"/>
      <c r="AD676" s="378"/>
      <c r="AE676" s="378"/>
      <c r="AF676" s="378"/>
      <c r="AG676" s="378"/>
      <c r="AH676" s="378"/>
      <c r="AI676" s="378"/>
      <c r="AJ676" s="378"/>
      <c r="AK676" s="378"/>
      <c r="AL676" s="378"/>
      <c r="AM676" s="378"/>
      <c r="AN676" s="378"/>
      <c r="AO676" s="378"/>
      <c r="AP676" s="378"/>
      <c r="AQ676" s="378"/>
      <c r="AR676" s="378"/>
      <c r="AS676" s="378"/>
      <c r="AT676" s="378"/>
      <c r="AU676" s="378"/>
    </row>
    <row r="677" spans="1:47" s="532" customFormat="1" x14ac:dyDescent="0.25">
      <c r="A677" s="750"/>
      <c r="B677" s="378"/>
      <c r="C677" s="378"/>
      <c r="D677" s="378"/>
      <c r="E677" s="378"/>
      <c r="F677" s="378"/>
      <c r="G677" s="378"/>
      <c r="H677" s="378"/>
      <c r="I677" s="378"/>
      <c r="J677" s="378"/>
      <c r="K677" s="378"/>
      <c r="L677" s="378"/>
      <c r="M677" s="378"/>
      <c r="N677" s="378"/>
      <c r="O677" s="378"/>
      <c r="P677" s="378"/>
      <c r="Q677" s="378"/>
      <c r="R677" s="378"/>
      <c r="S677" s="378"/>
      <c r="T677" s="378"/>
      <c r="U677" s="378"/>
      <c r="V677" s="378"/>
      <c r="W677" s="378"/>
      <c r="X677" s="378"/>
      <c r="Y677" s="378"/>
      <c r="Z677" s="378"/>
      <c r="AA677" s="378"/>
      <c r="AB677" s="378"/>
      <c r="AC677" s="378"/>
      <c r="AD677" s="378"/>
      <c r="AE677" s="378"/>
      <c r="AF677" s="378"/>
      <c r="AG677" s="378"/>
      <c r="AH677" s="378"/>
      <c r="AI677" s="378"/>
      <c r="AJ677" s="378"/>
      <c r="AK677" s="378"/>
      <c r="AL677" s="378"/>
      <c r="AM677" s="378"/>
      <c r="AN677" s="378"/>
      <c r="AO677" s="378"/>
      <c r="AP677" s="378"/>
      <c r="AQ677" s="378"/>
      <c r="AR677" s="378"/>
      <c r="AS677" s="378"/>
      <c r="AT677" s="378"/>
      <c r="AU677" s="378"/>
    </row>
    <row r="678" spans="1:47" s="532" customFormat="1" x14ac:dyDescent="0.25">
      <c r="A678" s="750"/>
      <c r="B678" s="378"/>
      <c r="C678" s="378"/>
      <c r="D678" s="378"/>
      <c r="E678" s="378"/>
      <c r="F678" s="378"/>
      <c r="G678" s="378"/>
      <c r="H678" s="378"/>
      <c r="I678" s="378"/>
      <c r="J678" s="378"/>
      <c r="K678" s="378"/>
      <c r="L678" s="378"/>
      <c r="M678" s="378"/>
      <c r="N678" s="378"/>
      <c r="O678" s="378"/>
      <c r="P678" s="378"/>
      <c r="Q678" s="378"/>
      <c r="R678" s="378"/>
      <c r="S678" s="378"/>
      <c r="T678" s="378"/>
      <c r="U678" s="378"/>
      <c r="V678" s="378"/>
      <c r="W678" s="378"/>
      <c r="X678" s="378"/>
      <c r="Y678" s="378"/>
      <c r="Z678" s="378"/>
      <c r="AA678" s="378"/>
      <c r="AB678" s="378"/>
      <c r="AC678" s="378"/>
      <c r="AD678" s="378"/>
      <c r="AE678" s="378"/>
      <c r="AF678" s="378"/>
      <c r="AG678" s="378"/>
      <c r="AH678" s="378"/>
      <c r="AI678" s="378"/>
      <c r="AJ678" s="378"/>
      <c r="AK678" s="378"/>
      <c r="AL678" s="378"/>
      <c r="AM678" s="378"/>
      <c r="AN678" s="378"/>
      <c r="AO678" s="378"/>
      <c r="AP678" s="378"/>
      <c r="AQ678" s="378"/>
      <c r="AR678" s="378"/>
      <c r="AS678" s="378"/>
      <c r="AT678" s="378"/>
      <c r="AU678" s="378"/>
    </row>
    <row r="679" spans="1:47" s="532" customFormat="1" x14ac:dyDescent="0.25">
      <c r="A679" s="750"/>
      <c r="B679" s="378"/>
      <c r="C679" s="378"/>
      <c r="D679" s="378"/>
      <c r="E679" s="378"/>
      <c r="F679" s="378"/>
      <c r="G679" s="378"/>
      <c r="H679" s="378"/>
      <c r="I679" s="378"/>
      <c r="J679" s="378"/>
      <c r="K679" s="378"/>
      <c r="L679" s="378"/>
      <c r="M679" s="378"/>
      <c r="N679" s="378"/>
      <c r="O679" s="378"/>
      <c r="P679" s="378"/>
      <c r="Q679" s="378"/>
      <c r="R679" s="378"/>
      <c r="S679" s="378"/>
      <c r="T679" s="378"/>
      <c r="U679" s="378"/>
      <c r="V679" s="378"/>
      <c r="W679" s="378"/>
      <c r="X679" s="378"/>
      <c r="Y679" s="378"/>
      <c r="Z679" s="378"/>
      <c r="AA679" s="378"/>
      <c r="AB679" s="378"/>
      <c r="AC679" s="378"/>
      <c r="AD679" s="378"/>
      <c r="AE679" s="378"/>
      <c r="AF679" s="378"/>
      <c r="AG679" s="378"/>
      <c r="AH679" s="378"/>
      <c r="AI679" s="378"/>
      <c r="AJ679" s="378"/>
      <c r="AK679" s="378"/>
      <c r="AL679" s="378"/>
      <c r="AM679" s="378"/>
      <c r="AN679" s="378"/>
      <c r="AO679" s="378"/>
      <c r="AP679" s="378"/>
      <c r="AQ679" s="378"/>
      <c r="AR679" s="378"/>
      <c r="AS679" s="378"/>
      <c r="AT679" s="378"/>
      <c r="AU679" s="378"/>
    </row>
    <row r="680" spans="1:47" s="532" customFormat="1" x14ac:dyDescent="0.25">
      <c r="A680" s="750"/>
      <c r="B680" s="378"/>
      <c r="C680" s="378"/>
      <c r="D680" s="378"/>
      <c r="E680" s="378"/>
      <c r="F680" s="378"/>
      <c r="G680" s="378"/>
      <c r="H680" s="378"/>
      <c r="I680" s="378"/>
      <c r="J680" s="378"/>
      <c r="K680" s="378"/>
      <c r="L680" s="378"/>
      <c r="M680" s="378"/>
      <c r="N680" s="378"/>
      <c r="O680" s="378"/>
      <c r="P680" s="378"/>
      <c r="Q680" s="378"/>
      <c r="R680" s="378"/>
      <c r="S680" s="378"/>
      <c r="T680" s="378"/>
      <c r="U680" s="378"/>
      <c r="V680" s="378"/>
      <c r="W680" s="378"/>
      <c r="X680" s="378"/>
      <c r="Y680" s="378"/>
      <c r="Z680" s="378"/>
      <c r="AA680" s="378"/>
      <c r="AB680" s="378"/>
      <c r="AC680" s="378"/>
      <c r="AD680" s="378"/>
      <c r="AE680" s="378"/>
      <c r="AF680" s="378"/>
      <c r="AG680" s="378"/>
      <c r="AH680" s="378"/>
      <c r="AI680" s="378"/>
      <c r="AJ680" s="378"/>
      <c r="AK680" s="378"/>
      <c r="AL680" s="378"/>
      <c r="AM680" s="378"/>
      <c r="AN680" s="378"/>
      <c r="AO680" s="378"/>
      <c r="AP680" s="378"/>
      <c r="AQ680" s="378"/>
      <c r="AR680" s="378"/>
      <c r="AS680" s="378"/>
      <c r="AT680" s="378"/>
      <c r="AU680" s="378"/>
    </row>
    <row r="681" spans="1:47" ht="21" x14ac:dyDescent="0.35">
      <c r="A681" s="749">
        <v>8</v>
      </c>
      <c r="B681" s="2012" t="s">
        <v>799</v>
      </c>
      <c r="C681" s="2012"/>
      <c r="D681" s="378"/>
      <c r="E681" s="378"/>
      <c r="F681" s="1983" t="s">
        <v>766</v>
      </c>
      <c r="G681" s="1984"/>
      <c r="H681" s="1985"/>
      <c r="I681" s="378"/>
      <c r="J681" s="378"/>
      <c r="K681" s="378"/>
      <c r="L681" s="378"/>
      <c r="M681" s="378"/>
      <c r="N681" s="378"/>
      <c r="O681" s="378"/>
      <c r="P681" s="378"/>
      <c r="Q681" s="378"/>
      <c r="R681" s="378"/>
      <c r="S681" s="378"/>
      <c r="T681" s="378"/>
      <c r="U681" s="378"/>
      <c r="V681" s="378"/>
      <c r="W681" s="378"/>
      <c r="X681" s="378"/>
      <c r="Y681" s="378"/>
      <c r="Z681" s="378"/>
      <c r="AA681" s="378"/>
      <c r="AB681" s="378"/>
      <c r="AC681" s="378"/>
      <c r="AD681" s="378"/>
      <c r="AE681" s="378"/>
      <c r="AF681" s="378"/>
      <c r="AG681" s="378"/>
      <c r="AH681" s="378"/>
      <c r="AI681" s="378"/>
      <c r="AJ681" s="378"/>
      <c r="AK681" s="378"/>
      <c r="AL681" s="378"/>
      <c r="AM681" s="378"/>
      <c r="AN681" s="378"/>
      <c r="AO681" s="378"/>
      <c r="AP681" s="378"/>
      <c r="AQ681" s="378"/>
      <c r="AR681" s="378"/>
      <c r="AS681" s="378"/>
      <c r="AT681" s="378"/>
      <c r="AU681" s="378"/>
    </row>
    <row r="682" spans="1:47" ht="45.75" customHeight="1" x14ac:dyDescent="0.25">
      <c r="A682" s="750"/>
      <c r="B682" s="1077" t="str">
        <f>+'3 INDICADORES'!C120</f>
        <v>8.1 - Fluxo de caixa (receita/despesa)</v>
      </c>
      <c r="C682" s="1066">
        <v>0.5</v>
      </c>
      <c r="D682" s="378"/>
      <c r="E682" s="378"/>
      <c r="F682" s="2156" t="s">
        <v>841</v>
      </c>
      <c r="G682" s="2157"/>
      <c r="H682" s="2158"/>
      <c r="I682" s="378"/>
      <c r="J682" s="378"/>
      <c r="K682" s="378"/>
      <c r="L682" s="378"/>
      <c r="M682" s="378"/>
      <c r="N682" s="378"/>
      <c r="O682" s="378"/>
      <c r="P682" s="378"/>
      <c r="Q682" s="378"/>
      <c r="R682" s="378"/>
      <c r="S682" s="378"/>
      <c r="T682" s="378"/>
      <c r="U682" s="378"/>
      <c r="V682" s="378"/>
      <c r="W682" s="378"/>
      <c r="X682" s="378"/>
      <c r="Y682" s="378"/>
      <c r="Z682" s="378"/>
      <c r="AA682" s="378"/>
      <c r="AB682" s="378"/>
      <c r="AC682" s="378"/>
      <c r="AD682" s="378"/>
      <c r="AE682" s="378"/>
      <c r="AF682" s="378"/>
      <c r="AG682" s="378"/>
      <c r="AH682" s="378"/>
      <c r="AI682" s="378"/>
      <c r="AJ682" s="378"/>
      <c r="AK682" s="378"/>
      <c r="AL682" s="378"/>
      <c r="AM682" s="378"/>
      <c r="AN682" s="378"/>
      <c r="AO682" s="378"/>
      <c r="AP682" s="378"/>
      <c r="AQ682" s="378"/>
      <c r="AR682" s="378"/>
      <c r="AS682" s="378"/>
      <c r="AT682" s="378"/>
      <c r="AU682" s="378"/>
    </row>
    <row r="683" spans="1:47" ht="34.5" x14ac:dyDescent="0.25">
      <c r="A683" s="750"/>
      <c r="B683" s="1077" t="str">
        <f>+'3 INDICADORES'!C121</f>
        <v>8.2 - Custo de produção das atividades</v>
      </c>
      <c r="C683" s="1066">
        <v>0.5</v>
      </c>
      <c r="D683" s="378"/>
      <c r="E683" s="378"/>
      <c r="F683" s="549"/>
      <c r="G683" s="549"/>
      <c r="H683" s="549"/>
      <c r="I683" s="378"/>
      <c r="J683" s="378"/>
      <c r="K683" s="378"/>
      <c r="L683" s="378"/>
      <c r="M683" s="378"/>
      <c r="N683" s="378"/>
      <c r="O683" s="378"/>
      <c r="P683" s="378"/>
      <c r="Q683" s="378"/>
      <c r="R683" s="378"/>
      <c r="S683" s="378"/>
      <c r="T683" s="378"/>
      <c r="U683" s="378"/>
      <c r="V683" s="378"/>
      <c r="W683" s="378"/>
      <c r="X683" s="378"/>
      <c r="Y683" s="378"/>
      <c r="Z683" s="378"/>
      <c r="AA683" s="378"/>
      <c r="AB683" s="378"/>
      <c r="AC683" s="378"/>
      <c r="AD683" s="378"/>
      <c r="AE683" s="378"/>
      <c r="AF683" s="378"/>
      <c r="AG683" s="378"/>
      <c r="AH683" s="378"/>
      <c r="AI683" s="378"/>
      <c r="AJ683" s="378"/>
      <c r="AK683" s="378"/>
      <c r="AL683" s="378"/>
      <c r="AM683" s="378"/>
      <c r="AN683" s="378"/>
      <c r="AO683" s="378"/>
      <c r="AP683" s="378"/>
      <c r="AQ683" s="378"/>
      <c r="AR683" s="378"/>
      <c r="AS683" s="378"/>
      <c r="AT683" s="378"/>
      <c r="AU683" s="378"/>
    </row>
    <row r="684" spans="1:47" ht="48" customHeight="1" x14ac:dyDescent="0.25">
      <c r="A684" s="750"/>
      <c r="B684" s="1077" t="str">
        <f>+'3 INDICADORES'!B122:D122</f>
        <v>8.3 - Acesso à assistência técnica (particular ou pública)*</v>
      </c>
      <c r="C684" s="1066">
        <v>1</v>
      </c>
      <c r="D684" s="378"/>
      <c r="E684" s="378"/>
      <c r="F684" s="549"/>
      <c r="G684" s="549"/>
      <c r="H684" s="549"/>
      <c r="I684" s="378"/>
      <c r="J684" s="378"/>
      <c r="K684" s="378"/>
      <c r="L684" s="378"/>
      <c r="M684" s="378"/>
      <c r="N684" s="378"/>
      <c r="O684" s="378"/>
      <c r="P684" s="378"/>
      <c r="Q684" s="378"/>
      <c r="R684" s="378"/>
      <c r="S684" s="378"/>
      <c r="T684" s="378"/>
      <c r="U684" s="378"/>
      <c r="V684" s="378"/>
      <c r="W684" s="378"/>
      <c r="X684" s="378"/>
      <c r="Y684" s="378"/>
      <c r="Z684" s="378"/>
      <c r="AA684" s="378"/>
      <c r="AB684" s="378"/>
      <c r="AC684" s="378"/>
      <c r="AD684" s="378"/>
      <c r="AE684" s="378"/>
      <c r="AF684" s="378"/>
      <c r="AG684" s="378"/>
      <c r="AH684" s="378"/>
      <c r="AI684" s="378"/>
      <c r="AJ684" s="378"/>
      <c r="AK684" s="378"/>
      <c r="AL684" s="378"/>
      <c r="AM684" s="378"/>
      <c r="AN684" s="378"/>
      <c r="AO684" s="378"/>
      <c r="AP684" s="378"/>
      <c r="AQ684" s="378"/>
      <c r="AR684" s="378"/>
      <c r="AS684" s="378"/>
      <c r="AT684" s="378"/>
      <c r="AU684" s="378"/>
    </row>
    <row r="685" spans="1:47" ht="68.25" x14ac:dyDescent="0.25">
      <c r="A685" s="750"/>
      <c r="B685" s="1077" t="str">
        <f>+'3 INDICADORES'!B123:D123</f>
        <v>8.4 - Participação - formas associativas - ativa (1) ou passiva (0,5)</v>
      </c>
      <c r="C685" s="1066">
        <v>1</v>
      </c>
      <c r="D685" s="378"/>
      <c r="E685" s="378"/>
      <c r="F685" s="378"/>
      <c r="G685" s="378"/>
      <c r="H685" s="378"/>
      <c r="I685" s="378"/>
      <c r="J685" s="378"/>
      <c r="K685" s="378"/>
      <c r="L685" s="378"/>
      <c r="M685" s="378"/>
      <c r="N685" s="378"/>
      <c r="O685" s="378"/>
      <c r="P685" s="378"/>
      <c r="Q685" s="378"/>
      <c r="R685" s="378"/>
      <c r="S685" s="378"/>
      <c r="T685" s="378"/>
      <c r="U685" s="378"/>
      <c r="V685" s="378"/>
      <c r="W685" s="378"/>
      <c r="X685" s="378"/>
      <c r="Y685" s="378"/>
      <c r="Z685" s="378"/>
      <c r="AA685" s="378"/>
      <c r="AB685" s="378"/>
      <c r="AC685" s="378"/>
      <c r="AD685" s="378"/>
      <c r="AE685" s="378"/>
      <c r="AF685" s="378"/>
      <c r="AG685" s="378"/>
      <c r="AH685" s="378"/>
      <c r="AI685" s="378"/>
      <c r="AJ685" s="378"/>
      <c r="AK685" s="378"/>
      <c r="AL685" s="378"/>
      <c r="AM685" s="378"/>
      <c r="AN685" s="378"/>
      <c r="AO685" s="378"/>
      <c r="AP685" s="378"/>
      <c r="AQ685" s="378"/>
      <c r="AR685" s="378"/>
      <c r="AS685" s="378"/>
      <c r="AT685" s="378"/>
      <c r="AU685" s="378"/>
    </row>
    <row r="686" spans="1:47" ht="79.5" x14ac:dyDescent="0.25">
      <c r="A686" s="750"/>
      <c r="B686" s="1077" t="str">
        <f>+'3 INDICADORES'!B124:D124</f>
        <v>8.5 - Regularização ambiental (uso da água, RL, APP e licenciamento)**</v>
      </c>
      <c r="C686" s="1066">
        <v>1</v>
      </c>
      <c r="D686" s="378"/>
      <c r="E686" s="378"/>
      <c r="F686" s="378"/>
      <c r="G686" s="378"/>
      <c r="H686" s="378"/>
      <c r="I686" s="378"/>
      <c r="J686" s="378"/>
      <c r="K686" s="378"/>
      <c r="L686" s="378"/>
      <c r="M686" s="378"/>
      <c r="N686" s="378"/>
      <c r="O686" s="378"/>
      <c r="P686" s="378"/>
      <c r="Q686" s="378"/>
      <c r="R686" s="378"/>
      <c r="S686" s="378"/>
      <c r="T686" s="378"/>
      <c r="U686" s="378"/>
      <c r="V686" s="378"/>
      <c r="W686" s="378"/>
      <c r="X686" s="378"/>
      <c r="Y686" s="378"/>
      <c r="Z686" s="378"/>
      <c r="AA686" s="378"/>
      <c r="AB686" s="378"/>
      <c r="AC686" s="378"/>
      <c r="AD686" s="378"/>
      <c r="AE686" s="378"/>
      <c r="AF686" s="378"/>
      <c r="AG686" s="378"/>
      <c r="AH686" s="378"/>
      <c r="AI686" s="378"/>
      <c r="AJ686" s="378"/>
      <c r="AK686" s="378"/>
      <c r="AL686" s="378"/>
      <c r="AM686" s="378"/>
      <c r="AN686" s="378"/>
      <c r="AO686" s="378"/>
      <c r="AP686" s="378"/>
      <c r="AQ686" s="378"/>
      <c r="AR686" s="378"/>
      <c r="AS686" s="378"/>
      <c r="AT686" s="378"/>
      <c r="AU686" s="378"/>
    </row>
    <row r="687" spans="1:47" ht="34.5" x14ac:dyDescent="0.25">
      <c r="A687" s="750"/>
      <c r="B687" s="1077" t="str">
        <f>+'3 INDICADORES'!C125</f>
        <v>8.6 - Utiliza crédito para investimento</v>
      </c>
      <c r="C687" s="1066">
        <v>0.4</v>
      </c>
      <c r="D687" s="378"/>
      <c r="E687" s="378"/>
      <c r="F687" s="378"/>
      <c r="G687" s="378"/>
      <c r="H687" s="378"/>
      <c r="I687" s="378"/>
      <c r="J687" s="378"/>
      <c r="K687" s="378"/>
      <c r="L687" s="378"/>
      <c r="M687" s="378"/>
      <c r="N687" s="378"/>
      <c r="O687" s="378"/>
      <c r="P687" s="378"/>
      <c r="Q687" s="378"/>
      <c r="R687" s="378"/>
      <c r="S687" s="378"/>
      <c r="T687" s="378"/>
      <c r="U687" s="378"/>
      <c r="V687" s="378"/>
      <c r="W687" s="378"/>
      <c r="X687" s="378"/>
      <c r="Y687" s="378"/>
      <c r="Z687" s="378"/>
      <c r="AA687" s="378"/>
      <c r="AB687" s="378"/>
      <c r="AC687" s="378"/>
      <c r="AD687" s="378"/>
      <c r="AE687" s="378"/>
      <c r="AF687" s="378"/>
      <c r="AG687" s="378"/>
      <c r="AH687" s="378"/>
      <c r="AI687" s="378"/>
      <c r="AJ687" s="378"/>
      <c r="AK687" s="378"/>
      <c r="AL687" s="378"/>
      <c r="AM687" s="378"/>
      <c r="AN687" s="378"/>
      <c r="AO687" s="378"/>
      <c r="AP687" s="378"/>
      <c r="AQ687" s="378"/>
      <c r="AR687" s="378"/>
      <c r="AS687" s="378"/>
      <c r="AT687" s="378"/>
      <c r="AU687" s="378"/>
    </row>
    <row r="688" spans="1:47" s="532" customFormat="1" ht="34.5" x14ac:dyDescent="0.25">
      <c r="A688" s="750"/>
      <c r="B688" s="1077" t="str">
        <f>+'3 INDICADORES'!C126</f>
        <v>8.7 - Utiliza crédito para custeio</v>
      </c>
      <c r="C688" s="1066">
        <v>0.4</v>
      </c>
      <c r="D688" s="378"/>
      <c r="E688" s="378"/>
      <c r="F688" s="378"/>
      <c r="G688" s="378"/>
      <c r="H688" s="378"/>
      <c r="I688" s="378"/>
      <c r="J688" s="378"/>
      <c r="K688" s="378"/>
      <c r="L688" s="378"/>
      <c r="M688" s="378"/>
      <c r="N688" s="378"/>
      <c r="O688" s="378"/>
      <c r="P688" s="378"/>
      <c r="Q688" s="378"/>
      <c r="R688" s="378"/>
      <c r="S688" s="378"/>
      <c r="T688" s="378"/>
      <c r="U688" s="378"/>
      <c r="V688" s="378"/>
      <c r="W688" s="378"/>
      <c r="X688" s="378"/>
      <c r="Y688" s="378"/>
      <c r="Z688" s="378"/>
      <c r="AA688" s="378"/>
      <c r="AB688" s="378"/>
      <c r="AC688" s="378"/>
      <c r="AD688" s="378"/>
      <c r="AE688" s="378"/>
      <c r="AF688" s="378"/>
      <c r="AG688" s="378"/>
      <c r="AH688" s="378"/>
      <c r="AI688" s="378"/>
      <c r="AJ688" s="378"/>
      <c r="AK688" s="378"/>
      <c r="AL688" s="378"/>
      <c r="AM688" s="378"/>
      <c r="AN688" s="378"/>
      <c r="AO688" s="378"/>
      <c r="AP688" s="378"/>
      <c r="AQ688" s="378"/>
      <c r="AR688" s="378"/>
      <c r="AS688" s="378"/>
      <c r="AT688" s="378"/>
      <c r="AU688" s="378"/>
    </row>
    <row r="689" spans="1:47" ht="45.75" x14ac:dyDescent="0.25">
      <c r="A689" s="750"/>
      <c r="B689" s="1077" t="str">
        <f>+'3 INDICADORES'!C127</f>
        <v>8.8 - Utiliza crédito para comercialização</v>
      </c>
      <c r="C689" s="1066">
        <v>0.2</v>
      </c>
      <c r="D689" s="378"/>
      <c r="E689" s="378"/>
      <c r="F689" s="378"/>
      <c r="G689" s="378"/>
      <c r="H689" s="378"/>
      <c r="I689" s="378"/>
      <c r="J689" s="378"/>
      <c r="K689" s="378"/>
      <c r="L689" s="378"/>
      <c r="M689" s="378"/>
      <c r="N689" s="378"/>
      <c r="O689" s="378"/>
      <c r="P689" s="378"/>
      <c r="Q689" s="378"/>
      <c r="R689" s="378"/>
      <c r="S689" s="378"/>
      <c r="T689" s="378"/>
      <c r="U689" s="378"/>
      <c r="V689" s="378"/>
      <c r="W689" s="378"/>
      <c r="X689" s="378"/>
      <c r="Y689" s="378"/>
      <c r="Z689" s="378"/>
      <c r="AA689" s="378"/>
      <c r="AB689" s="378"/>
      <c r="AC689" s="378"/>
      <c r="AD689" s="378"/>
      <c r="AE689" s="378"/>
      <c r="AF689" s="378"/>
      <c r="AG689" s="378"/>
      <c r="AH689" s="378"/>
      <c r="AI689" s="378"/>
      <c r="AJ689" s="378"/>
      <c r="AK689" s="378"/>
      <c r="AL689" s="378"/>
      <c r="AM689" s="378"/>
      <c r="AN689" s="378"/>
      <c r="AO689" s="378"/>
      <c r="AP689" s="378"/>
      <c r="AQ689" s="378"/>
      <c r="AR689" s="378"/>
      <c r="AS689" s="378"/>
      <c r="AT689" s="378"/>
      <c r="AU689" s="378"/>
    </row>
    <row r="690" spans="1:47" x14ac:dyDescent="0.25">
      <c r="A690" s="750"/>
      <c r="B690" s="378"/>
      <c r="C690" s="378"/>
      <c r="D690" s="378"/>
      <c r="E690" s="378"/>
      <c r="F690" s="378"/>
      <c r="G690" s="378"/>
      <c r="H690" s="378"/>
      <c r="I690" s="378"/>
      <c r="J690" s="378"/>
      <c r="K690" s="378"/>
      <c r="L690" s="378"/>
      <c r="M690" s="378"/>
      <c r="N690" s="378"/>
      <c r="O690" s="378"/>
      <c r="P690" s="378"/>
      <c r="Q690" s="378"/>
      <c r="R690" s="378"/>
      <c r="S690" s="378"/>
      <c r="T690" s="378"/>
      <c r="U690" s="378"/>
      <c r="V690" s="378"/>
      <c r="W690" s="378"/>
      <c r="X690" s="378"/>
      <c r="Y690" s="378"/>
      <c r="Z690" s="378"/>
      <c r="AA690" s="378"/>
      <c r="AB690" s="378"/>
      <c r="AC690" s="378"/>
      <c r="AD690" s="378"/>
      <c r="AE690" s="378"/>
      <c r="AF690" s="378"/>
      <c r="AG690" s="378"/>
      <c r="AH690" s="378"/>
      <c r="AI690" s="378"/>
      <c r="AJ690" s="378"/>
      <c r="AK690" s="378"/>
      <c r="AL690" s="378"/>
      <c r="AM690" s="378"/>
      <c r="AN690" s="378"/>
      <c r="AO690" s="378"/>
      <c r="AP690" s="378"/>
      <c r="AQ690" s="378"/>
      <c r="AR690" s="378"/>
      <c r="AS690" s="378"/>
      <c r="AT690" s="378"/>
      <c r="AU690" s="378"/>
    </row>
    <row r="691" spans="1:47" s="532" customFormat="1" x14ac:dyDescent="0.25">
      <c r="A691" s="750"/>
      <c r="B691" s="378"/>
      <c r="C691" s="378"/>
      <c r="D691" s="378"/>
      <c r="E691" s="378"/>
      <c r="F691" s="378"/>
      <c r="G691" s="378"/>
      <c r="H691" s="378"/>
      <c r="I691" s="378"/>
      <c r="J691" s="378"/>
      <c r="K691" s="378"/>
      <c r="L691" s="378"/>
      <c r="M691" s="378"/>
      <c r="N691" s="378"/>
      <c r="O691" s="378"/>
      <c r="P691" s="378"/>
      <c r="Q691" s="378"/>
      <c r="R691" s="378"/>
      <c r="S691" s="378"/>
      <c r="T691" s="378"/>
      <c r="U691" s="378"/>
      <c r="V691" s="378"/>
      <c r="W691" s="378"/>
      <c r="X691" s="378"/>
      <c r="Y691" s="378"/>
      <c r="Z691" s="378"/>
      <c r="AA691" s="378"/>
      <c r="AB691" s="378"/>
      <c r="AC691" s="378"/>
      <c r="AD691" s="378"/>
      <c r="AE691" s="378"/>
      <c r="AF691" s="378"/>
      <c r="AG691" s="378"/>
      <c r="AH691" s="378"/>
      <c r="AI691" s="378"/>
      <c r="AJ691" s="378"/>
      <c r="AK691" s="378"/>
      <c r="AL691" s="378"/>
      <c r="AM691" s="378"/>
      <c r="AN691" s="378"/>
      <c r="AO691" s="378"/>
      <c r="AP691" s="378"/>
      <c r="AQ691" s="378"/>
      <c r="AR691" s="378"/>
      <c r="AS691" s="378"/>
      <c r="AT691" s="378"/>
      <c r="AU691" s="378"/>
    </row>
    <row r="692" spans="1:47" s="532" customFormat="1" x14ac:dyDescent="0.25">
      <c r="A692" s="750"/>
      <c r="B692" s="378"/>
      <c r="C692" s="378"/>
      <c r="D692" s="378"/>
      <c r="E692" s="378"/>
      <c r="F692" s="378"/>
      <c r="G692" s="378"/>
      <c r="H692" s="378"/>
      <c r="I692" s="378"/>
      <c r="J692" s="378"/>
      <c r="K692" s="378"/>
      <c r="L692" s="378"/>
      <c r="M692" s="378"/>
      <c r="N692" s="378"/>
      <c r="O692" s="378"/>
      <c r="P692" s="378"/>
      <c r="Q692" s="378"/>
      <c r="R692" s="378"/>
      <c r="S692" s="378"/>
      <c r="T692" s="378"/>
      <c r="U692" s="378"/>
      <c r="V692" s="378"/>
      <c r="W692" s="378"/>
      <c r="X692" s="378"/>
      <c r="Y692" s="378"/>
      <c r="Z692" s="378"/>
      <c r="AA692" s="378"/>
      <c r="AB692" s="378"/>
      <c r="AC692" s="378"/>
      <c r="AD692" s="378"/>
      <c r="AE692" s="378"/>
      <c r="AF692" s="378"/>
      <c r="AG692" s="378"/>
      <c r="AH692" s="378"/>
      <c r="AI692" s="378"/>
      <c r="AJ692" s="378"/>
      <c r="AK692" s="378"/>
      <c r="AL692" s="378"/>
      <c r="AM692" s="378"/>
      <c r="AN692" s="378"/>
      <c r="AO692" s="378"/>
      <c r="AP692" s="378"/>
      <c r="AQ692" s="378"/>
      <c r="AR692" s="378"/>
      <c r="AS692" s="378"/>
      <c r="AT692" s="378"/>
      <c r="AU692" s="378"/>
    </row>
    <row r="693" spans="1:47" s="532" customFormat="1" x14ac:dyDescent="0.25">
      <c r="A693" s="750"/>
      <c r="B693" s="378"/>
      <c r="C693" s="378"/>
      <c r="D693" s="378"/>
      <c r="E693" s="378"/>
      <c r="F693" s="378"/>
      <c r="G693" s="378"/>
      <c r="H693" s="378"/>
      <c r="I693" s="378"/>
      <c r="J693" s="378"/>
      <c r="K693" s="378"/>
      <c r="L693" s="378"/>
      <c r="M693" s="378"/>
      <c r="N693" s="378"/>
      <c r="O693" s="378"/>
      <c r="P693" s="378"/>
      <c r="Q693" s="378"/>
      <c r="R693" s="378"/>
      <c r="S693" s="378"/>
      <c r="T693" s="378"/>
      <c r="U693" s="378"/>
      <c r="V693" s="378"/>
      <c r="W693" s="378"/>
      <c r="X693" s="378"/>
      <c r="Y693" s="378"/>
      <c r="Z693" s="378"/>
      <c r="AA693" s="378"/>
      <c r="AB693" s="378"/>
      <c r="AC693" s="378"/>
      <c r="AD693" s="378"/>
      <c r="AE693" s="378"/>
      <c r="AF693" s="378"/>
      <c r="AG693" s="378"/>
      <c r="AH693" s="378"/>
      <c r="AI693" s="378"/>
      <c r="AJ693" s="378"/>
      <c r="AK693" s="378"/>
      <c r="AL693" s="378"/>
      <c r="AM693" s="378"/>
      <c r="AN693" s="378"/>
      <c r="AO693" s="378"/>
      <c r="AP693" s="378"/>
      <c r="AQ693" s="378"/>
      <c r="AR693" s="378"/>
      <c r="AS693" s="378"/>
      <c r="AT693" s="378"/>
      <c r="AU693" s="378"/>
    </row>
    <row r="694" spans="1:47" s="532" customFormat="1" x14ac:dyDescent="0.25">
      <c r="A694" s="750"/>
      <c r="B694" s="378"/>
      <c r="C694" s="378"/>
      <c r="D694" s="378"/>
      <c r="E694" s="378"/>
      <c r="F694" s="378"/>
      <c r="G694" s="378"/>
      <c r="H694" s="378"/>
      <c r="I694" s="378"/>
      <c r="J694" s="378"/>
      <c r="K694" s="378"/>
      <c r="L694" s="378"/>
      <c r="M694" s="378"/>
      <c r="N694" s="378"/>
      <c r="O694" s="378"/>
      <c r="P694" s="378"/>
      <c r="Q694" s="378"/>
      <c r="R694" s="378"/>
      <c r="S694" s="378"/>
      <c r="T694" s="378"/>
      <c r="U694" s="378"/>
      <c r="V694" s="378"/>
      <c r="W694" s="378"/>
      <c r="X694" s="378"/>
      <c r="Y694" s="378"/>
      <c r="Z694" s="378"/>
      <c r="AA694" s="378"/>
      <c r="AB694" s="378"/>
      <c r="AC694" s="378"/>
      <c r="AD694" s="378"/>
      <c r="AE694" s="378"/>
      <c r="AF694" s="378"/>
      <c r="AG694" s="378"/>
      <c r="AH694" s="378"/>
      <c r="AI694" s="378"/>
      <c r="AJ694" s="378"/>
      <c r="AK694" s="378"/>
      <c r="AL694" s="378"/>
      <c r="AM694" s="378"/>
      <c r="AN694" s="378"/>
      <c r="AO694" s="378"/>
      <c r="AP694" s="378"/>
      <c r="AQ694" s="378"/>
      <c r="AR694" s="378"/>
      <c r="AS694" s="378"/>
      <c r="AT694" s="378"/>
      <c r="AU694" s="378"/>
    </row>
    <row r="695" spans="1:47" s="532" customFormat="1" x14ac:dyDescent="0.25">
      <c r="A695" s="750"/>
      <c r="B695" s="378"/>
      <c r="C695" s="378"/>
      <c r="D695" s="378"/>
      <c r="E695" s="378"/>
      <c r="F695" s="378"/>
      <c r="G695" s="378"/>
      <c r="H695" s="378"/>
      <c r="I695" s="378"/>
      <c r="J695" s="378"/>
      <c r="K695" s="378"/>
      <c r="L695" s="378"/>
      <c r="M695" s="378"/>
      <c r="N695" s="378"/>
      <c r="O695" s="378"/>
      <c r="P695" s="378"/>
      <c r="Q695" s="378"/>
      <c r="R695" s="378"/>
      <c r="S695" s="378"/>
      <c r="T695" s="378"/>
      <c r="U695" s="378"/>
      <c r="V695" s="378"/>
      <c r="W695" s="378"/>
      <c r="X695" s="378"/>
      <c r="Y695" s="378"/>
      <c r="Z695" s="378"/>
      <c r="AA695" s="378"/>
      <c r="AB695" s="378"/>
      <c r="AC695" s="378"/>
      <c r="AD695" s="378"/>
      <c r="AE695" s="378"/>
      <c r="AF695" s="378"/>
      <c r="AG695" s="378"/>
      <c r="AH695" s="378"/>
      <c r="AI695" s="378"/>
      <c r="AJ695" s="378"/>
      <c r="AK695" s="378"/>
      <c r="AL695" s="378"/>
      <c r="AM695" s="378"/>
      <c r="AN695" s="378"/>
      <c r="AO695" s="378"/>
      <c r="AP695" s="378"/>
      <c r="AQ695" s="378"/>
      <c r="AR695" s="378"/>
      <c r="AS695" s="378"/>
      <c r="AT695" s="378"/>
      <c r="AU695" s="378"/>
    </row>
    <row r="696" spans="1:47" ht="21" x14ac:dyDescent="0.35">
      <c r="A696" s="749">
        <v>9</v>
      </c>
      <c r="B696" s="2012" t="s">
        <v>799</v>
      </c>
      <c r="C696" s="2012"/>
      <c r="D696" s="378"/>
      <c r="E696" s="378"/>
      <c r="F696" s="1983" t="s">
        <v>766</v>
      </c>
      <c r="G696" s="1984"/>
      <c r="H696" s="1985"/>
      <c r="I696" s="378"/>
      <c r="J696" s="378"/>
      <c r="K696" s="378"/>
      <c r="L696" s="378"/>
      <c r="M696" s="378"/>
      <c r="N696" s="378"/>
      <c r="O696" s="378"/>
      <c r="P696" s="378"/>
      <c r="Q696" s="378"/>
      <c r="R696" s="378"/>
      <c r="S696" s="378"/>
      <c r="T696" s="378"/>
      <c r="U696" s="378"/>
      <c r="V696" s="378"/>
      <c r="W696" s="378"/>
      <c r="X696" s="378"/>
      <c r="Y696" s="378"/>
      <c r="Z696" s="378"/>
      <c r="AA696" s="378"/>
      <c r="AB696" s="378"/>
      <c r="AC696" s="378"/>
      <c r="AD696" s="378"/>
      <c r="AE696" s="378"/>
      <c r="AF696" s="378"/>
      <c r="AG696" s="378"/>
      <c r="AH696" s="378"/>
      <c r="AI696" s="378"/>
      <c r="AJ696" s="378"/>
      <c r="AK696" s="378"/>
      <c r="AL696" s="378"/>
      <c r="AM696" s="378"/>
      <c r="AN696" s="378"/>
      <c r="AO696" s="378"/>
      <c r="AP696" s="378"/>
      <c r="AQ696" s="378"/>
      <c r="AR696" s="378"/>
      <c r="AS696" s="378"/>
      <c r="AT696" s="378"/>
      <c r="AU696" s="378"/>
    </row>
    <row r="697" spans="1:47" ht="46.5" customHeight="1" x14ac:dyDescent="0.25">
      <c r="A697" s="750"/>
      <c r="B697" s="1077" t="str">
        <f>+'3 INDICADORES'!B134:D134</f>
        <v xml:space="preserve">9.1 - Busca informação para comercialização da produção/busca diversificar os compradores  </v>
      </c>
      <c r="C697" s="1094">
        <v>0.4</v>
      </c>
      <c r="D697" s="378"/>
      <c r="E697" s="378"/>
      <c r="F697" s="2159" t="s">
        <v>842</v>
      </c>
      <c r="G697" s="2159"/>
      <c r="H697" s="2159"/>
      <c r="I697" s="378"/>
      <c r="J697" s="378"/>
      <c r="K697" s="378"/>
      <c r="L697" s="378"/>
      <c r="M697" s="378"/>
      <c r="N697" s="378"/>
      <c r="O697" s="378"/>
      <c r="P697" s="378"/>
      <c r="Q697" s="378"/>
      <c r="R697" s="378"/>
      <c r="S697" s="378"/>
      <c r="T697" s="378"/>
      <c r="U697" s="378"/>
      <c r="V697" s="378"/>
      <c r="W697" s="378"/>
      <c r="X697" s="378"/>
      <c r="Y697" s="378"/>
      <c r="Z697" s="378"/>
      <c r="AA697" s="378"/>
      <c r="AB697" s="378"/>
      <c r="AC697" s="378"/>
      <c r="AD697" s="378"/>
      <c r="AE697" s="378"/>
      <c r="AF697" s="378"/>
      <c r="AG697" s="378"/>
      <c r="AH697" s="378"/>
      <c r="AI697" s="378"/>
      <c r="AJ697" s="378"/>
      <c r="AK697" s="378"/>
      <c r="AL697" s="378"/>
      <c r="AM697" s="378"/>
      <c r="AN697" s="378"/>
      <c r="AO697" s="378"/>
      <c r="AP697" s="378"/>
      <c r="AQ697" s="378"/>
      <c r="AR697" s="378"/>
      <c r="AS697" s="378"/>
      <c r="AT697" s="378"/>
      <c r="AU697" s="378"/>
    </row>
    <row r="698" spans="1:47" ht="57" x14ac:dyDescent="0.25">
      <c r="A698" s="750"/>
      <c r="B698" s="1077" t="str">
        <f>+'3 INDICADORES'!B135:D135</f>
        <v>9.2 - Gera produtos certificados e/ou mercado institucional</v>
      </c>
      <c r="C698" s="1094">
        <v>0.4</v>
      </c>
      <c r="D698" s="378"/>
      <c r="E698" s="378"/>
      <c r="F698" s="1530">
        <f>(('3 INDICADORES'!E134*'3 INDICADORES'!F134+'3 INDICADORES'!E135*'3 INDICADORES'!F135+'3 INDICADORES'!E136*'3 INDICADORES'!F136+'3 INDICADORES'!E138*'3 INDICADORES'!F138))</f>
        <v>0</v>
      </c>
      <c r="G698" s="1091"/>
      <c r="H698" s="1091"/>
      <c r="I698" s="378"/>
      <c r="J698" s="378"/>
      <c r="K698" s="378"/>
      <c r="L698" s="378"/>
      <c r="M698" s="378"/>
      <c r="N698" s="378"/>
      <c r="O698" s="378"/>
      <c r="P698" s="378"/>
      <c r="Q698" s="378"/>
      <c r="R698" s="378"/>
      <c r="S698" s="378"/>
      <c r="T698" s="378"/>
      <c r="U698" s="378"/>
      <c r="V698" s="378"/>
      <c r="W698" s="378"/>
      <c r="X698" s="378"/>
      <c r="Y698" s="378"/>
      <c r="Z698" s="378"/>
      <c r="AA698" s="378"/>
      <c r="AB698" s="378"/>
      <c r="AC698" s="378"/>
      <c r="AD698" s="378"/>
      <c r="AE698" s="378"/>
      <c r="AF698" s="378"/>
      <c r="AG698" s="378"/>
      <c r="AH698" s="378"/>
      <c r="AI698" s="378"/>
      <c r="AJ698" s="378"/>
      <c r="AK698" s="378"/>
      <c r="AL698" s="378"/>
      <c r="AM698" s="378"/>
      <c r="AN698" s="378"/>
      <c r="AO698" s="378"/>
      <c r="AP698" s="378"/>
      <c r="AQ698" s="378"/>
      <c r="AR698" s="378"/>
      <c r="AS698" s="378"/>
      <c r="AT698" s="378"/>
      <c r="AU698" s="378"/>
    </row>
    <row r="699" spans="1:47" ht="42.75" customHeight="1" x14ac:dyDescent="0.25">
      <c r="A699" s="750"/>
      <c r="B699" s="1077" t="str">
        <f>+'3 INDICADORES'!B136:D136</f>
        <v>9.3 - Adoção de técnicas inovadoras*</v>
      </c>
      <c r="C699" s="1094">
        <v>0.3</v>
      </c>
      <c r="D699" s="378"/>
      <c r="E699" s="378"/>
      <c r="F699" s="549"/>
      <c r="G699" s="549"/>
      <c r="H699" s="549"/>
      <c r="I699" s="378"/>
      <c r="J699" s="378"/>
      <c r="K699" s="378"/>
      <c r="L699" s="378"/>
      <c r="M699" s="378"/>
      <c r="N699" s="378"/>
      <c r="O699" s="378"/>
      <c r="P699" s="378"/>
      <c r="Q699" s="378"/>
      <c r="R699" s="378"/>
      <c r="S699" s="378"/>
      <c r="T699" s="378"/>
      <c r="U699" s="378"/>
      <c r="V699" s="378"/>
      <c r="W699" s="378"/>
      <c r="X699" s="378"/>
      <c r="Y699" s="378"/>
      <c r="Z699" s="378"/>
      <c r="AA699" s="378"/>
      <c r="AB699" s="378"/>
      <c r="AC699" s="378"/>
      <c r="AD699" s="378"/>
      <c r="AE699" s="378"/>
      <c r="AF699" s="378"/>
      <c r="AG699" s="378"/>
      <c r="AH699" s="378"/>
      <c r="AI699" s="378"/>
      <c r="AJ699" s="378"/>
      <c r="AK699" s="378"/>
      <c r="AL699" s="378"/>
      <c r="AM699" s="378"/>
      <c r="AN699" s="378"/>
      <c r="AO699" s="378"/>
      <c r="AP699" s="378"/>
      <c r="AQ699" s="378"/>
      <c r="AR699" s="378"/>
      <c r="AS699" s="378"/>
      <c r="AT699" s="378"/>
      <c r="AU699" s="378"/>
    </row>
    <row r="700" spans="1:47" ht="57" x14ac:dyDescent="0.25">
      <c r="A700" s="750"/>
      <c r="B700" s="1077" t="str">
        <f>+'3 INDICADORES'!B138:D138</f>
        <v>9.4 - Capacidade de inovação ou liderança na comunidade</v>
      </c>
      <c r="C700" s="1094">
        <v>0.4</v>
      </c>
      <c r="D700" s="378"/>
      <c r="E700" s="378"/>
      <c r="F700" s="1038"/>
      <c r="G700" s="137"/>
      <c r="H700" s="137"/>
      <c r="I700" s="378"/>
      <c r="J700" s="378"/>
      <c r="K700" s="378"/>
      <c r="L700" s="378"/>
      <c r="M700" s="378"/>
      <c r="N700" s="378"/>
      <c r="O700" s="378"/>
      <c r="P700" s="378"/>
      <c r="Q700" s="378"/>
      <c r="R700" s="378"/>
      <c r="S700" s="378"/>
      <c r="T700" s="378"/>
      <c r="U700" s="378"/>
      <c r="V700" s="378"/>
      <c r="W700" s="378"/>
      <c r="X700" s="378"/>
      <c r="Y700" s="378"/>
      <c r="Z700" s="378"/>
      <c r="AA700" s="378"/>
      <c r="AB700" s="378"/>
      <c r="AC700" s="378"/>
      <c r="AD700" s="378"/>
      <c r="AE700" s="378"/>
      <c r="AF700" s="378"/>
      <c r="AG700" s="378"/>
      <c r="AH700" s="378"/>
      <c r="AI700" s="378"/>
      <c r="AJ700" s="378"/>
      <c r="AK700" s="378"/>
      <c r="AL700" s="378"/>
      <c r="AM700" s="378"/>
      <c r="AN700" s="378"/>
      <c r="AO700" s="378"/>
      <c r="AP700" s="378"/>
      <c r="AQ700" s="378"/>
      <c r="AR700" s="378"/>
      <c r="AS700" s="378"/>
      <c r="AT700" s="378"/>
      <c r="AU700" s="378"/>
    </row>
    <row r="701" spans="1:47" x14ac:dyDescent="0.25">
      <c r="A701" s="750"/>
      <c r="B701" s="378"/>
      <c r="C701" s="378"/>
      <c r="D701" s="378"/>
      <c r="E701" s="378"/>
      <c r="F701" s="137"/>
      <c r="G701" s="137"/>
      <c r="H701" s="137"/>
      <c r="I701" s="378"/>
      <c r="J701" s="378"/>
      <c r="K701" s="378"/>
      <c r="L701" s="378"/>
      <c r="M701" s="378"/>
      <c r="N701" s="378"/>
      <c r="O701" s="378"/>
      <c r="P701" s="378"/>
      <c r="Q701" s="378"/>
      <c r="R701" s="378"/>
      <c r="S701" s="378"/>
      <c r="T701" s="378"/>
      <c r="U701" s="378"/>
      <c r="V701" s="378"/>
      <c r="W701" s="378"/>
      <c r="X701" s="378"/>
      <c r="Y701" s="378"/>
      <c r="Z701" s="378"/>
      <c r="AA701" s="378"/>
      <c r="AB701" s="378"/>
      <c r="AC701" s="378"/>
      <c r="AD701" s="378"/>
      <c r="AE701" s="378"/>
      <c r="AF701" s="378"/>
      <c r="AG701" s="378"/>
      <c r="AH701" s="378"/>
      <c r="AI701" s="378"/>
      <c r="AJ701" s="378"/>
      <c r="AK701" s="378"/>
      <c r="AL701" s="378"/>
      <c r="AM701" s="378"/>
      <c r="AN701" s="378"/>
      <c r="AO701" s="378"/>
      <c r="AP701" s="378"/>
      <c r="AQ701" s="378"/>
      <c r="AR701" s="378"/>
      <c r="AS701" s="378"/>
      <c r="AT701" s="378"/>
      <c r="AU701" s="378"/>
    </row>
    <row r="702" spans="1:47" s="532" customFormat="1" x14ac:dyDescent="0.25">
      <c r="A702" s="750"/>
      <c r="B702" s="378"/>
      <c r="C702" s="378"/>
      <c r="D702" s="378"/>
      <c r="E702" s="378"/>
      <c r="F702" s="137"/>
      <c r="G702" s="137"/>
      <c r="H702" s="137"/>
      <c r="I702" s="378"/>
      <c r="J702" s="378"/>
      <c r="K702" s="378"/>
      <c r="L702" s="378"/>
      <c r="M702" s="378"/>
      <c r="N702" s="378"/>
      <c r="O702" s="378"/>
      <c r="P702" s="378"/>
      <c r="Q702" s="378"/>
      <c r="R702" s="378"/>
      <c r="S702" s="378"/>
      <c r="T702" s="378"/>
      <c r="U702" s="378"/>
      <c r="V702" s="378"/>
      <c r="W702" s="378"/>
      <c r="X702" s="378"/>
      <c r="Y702" s="378"/>
      <c r="Z702" s="378"/>
      <c r="AA702" s="378"/>
      <c r="AB702" s="378"/>
      <c r="AC702" s="378"/>
      <c r="AD702" s="378"/>
      <c r="AE702" s="378"/>
      <c r="AF702" s="378"/>
      <c r="AG702" s="378"/>
      <c r="AH702" s="378"/>
      <c r="AI702" s="378"/>
      <c r="AJ702" s="378"/>
      <c r="AK702" s="378"/>
      <c r="AL702" s="378"/>
      <c r="AM702" s="378"/>
      <c r="AN702" s="378"/>
      <c r="AO702" s="378"/>
      <c r="AP702" s="378"/>
      <c r="AQ702" s="378"/>
      <c r="AR702" s="378"/>
      <c r="AS702" s="378"/>
      <c r="AT702" s="378"/>
      <c r="AU702" s="378"/>
    </row>
    <row r="703" spans="1:47" s="18" customFormat="1" x14ac:dyDescent="0.25">
      <c r="A703" s="750"/>
      <c r="B703" s="378"/>
      <c r="C703" s="378"/>
      <c r="D703" s="378"/>
      <c r="E703" s="378"/>
      <c r="F703" s="378"/>
      <c r="G703" s="378"/>
      <c r="H703" s="378"/>
      <c r="I703" s="378"/>
      <c r="J703" s="378"/>
      <c r="K703" s="378"/>
      <c r="L703" s="378"/>
      <c r="M703" s="378"/>
      <c r="N703" s="378"/>
      <c r="O703" s="378"/>
      <c r="P703" s="378"/>
      <c r="Q703" s="378"/>
      <c r="R703" s="378"/>
      <c r="S703" s="378"/>
      <c r="T703" s="378"/>
      <c r="U703" s="378"/>
      <c r="V703" s="378"/>
      <c r="W703" s="378"/>
      <c r="X703" s="378"/>
      <c r="Y703" s="378"/>
      <c r="Z703" s="378"/>
      <c r="AA703" s="378"/>
      <c r="AB703" s="378"/>
      <c r="AC703" s="378"/>
      <c r="AD703" s="378"/>
      <c r="AE703" s="378"/>
      <c r="AF703" s="378"/>
      <c r="AG703" s="378"/>
      <c r="AH703" s="378"/>
      <c r="AI703" s="378"/>
      <c r="AJ703" s="378"/>
      <c r="AK703" s="378"/>
      <c r="AL703" s="378"/>
      <c r="AM703" s="378"/>
      <c r="AN703" s="378"/>
      <c r="AO703" s="378"/>
      <c r="AP703" s="378"/>
      <c r="AQ703" s="378"/>
      <c r="AR703" s="378"/>
      <c r="AS703" s="378"/>
      <c r="AT703" s="378"/>
      <c r="AU703" s="378"/>
    </row>
    <row r="704" spans="1:47" ht="21" x14ac:dyDescent="0.35">
      <c r="A704" s="749">
        <v>10</v>
      </c>
      <c r="B704" s="2012" t="s">
        <v>799</v>
      </c>
      <c r="C704" s="2012"/>
      <c r="D704" s="378"/>
      <c r="E704" s="378"/>
      <c r="F704" s="1983" t="s">
        <v>766</v>
      </c>
      <c r="G704" s="1984"/>
      <c r="H704" s="1984"/>
      <c r="I704" s="1985"/>
      <c r="J704" s="378"/>
      <c r="K704" s="532"/>
      <c r="L704" s="378"/>
      <c r="M704" s="378"/>
      <c r="N704" s="378"/>
      <c r="O704" s="378"/>
      <c r="P704" s="378"/>
      <c r="Q704" s="378"/>
      <c r="R704" s="378"/>
      <c r="S704" s="378"/>
      <c r="T704" s="378"/>
      <c r="U704" s="378"/>
      <c r="V704" s="378"/>
      <c r="W704" s="378"/>
      <c r="X704" s="378"/>
      <c r="Y704" s="378"/>
      <c r="Z704" s="378"/>
      <c r="AA704" s="378"/>
      <c r="AB704" s="378"/>
      <c r="AC704" s="378"/>
      <c r="AD704" s="378"/>
      <c r="AE704" s="378"/>
      <c r="AF704" s="378"/>
      <c r="AG704" s="378"/>
      <c r="AH704" s="378"/>
      <c r="AI704" s="378"/>
      <c r="AJ704" s="378"/>
      <c r="AK704" s="378"/>
      <c r="AL704" s="378"/>
      <c r="AM704" s="378"/>
      <c r="AN704" s="378"/>
      <c r="AO704" s="378"/>
      <c r="AP704" s="378"/>
      <c r="AQ704" s="378"/>
      <c r="AR704" s="378"/>
      <c r="AS704" s="378"/>
      <c r="AT704" s="378"/>
      <c r="AU704" s="378"/>
    </row>
    <row r="705" spans="1:47" ht="39" customHeight="1" x14ac:dyDescent="0.25">
      <c r="A705" s="750"/>
      <c r="B705" s="1077" t="str">
        <f>+'3 INDICADORES'!B146:E146</f>
        <v>10.1 - Coleta e destinação adequada dos resíduos (lixo doméstico e proveniente das atividades, reciclável e não reciclável)</v>
      </c>
      <c r="C705" s="1066">
        <v>1</v>
      </c>
      <c r="D705" s="378"/>
      <c r="E705" s="378"/>
      <c r="F705" s="2160" t="s">
        <v>843</v>
      </c>
      <c r="G705" s="2160"/>
      <c r="H705" s="2160"/>
      <c r="I705" s="2160"/>
      <c r="J705" s="378"/>
      <c r="K705" s="378"/>
      <c r="L705" s="378"/>
      <c r="M705" s="378"/>
      <c r="N705" s="378"/>
      <c r="O705" s="378"/>
      <c r="P705" s="378"/>
      <c r="Q705" s="378"/>
      <c r="R705" s="378"/>
      <c r="S705" s="378"/>
      <c r="T705" s="378"/>
      <c r="U705" s="378"/>
      <c r="V705" s="378"/>
      <c r="W705" s="378"/>
      <c r="X705" s="378"/>
      <c r="Y705" s="378"/>
      <c r="Z705" s="378"/>
      <c r="AA705" s="378"/>
      <c r="AB705" s="378"/>
      <c r="AC705" s="378"/>
      <c r="AD705" s="378"/>
      <c r="AE705" s="378"/>
      <c r="AF705" s="378"/>
      <c r="AG705" s="378"/>
      <c r="AH705" s="378"/>
      <c r="AI705" s="378"/>
      <c r="AJ705" s="378"/>
      <c r="AK705" s="378"/>
      <c r="AL705" s="378"/>
      <c r="AM705" s="378"/>
      <c r="AN705" s="378"/>
      <c r="AO705" s="378"/>
      <c r="AP705" s="378"/>
      <c r="AQ705" s="378"/>
      <c r="AR705" s="378"/>
      <c r="AS705" s="378"/>
      <c r="AT705" s="378"/>
      <c r="AU705" s="378"/>
    </row>
    <row r="706" spans="1:47" ht="34.5" customHeight="1" x14ac:dyDescent="0.25">
      <c r="A706" s="750"/>
      <c r="B706" s="1077" t="str">
        <f>+'3 INDICADORES'!B147:E147</f>
        <v>10.2 - Destinação adequada do esgoto doméstico</v>
      </c>
      <c r="C706" s="1066">
        <v>1</v>
      </c>
      <c r="D706" s="378"/>
      <c r="E706" s="378"/>
      <c r="F706" s="1095">
        <f>IF(G706&gt;1,1,G706)</f>
        <v>0</v>
      </c>
      <c r="G706" s="1095">
        <f>IF(H706&gt;0,I706/H706,I706)</f>
        <v>0</v>
      </c>
      <c r="H706" s="1549">
        <f>COUNTIF('3 INDICADORES'!F146:F150,"&gt;=0")</f>
        <v>0</v>
      </c>
      <c r="I706" s="1095">
        <f>'3 INDICADORES'!F146+'3 INDICADORES'!F147+'3 INDICADORES'!F148+'3 INDICADORES'!F149+'3 INDICADORES'!F150</f>
        <v>0</v>
      </c>
      <c r="J706" s="378"/>
      <c r="K706" s="710" t="s">
        <v>844</v>
      </c>
      <c r="L706" s="378"/>
      <c r="M706" s="378"/>
      <c r="N706" s="378"/>
      <c r="O706" s="378"/>
      <c r="P706" s="378"/>
      <c r="Q706" s="378"/>
      <c r="R706" s="378"/>
      <c r="S706" s="378"/>
      <c r="T706" s="378"/>
      <c r="U706" s="378"/>
      <c r="V706" s="378"/>
      <c r="W706" s="378"/>
      <c r="X706" s="378"/>
      <c r="Y706" s="378"/>
      <c r="Z706" s="378"/>
      <c r="AA706" s="378"/>
      <c r="AB706" s="378"/>
      <c r="AC706" s="378"/>
      <c r="AD706" s="378"/>
      <c r="AE706" s="378"/>
      <c r="AF706" s="378"/>
      <c r="AG706" s="378"/>
      <c r="AH706" s="378"/>
      <c r="AI706" s="378"/>
      <c r="AJ706" s="378"/>
      <c r="AK706" s="378"/>
      <c r="AL706" s="378"/>
      <c r="AM706" s="378"/>
      <c r="AN706" s="378"/>
      <c r="AO706" s="378"/>
      <c r="AP706" s="378"/>
      <c r="AQ706" s="378"/>
      <c r="AR706" s="378"/>
      <c r="AS706" s="378"/>
      <c r="AT706" s="378"/>
      <c r="AU706" s="378"/>
    </row>
    <row r="707" spans="1:47" s="532" customFormat="1" ht="36.75" customHeight="1" x14ac:dyDescent="0.25">
      <c r="A707" s="750"/>
      <c r="B707" s="1077" t="str">
        <f>+'3 INDICADORES'!B148:E148</f>
        <v xml:space="preserve">10.3 - Compostagem e/ou reaproveitamento de resíduos sólidos orgânicos </v>
      </c>
      <c r="C707" s="1066">
        <v>1</v>
      </c>
      <c r="D707" s="378"/>
      <c r="E707" s="378"/>
      <c r="F707" s="1081">
        <f>IF('3 INDICADORES'!F153="x",'GUIA DE APLICAÇÃO'!F706*0.7,'GUIA DE APLICAÇÃO'!F706)</f>
        <v>0</v>
      </c>
      <c r="G707" s="549"/>
      <c r="H707" s="549"/>
      <c r="I707" s="549"/>
      <c r="J707" s="378"/>
      <c r="K707" s="378"/>
      <c r="L707" s="378"/>
      <c r="M707" s="378"/>
      <c r="N707" s="378"/>
      <c r="O707" s="378"/>
      <c r="P707" s="378"/>
      <c r="Q707" s="378"/>
      <c r="R707" s="378"/>
      <c r="S707" s="378"/>
      <c r="T707" s="378"/>
      <c r="U707" s="378"/>
      <c r="V707" s="378"/>
      <c r="W707" s="378"/>
      <c r="X707" s="378"/>
      <c r="Y707" s="378"/>
      <c r="Z707" s="378"/>
      <c r="AA707" s="378"/>
      <c r="AB707" s="378"/>
      <c r="AC707" s="378"/>
      <c r="AD707" s="378"/>
      <c r="AE707" s="378"/>
      <c r="AF707" s="378"/>
      <c r="AG707" s="378"/>
      <c r="AH707" s="378"/>
      <c r="AI707" s="378"/>
      <c r="AJ707" s="378"/>
      <c r="AK707" s="378"/>
      <c r="AL707" s="378"/>
      <c r="AM707" s="378"/>
      <c r="AN707" s="378"/>
      <c r="AO707" s="378"/>
      <c r="AP707" s="378"/>
      <c r="AQ707" s="378"/>
      <c r="AR707" s="378"/>
      <c r="AS707" s="378"/>
      <c r="AT707" s="378"/>
      <c r="AU707" s="378"/>
    </row>
    <row r="708" spans="1:47" ht="46.5" customHeight="1" x14ac:dyDescent="0.25">
      <c r="A708" s="750"/>
      <c r="B708" s="1077" t="str">
        <f>+'3 INDICADORES'!B149:E149</f>
        <v>10.4 - Destinação adequada e tratamento de efluentes líquidos (gerados por criações ou unidades de beneficiamento) (Utilização dos efluentes tratados nos sistemas de produção)*.</v>
      </c>
      <c r="C708" s="1066">
        <v>1</v>
      </c>
      <c r="D708" s="378"/>
      <c r="E708" s="378"/>
      <c r="F708" s="549"/>
      <c r="G708" s="549"/>
      <c r="H708" s="549"/>
      <c r="I708" s="549"/>
      <c r="J708" s="378"/>
      <c r="K708" s="378"/>
      <c r="L708" s="378"/>
      <c r="M708" s="378"/>
      <c r="N708" s="378"/>
      <c r="O708" s="378"/>
      <c r="P708" s="378"/>
      <c r="Q708" s="378"/>
      <c r="R708" s="378"/>
      <c r="S708" s="378"/>
      <c r="T708" s="378"/>
      <c r="U708" s="378"/>
      <c r="V708" s="378"/>
      <c r="W708" s="378"/>
      <c r="X708" s="378"/>
      <c r="Y708" s="378"/>
      <c r="Z708" s="378"/>
      <c r="AA708" s="378"/>
      <c r="AB708" s="378"/>
      <c r="AC708" s="378"/>
      <c r="AD708" s="378"/>
      <c r="AE708" s="378"/>
      <c r="AF708" s="378"/>
      <c r="AG708" s="378"/>
      <c r="AH708" s="378"/>
      <c r="AI708" s="378"/>
      <c r="AJ708" s="378"/>
      <c r="AK708" s="378"/>
      <c r="AL708" s="378"/>
      <c r="AM708" s="378"/>
      <c r="AN708" s="378"/>
      <c r="AO708" s="378"/>
      <c r="AP708" s="378"/>
      <c r="AQ708" s="378"/>
      <c r="AR708" s="378"/>
      <c r="AS708" s="378"/>
      <c r="AT708" s="378"/>
      <c r="AU708" s="378"/>
    </row>
    <row r="709" spans="1:47" ht="48" customHeight="1" x14ac:dyDescent="0.25">
      <c r="A709" s="750"/>
      <c r="B709" s="1077" t="str">
        <f>+'3 INDICADORES'!B150:E150</f>
        <v>10.5 - Tratamento de efluentes gasosos (gerados em caldeiras, biodigestores, carvoaria).</v>
      </c>
      <c r="C709" s="1066">
        <v>1</v>
      </c>
      <c r="D709" s="378"/>
      <c r="E709" s="532"/>
      <c r="F709" s="378"/>
      <c r="G709" s="378"/>
      <c r="H709" s="378"/>
      <c r="I709" s="378"/>
      <c r="J709" s="378"/>
      <c r="K709" s="378"/>
      <c r="L709" s="378"/>
      <c r="M709" s="378"/>
      <c r="N709" s="378"/>
      <c r="O709" s="378"/>
      <c r="P709" s="378"/>
      <c r="Q709" s="378"/>
      <c r="R709" s="378"/>
      <c r="S709" s="378"/>
      <c r="T709" s="378"/>
      <c r="U709" s="378"/>
      <c r="V709" s="378"/>
      <c r="W709" s="378"/>
      <c r="X709" s="378"/>
      <c r="Y709" s="378"/>
      <c r="Z709" s="378"/>
      <c r="AA709" s="378"/>
      <c r="AB709" s="378"/>
      <c r="AC709" s="378"/>
      <c r="AD709" s="378"/>
      <c r="AE709" s="378"/>
      <c r="AF709" s="378"/>
      <c r="AG709" s="378"/>
      <c r="AH709" s="378"/>
      <c r="AI709" s="378"/>
      <c r="AJ709" s="378"/>
      <c r="AK709" s="378"/>
      <c r="AL709" s="378"/>
      <c r="AM709" s="378"/>
      <c r="AN709" s="378"/>
      <c r="AO709" s="378"/>
      <c r="AP709" s="378"/>
      <c r="AQ709" s="378"/>
      <c r="AR709" s="378"/>
      <c r="AS709" s="378"/>
      <c r="AT709" s="378"/>
      <c r="AU709" s="378"/>
    </row>
    <row r="710" spans="1:47" x14ac:dyDescent="0.25">
      <c r="A710" s="750"/>
      <c r="B710" s="378"/>
      <c r="C710" s="378"/>
      <c r="D710" s="378"/>
      <c r="E710" s="378"/>
      <c r="F710" s="378"/>
      <c r="G710" s="378"/>
      <c r="H710" s="378"/>
      <c r="I710" s="378"/>
      <c r="J710" s="378"/>
      <c r="K710" s="378"/>
      <c r="L710" s="378"/>
      <c r="M710" s="378"/>
      <c r="N710" s="378"/>
      <c r="O710" s="378"/>
      <c r="P710" s="378"/>
      <c r="Q710" s="378"/>
      <c r="R710" s="378"/>
      <c r="S710" s="378"/>
      <c r="T710" s="378"/>
      <c r="U710" s="378"/>
      <c r="V710" s="378"/>
      <c r="W710" s="378"/>
      <c r="X710" s="378"/>
      <c r="Y710" s="378"/>
      <c r="Z710" s="378"/>
      <c r="AA710" s="378"/>
      <c r="AB710" s="378"/>
      <c r="AC710" s="378"/>
      <c r="AD710" s="378"/>
      <c r="AE710" s="378"/>
      <c r="AF710" s="378"/>
      <c r="AG710" s="378"/>
      <c r="AH710" s="378"/>
      <c r="AI710" s="378"/>
      <c r="AJ710" s="378"/>
      <c r="AK710" s="378"/>
      <c r="AL710" s="378"/>
      <c r="AM710" s="378"/>
      <c r="AN710" s="378"/>
      <c r="AO710" s="378"/>
      <c r="AP710" s="378"/>
      <c r="AQ710" s="378"/>
      <c r="AR710" s="378"/>
      <c r="AS710" s="378"/>
      <c r="AT710" s="378"/>
      <c r="AU710" s="378"/>
    </row>
    <row r="711" spans="1:47" ht="21" x14ac:dyDescent="0.35">
      <c r="A711" s="749">
        <v>11</v>
      </c>
      <c r="B711" s="2012" t="s">
        <v>799</v>
      </c>
      <c r="C711" s="2012"/>
      <c r="D711" s="378"/>
      <c r="E711" s="378"/>
      <c r="F711" s="1983" t="s">
        <v>766</v>
      </c>
      <c r="G711" s="1984"/>
      <c r="H711" s="1985"/>
      <c r="I711" s="378"/>
      <c r="J711" s="378"/>
      <c r="K711" s="378"/>
      <c r="L711" s="378"/>
      <c r="M711" s="378"/>
      <c r="N711" s="378"/>
      <c r="O711" s="378"/>
      <c r="P711" s="378"/>
      <c r="Q711" s="378"/>
      <c r="R711" s="378"/>
      <c r="S711" s="378"/>
      <c r="T711" s="378"/>
      <c r="U711" s="378"/>
      <c r="V711" s="378"/>
      <c r="W711" s="378"/>
      <c r="X711" s="378"/>
      <c r="Y711" s="378"/>
      <c r="Z711" s="378"/>
      <c r="AA711" s="378"/>
      <c r="AB711" s="378"/>
      <c r="AC711" s="378"/>
      <c r="AD711" s="378"/>
      <c r="AE711" s="378"/>
      <c r="AF711" s="378"/>
      <c r="AG711" s="378"/>
      <c r="AH711" s="378"/>
      <c r="AI711" s="378"/>
      <c r="AJ711" s="378"/>
      <c r="AK711" s="378"/>
      <c r="AL711" s="378"/>
      <c r="AM711" s="378"/>
      <c r="AN711" s="378"/>
      <c r="AO711" s="378"/>
      <c r="AP711" s="378"/>
      <c r="AQ711" s="378"/>
      <c r="AR711" s="378"/>
      <c r="AS711" s="378"/>
      <c r="AT711" s="378"/>
      <c r="AU711" s="378"/>
    </row>
    <row r="712" spans="1:47" ht="39" customHeight="1" x14ac:dyDescent="0.25">
      <c r="A712" s="750"/>
      <c r="B712" s="1077" t="str">
        <f>+'3 INDICADORES'!B160:D160</f>
        <v>11.1 - Quantas pessoas fazem o manuseio de agrotóxicos e/ou produtos veterinários*</v>
      </c>
      <c r="C712" s="1066">
        <v>1</v>
      </c>
      <c r="D712" s="378"/>
      <c r="E712" s="378"/>
      <c r="F712" s="2074" t="s">
        <v>845</v>
      </c>
      <c r="G712" s="2074"/>
      <c r="H712" s="2074"/>
      <c r="I712" s="378"/>
      <c r="J712" s="378"/>
      <c r="K712" s="378"/>
      <c r="L712" s="378"/>
      <c r="M712" s="378"/>
      <c r="N712" s="378"/>
      <c r="O712" s="378"/>
      <c r="P712" s="378"/>
      <c r="Q712" s="378"/>
      <c r="R712" s="378"/>
      <c r="S712" s="378"/>
      <c r="T712" s="378"/>
      <c r="U712" s="378"/>
      <c r="V712" s="378"/>
      <c r="W712" s="378"/>
      <c r="X712" s="378"/>
      <c r="Y712" s="378"/>
      <c r="Z712" s="378"/>
      <c r="AA712" s="378"/>
      <c r="AB712" s="378"/>
      <c r="AC712" s="378"/>
      <c r="AD712" s="378"/>
      <c r="AE712" s="378"/>
      <c r="AF712" s="378"/>
      <c r="AG712" s="378"/>
      <c r="AH712" s="378"/>
      <c r="AI712" s="378"/>
      <c r="AJ712" s="378"/>
      <c r="AK712" s="378"/>
      <c r="AL712" s="378"/>
      <c r="AM712" s="378"/>
      <c r="AN712" s="378"/>
      <c r="AO712" s="378"/>
      <c r="AP712" s="378"/>
      <c r="AQ712" s="378"/>
      <c r="AR712" s="378"/>
      <c r="AS712" s="378"/>
      <c r="AT712" s="378"/>
      <c r="AU712" s="378"/>
    </row>
    <row r="713" spans="1:47" ht="36" customHeight="1" x14ac:dyDescent="0.25">
      <c r="A713" s="750"/>
      <c r="B713" s="1077" t="str">
        <f>+'3 INDICADORES'!B161:D161</f>
        <v>11.2 - Quantas pessoas utilizam EPI adequadamente</v>
      </c>
      <c r="C713" s="1066">
        <v>1</v>
      </c>
      <c r="D713" s="378"/>
      <c r="E713" s="378"/>
      <c r="F713" s="2160"/>
      <c r="G713" s="2160"/>
      <c r="H713" s="2160"/>
      <c r="I713" s="378"/>
      <c r="J713" s="378"/>
      <c r="K713" s="378"/>
      <c r="L713" s="378"/>
      <c r="M713" s="378"/>
      <c r="N713" s="378"/>
      <c r="O713" s="378"/>
      <c r="P713" s="378"/>
      <c r="Q713" s="378"/>
      <c r="R713" s="378"/>
      <c r="S713" s="378"/>
      <c r="T713" s="378"/>
      <c r="U713" s="378"/>
      <c r="V713" s="378"/>
      <c r="W713" s="378"/>
      <c r="X713" s="378"/>
      <c r="Y713" s="378"/>
      <c r="Z713" s="378"/>
      <c r="AA713" s="378"/>
      <c r="AB713" s="378"/>
      <c r="AC713" s="378"/>
      <c r="AD713" s="378"/>
      <c r="AE713" s="378"/>
      <c r="AF713" s="378"/>
      <c r="AG713" s="378"/>
      <c r="AH713" s="378"/>
      <c r="AI713" s="378"/>
      <c r="AJ713" s="378"/>
      <c r="AK713" s="378"/>
      <c r="AL713" s="378"/>
      <c r="AM713" s="378"/>
      <c r="AN713" s="378"/>
      <c r="AO713" s="378"/>
      <c r="AP713" s="378"/>
      <c r="AQ713" s="378"/>
      <c r="AR713" s="378"/>
      <c r="AS713" s="378"/>
      <c r="AT713" s="378"/>
      <c r="AU713" s="378"/>
    </row>
    <row r="714" spans="1:47" ht="34.5" customHeight="1" x14ac:dyDescent="0.25">
      <c r="A714" s="378"/>
      <c r="B714" s="1077" t="str">
        <f>+'3 INDICADORES'!B162:D162</f>
        <v>11.3 - Armazenamento adequado das embalagens</v>
      </c>
      <c r="C714" s="1066">
        <v>1</v>
      </c>
      <c r="D714" s="378"/>
      <c r="E714" s="378"/>
      <c r="F714" s="1096">
        <f>IF('3 INDICADORES'!E160&gt;0,('3 INDICADORES'!E161/'3 INDICADORES'!E160),0.7)</f>
        <v>0.7</v>
      </c>
      <c r="G714" s="1068">
        <f>IF('3 INDICADORES'!E160&gt;0,(H714+H715+F714)/3*0.7,0.7)</f>
        <v>0.7</v>
      </c>
      <c r="H714" s="1081">
        <f>IF('3 INDICADORES'!F162="x",1,0)</f>
        <v>0</v>
      </c>
      <c r="I714" s="378"/>
      <c r="J714" s="378"/>
      <c r="K714" s="378"/>
      <c r="L714" s="378"/>
      <c r="M714" s="378"/>
      <c r="N714" s="378"/>
      <c r="O714" s="378"/>
      <c r="P714" s="378"/>
      <c r="Q714" s="378"/>
      <c r="R714" s="378"/>
      <c r="S714" s="378"/>
      <c r="T714" s="378"/>
      <c r="U714" s="378"/>
      <c r="V714" s="378"/>
      <c r="W714" s="378"/>
      <c r="X714" s="378"/>
      <c r="Y714" s="378"/>
      <c r="Z714" s="378"/>
      <c r="AA714" s="378"/>
      <c r="AB714" s="378"/>
      <c r="AC714" s="378"/>
      <c r="AD714" s="378"/>
      <c r="AE714" s="378"/>
      <c r="AF714" s="378"/>
      <c r="AG714" s="378"/>
      <c r="AH714" s="378"/>
      <c r="AI714" s="378"/>
      <c r="AJ714" s="378"/>
      <c r="AK714" s="378"/>
      <c r="AL714" s="378"/>
      <c r="AM714" s="378"/>
      <c r="AN714" s="378"/>
      <c r="AO714" s="378"/>
      <c r="AP714" s="378"/>
      <c r="AQ714" s="378"/>
      <c r="AR714" s="378"/>
      <c r="AS714" s="378"/>
      <c r="AT714" s="378"/>
      <c r="AU714" s="378"/>
    </row>
    <row r="715" spans="1:47" ht="34.5" customHeight="1" x14ac:dyDescent="0.25">
      <c r="A715" s="378"/>
      <c r="B715" s="1077" t="str">
        <f>+'3 INDICADORES'!B163:D163</f>
        <v>11.4 - Devolução das embalagens de agrotóxico e destinação correta das embalagens de produtos veterinários</v>
      </c>
      <c r="C715" s="1066">
        <v>1</v>
      </c>
      <c r="D715" s="378"/>
      <c r="E715" s="378"/>
      <c r="F715" s="549"/>
      <c r="G715" s="549"/>
      <c r="H715" s="1081">
        <f>IF('3 INDICADORES'!F163="x",1,0)</f>
        <v>0</v>
      </c>
      <c r="I715" s="378"/>
      <c r="J715" s="378"/>
      <c r="K715" s="378"/>
      <c r="L715" s="378"/>
      <c r="M715" s="378"/>
      <c r="N715" s="378"/>
      <c r="O715" s="378"/>
      <c r="P715" s="378"/>
      <c r="Q715" s="378"/>
      <c r="R715" s="378"/>
      <c r="S715" s="378"/>
      <c r="T715" s="378"/>
      <c r="U715" s="378"/>
      <c r="V715" s="378"/>
      <c r="W715" s="378"/>
      <c r="X715" s="378"/>
      <c r="Y715" s="378"/>
      <c r="Z715" s="378"/>
      <c r="AA715" s="378"/>
      <c r="AB715" s="378"/>
      <c r="AC715" s="378"/>
      <c r="AD715" s="378"/>
      <c r="AE715" s="378"/>
      <c r="AF715" s="378"/>
      <c r="AG715" s="378"/>
      <c r="AH715" s="378"/>
      <c r="AI715" s="378"/>
      <c r="AJ715" s="378"/>
      <c r="AK715" s="378"/>
      <c r="AL715" s="378"/>
      <c r="AM715" s="378"/>
      <c r="AN715" s="378"/>
      <c r="AO715" s="378"/>
      <c r="AP715" s="378"/>
      <c r="AQ715" s="378"/>
      <c r="AR715" s="378"/>
      <c r="AS715" s="378"/>
      <c r="AT715" s="378"/>
      <c r="AU715" s="378"/>
    </row>
    <row r="716" spans="1:47" ht="25.5" customHeight="1" x14ac:dyDescent="0.25">
      <c r="A716" s="378"/>
      <c r="B716" s="378"/>
      <c r="C716" s="378"/>
      <c r="D716" s="378"/>
      <c r="E716" s="378"/>
      <c r="F716" s="378"/>
      <c r="G716" s="532"/>
      <c r="H716" s="137"/>
      <c r="I716" s="378"/>
      <c r="J716" s="532"/>
      <c r="K716" s="378"/>
      <c r="L716" s="378"/>
      <c r="M716" s="378"/>
      <c r="N716" s="378"/>
      <c r="O716" s="378"/>
      <c r="P716" s="378"/>
      <c r="Q716" s="378"/>
      <c r="R716" s="378"/>
      <c r="S716" s="378"/>
      <c r="T716" s="378"/>
      <c r="U716" s="378"/>
      <c r="V716" s="378"/>
      <c r="W716" s="378"/>
      <c r="X716" s="378"/>
      <c r="Y716" s="378"/>
      <c r="Z716" s="378"/>
      <c r="AA716" s="378"/>
      <c r="AB716" s="378"/>
      <c r="AC716" s="378"/>
      <c r="AD716" s="378"/>
      <c r="AE716" s="378"/>
      <c r="AF716" s="378"/>
      <c r="AG716" s="378"/>
      <c r="AH716" s="378"/>
      <c r="AI716" s="378"/>
      <c r="AJ716" s="378"/>
      <c r="AK716" s="378"/>
      <c r="AL716" s="378"/>
      <c r="AM716" s="378"/>
      <c r="AN716" s="378"/>
      <c r="AO716" s="378"/>
      <c r="AP716" s="378"/>
      <c r="AQ716" s="378"/>
      <c r="AR716" s="378"/>
      <c r="AS716" s="378"/>
      <c r="AT716" s="378"/>
      <c r="AU716" s="378"/>
    </row>
    <row r="717" spans="1:47" ht="21" x14ac:dyDescent="0.35">
      <c r="A717" s="749">
        <v>12</v>
      </c>
      <c r="B717" s="2185" t="s">
        <v>846</v>
      </c>
      <c r="C717" s="2185"/>
      <c r="D717" s="2185"/>
      <c r="E717" s="2185"/>
      <c r="F717" s="2185"/>
      <c r="G717" s="378"/>
      <c r="H717" s="378"/>
      <c r="I717" s="378"/>
      <c r="J717" s="378"/>
      <c r="K717" s="378"/>
      <c r="L717" s="378"/>
      <c r="M717" s="378"/>
      <c r="N717" s="378"/>
      <c r="O717" s="378"/>
      <c r="P717" s="378"/>
      <c r="Q717" s="378"/>
      <c r="R717" s="378"/>
      <c r="S717" s="378"/>
      <c r="T717" s="378"/>
      <c r="U717" s="378"/>
      <c r="V717" s="378"/>
      <c r="W717" s="378"/>
      <c r="X717" s="378"/>
      <c r="Y717" s="378"/>
      <c r="Z717" s="378"/>
      <c r="AA717" s="378"/>
      <c r="AB717" s="378"/>
      <c r="AC717" s="378"/>
      <c r="AD717" s="378"/>
      <c r="AE717" s="378"/>
      <c r="AF717" s="378"/>
      <c r="AG717" s="378"/>
      <c r="AH717" s="378"/>
      <c r="AI717" s="378"/>
      <c r="AJ717" s="378"/>
      <c r="AK717" s="378"/>
      <c r="AL717" s="378"/>
      <c r="AM717" s="378"/>
      <c r="AN717" s="378"/>
      <c r="AO717" s="378"/>
      <c r="AP717" s="378"/>
      <c r="AQ717" s="378"/>
      <c r="AR717" s="378"/>
      <c r="AS717" s="378"/>
      <c r="AT717" s="378"/>
      <c r="AU717" s="378"/>
    </row>
    <row r="718" spans="1:47" x14ac:dyDescent="0.25">
      <c r="A718" s="378"/>
      <c r="B718" s="2186" t="s">
        <v>847</v>
      </c>
      <c r="C718" s="2186"/>
      <c r="D718" s="2186"/>
      <c r="E718" s="2186"/>
      <c r="F718" s="2184" t="s">
        <v>774</v>
      </c>
      <c r="G718" s="378"/>
      <c r="H718" s="378"/>
      <c r="I718" s="378"/>
      <c r="J718" s="378"/>
      <c r="K718" s="378"/>
      <c r="L718" s="378"/>
      <c r="M718" s="378"/>
      <c r="N718" s="378"/>
      <c r="O718" s="378"/>
      <c r="P718" s="378"/>
      <c r="Q718" s="378"/>
      <c r="R718" s="378"/>
      <c r="S718" s="378"/>
      <c r="T718" s="378"/>
      <c r="U718" s="378"/>
      <c r="V718" s="378"/>
      <c r="W718" s="378"/>
      <c r="X718" s="378"/>
      <c r="Y718" s="378"/>
      <c r="Z718" s="378"/>
      <c r="AA718" s="378"/>
      <c r="AB718" s="378"/>
      <c r="AC718" s="378"/>
      <c r="AD718" s="378"/>
      <c r="AE718" s="378"/>
      <c r="AF718" s="378"/>
      <c r="AG718" s="378"/>
      <c r="AH718" s="378"/>
      <c r="AI718" s="378"/>
      <c r="AJ718" s="378"/>
      <c r="AK718" s="378"/>
      <c r="AL718" s="378"/>
      <c r="AM718" s="378"/>
      <c r="AN718" s="378"/>
      <c r="AO718" s="378"/>
      <c r="AP718" s="378"/>
      <c r="AQ718" s="378"/>
      <c r="AR718" s="378"/>
      <c r="AS718" s="378"/>
      <c r="AT718" s="378"/>
      <c r="AU718" s="378"/>
    </row>
    <row r="719" spans="1:47" x14ac:dyDescent="0.25">
      <c r="A719" s="378"/>
      <c r="B719" s="1097" t="s">
        <v>418</v>
      </c>
      <c r="C719" s="1097" t="s">
        <v>421</v>
      </c>
      <c r="D719" s="1097" t="s">
        <v>423</v>
      </c>
      <c r="E719" s="1097" t="s">
        <v>848</v>
      </c>
      <c r="F719" s="2184"/>
      <c r="G719" s="378"/>
      <c r="H719" s="378"/>
      <c r="I719" s="378"/>
      <c r="J719" s="378"/>
      <c r="K719" s="378"/>
      <c r="L719" s="378"/>
      <c r="M719" s="378"/>
      <c r="N719" s="378"/>
      <c r="O719" s="378"/>
      <c r="P719" s="378"/>
      <c r="Q719" s="378"/>
      <c r="R719" s="378"/>
      <c r="S719" s="378"/>
      <c r="T719" s="378"/>
      <c r="U719" s="378"/>
      <c r="V719" s="378"/>
      <c r="W719" s="378"/>
      <c r="X719" s="378"/>
      <c r="Y719" s="378"/>
      <c r="Z719" s="378"/>
      <c r="AA719" s="378"/>
      <c r="AB719" s="378"/>
      <c r="AC719" s="378"/>
      <c r="AD719" s="378"/>
      <c r="AE719" s="378"/>
      <c r="AF719" s="378"/>
      <c r="AG719" s="378"/>
      <c r="AH719" s="378"/>
      <c r="AI719" s="378"/>
      <c r="AJ719" s="378"/>
      <c r="AK719" s="378"/>
      <c r="AL719" s="378"/>
      <c r="AM719" s="378"/>
      <c r="AN719" s="378"/>
      <c r="AO719" s="378"/>
      <c r="AP719" s="378"/>
      <c r="AQ719" s="378"/>
      <c r="AR719" s="378"/>
      <c r="AS719" s="378"/>
      <c r="AT719" s="378"/>
      <c r="AU719" s="378"/>
    </row>
    <row r="720" spans="1:47" x14ac:dyDescent="0.25">
      <c r="A720" s="378"/>
      <c r="B720" s="1098">
        <v>0</v>
      </c>
      <c r="C720" s="1098">
        <v>0</v>
      </c>
      <c r="D720" s="1098">
        <v>0</v>
      </c>
      <c r="E720" s="1098">
        <v>0</v>
      </c>
      <c r="F720" s="1098">
        <v>0.1</v>
      </c>
      <c r="G720" s="378"/>
      <c r="H720" s="378"/>
      <c r="I720" s="378"/>
      <c r="J720" s="378"/>
      <c r="K720" s="378"/>
      <c r="L720" s="378"/>
      <c r="M720" s="378"/>
      <c r="N720" s="378"/>
      <c r="O720" s="378"/>
      <c r="P720" s="378"/>
      <c r="Q720" s="378"/>
      <c r="R720" s="378"/>
      <c r="S720" s="378"/>
      <c r="T720" s="378"/>
      <c r="U720" s="378"/>
      <c r="V720" s="378"/>
      <c r="W720" s="378"/>
      <c r="X720" s="378"/>
      <c r="Y720" s="378"/>
      <c r="Z720" s="378"/>
      <c r="AA720" s="378"/>
      <c r="AB720" s="378"/>
      <c r="AC720" s="378"/>
      <c r="AD720" s="378"/>
      <c r="AE720" s="378"/>
      <c r="AF720" s="378"/>
      <c r="AG720" s="378"/>
      <c r="AH720" s="378"/>
      <c r="AI720" s="378"/>
      <c r="AJ720" s="378"/>
      <c r="AK720" s="378"/>
      <c r="AL720" s="378"/>
      <c r="AM720" s="378"/>
      <c r="AN720" s="378"/>
      <c r="AO720" s="378"/>
      <c r="AP720" s="378"/>
      <c r="AQ720" s="378"/>
      <c r="AR720" s="378"/>
      <c r="AS720" s="378"/>
      <c r="AT720" s="378"/>
      <c r="AU720" s="378"/>
    </row>
    <row r="721" spans="1:47" x14ac:dyDescent="0.25">
      <c r="A721" s="378"/>
      <c r="B721" s="1098">
        <v>0.8</v>
      </c>
      <c r="C721" s="1098">
        <v>1.6</v>
      </c>
      <c r="D721" s="1098">
        <v>2.4</v>
      </c>
      <c r="E721" s="1098">
        <v>2.8</v>
      </c>
      <c r="F721" s="1098">
        <v>0.5</v>
      </c>
      <c r="G721" s="378"/>
      <c r="H721" s="378"/>
      <c r="I721" s="378"/>
      <c r="J721" s="378"/>
      <c r="K721" s="378"/>
      <c r="L721" s="378"/>
      <c r="M721" s="378"/>
      <c r="N721" s="378"/>
      <c r="O721" s="378"/>
      <c r="P721" s="378"/>
      <c r="Q721" s="378"/>
      <c r="R721" s="378"/>
      <c r="S721" s="378"/>
      <c r="T721" s="378"/>
      <c r="U721" s="378"/>
      <c r="V721" s="378"/>
      <c r="W721" s="378"/>
      <c r="X721" s="378"/>
      <c r="Y721" s="378"/>
      <c r="Z721" s="378"/>
      <c r="AA721" s="378"/>
      <c r="AB721" s="378"/>
      <c r="AC721" s="378"/>
      <c r="AD721" s="378"/>
      <c r="AE721" s="378"/>
      <c r="AF721" s="378"/>
      <c r="AG721" s="378"/>
      <c r="AH721" s="378"/>
      <c r="AI721" s="378"/>
      <c r="AJ721" s="378"/>
      <c r="AK721" s="378"/>
      <c r="AL721" s="378"/>
      <c r="AM721" s="378"/>
      <c r="AN721" s="378"/>
      <c r="AO721" s="378"/>
      <c r="AP721" s="378"/>
      <c r="AQ721" s="378"/>
      <c r="AR721" s="378"/>
      <c r="AS721" s="378"/>
      <c r="AT721" s="378"/>
      <c r="AU721" s="378"/>
    </row>
    <row r="722" spans="1:47" x14ac:dyDescent="0.25">
      <c r="A722" s="378"/>
      <c r="B722" s="1098">
        <v>1.1000000000000001</v>
      </c>
      <c r="C722" s="1098">
        <v>2.1</v>
      </c>
      <c r="D722" s="1098">
        <v>3.1</v>
      </c>
      <c r="E722" s="1098">
        <v>3.6</v>
      </c>
      <c r="F722" s="1098">
        <v>0.7</v>
      </c>
      <c r="G722" s="378"/>
      <c r="H722" s="378"/>
      <c r="I722" s="378"/>
      <c r="J722" s="378"/>
      <c r="K722" s="378"/>
      <c r="L722" s="378"/>
      <c r="M722" s="378"/>
      <c r="N722" s="378"/>
      <c r="O722" s="378"/>
      <c r="P722" s="378"/>
      <c r="Q722" s="378"/>
      <c r="R722" s="378"/>
      <c r="S722" s="378"/>
      <c r="T722" s="378"/>
      <c r="U722" s="378"/>
      <c r="V722" s="378"/>
      <c r="W722" s="378"/>
      <c r="X722" s="378"/>
      <c r="Y722" s="378"/>
      <c r="Z722" s="378"/>
      <c r="AA722" s="378"/>
      <c r="AB722" s="378"/>
      <c r="AC722" s="378"/>
      <c r="AD722" s="378"/>
      <c r="AE722" s="378"/>
      <c r="AF722" s="378"/>
      <c r="AG722" s="378"/>
      <c r="AH722" s="378"/>
      <c r="AI722" s="378"/>
      <c r="AJ722" s="378"/>
      <c r="AK722" s="378"/>
      <c r="AL722" s="378"/>
      <c r="AM722" s="378"/>
      <c r="AN722" s="378"/>
      <c r="AO722" s="378"/>
      <c r="AP722" s="378"/>
      <c r="AQ722" s="378"/>
      <c r="AR722" s="378"/>
      <c r="AS722" s="378"/>
      <c r="AT722" s="378"/>
      <c r="AU722" s="378"/>
    </row>
    <row r="723" spans="1:47" x14ac:dyDescent="0.25">
      <c r="A723" s="378"/>
      <c r="B723" s="1098">
        <v>1.5</v>
      </c>
      <c r="C723" s="1098">
        <v>3</v>
      </c>
      <c r="D723" s="1098">
        <v>4.5</v>
      </c>
      <c r="E723" s="1098">
        <v>5.2</v>
      </c>
      <c r="F723" s="1098">
        <v>1</v>
      </c>
      <c r="G723" s="378"/>
      <c r="H723" s="378"/>
      <c r="I723" s="378"/>
      <c r="J723" s="378"/>
      <c r="K723" s="378"/>
      <c r="L723" s="378"/>
      <c r="M723" s="378"/>
      <c r="N723" s="378"/>
      <c r="O723" s="378"/>
      <c r="P723" s="378"/>
      <c r="Q723" s="378"/>
      <c r="R723" s="378"/>
      <c r="S723" s="378"/>
      <c r="T723" s="378"/>
      <c r="U723" s="378"/>
      <c r="V723" s="378"/>
      <c r="W723" s="378"/>
      <c r="X723" s="378"/>
      <c r="Y723" s="378"/>
      <c r="Z723" s="378"/>
      <c r="AA723" s="378"/>
      <c r="AB723" s="378"/>
      <c r="AC723" s="378"/>
      <c r="AD723" s="378"/>
      <c r="AE723" s="378"/>
      <c r="AF723" s="378"/>
      <c r="AG723" s="378"/>
      <c r="AH723" s="378"/>
      <c r="AI723" s="378"/>
      <c r="AJ723" s="378"/>
      <c r="AK723" s="378"/>
      <c r="AL723" s="378"/>
      <c r="AM723" s="378"/>
      <c r="AN723" s="378"/>
      <c r="AO723" s="378"/>
      <c r="AP723" s="378"/>
      <c r="AQ723" s="378"/>
      <c r="AR723" s="378"/>
      <c r="AS723" s="378"/>
      <c r="AT723" s="378"/>
      <c r="AU723" s="378"/>
    </row>
    <row r="724" spans="1:47" x14ac:dyDescent="0.25">
      <c r="A724" s="378"/>
      <c r="B724" s="1103">
        <v>4.5</v>
      </c>
      <c r="C724" s="1103">
        <v>9</v>
      </c>
      <c r="D724" s="1103">
        <v>13.5</v>
      </c>
      <c r="E724" s="1103">
        <v>15.6</v>
      </c>
      <c r="F724" s="1103">
        <v>0.7</v>
      </c>
      <c r="G724" s="378"/>
      <c r="H724" s="378"/>
      <c r="I724" s="378"/>
      <c r="J724" s="378"/>
      <c r="K724" s="378"/>
      <c r="L724" s="378"/>
      <c r="M724" s="378"/>
      <c r="N724" s="378"/>
      <c r="O724" s="378"/>
      <c r="P724" s="378"/>
      <c r="Q724" s="378"/>
      <c r="R724" s="378"/>
      <c r="S724" s="378"/>
      <c r="T724" s="378"/>
      <c r="U724" s="378"/>
      <c r="V724" s="378"/>
      <c r="W724" s="378"/>
      <c r="X724" s="378"/>
      <c r="Y724" s="378"/>
      <c r="Z724" s="378"/>
      <c r="AA724" s="378"/>
      <c r="AB724" s="378"/>
      <c r="AC724" s="378"/>
      <c r="AD724" s="378"/>
      <c r="AE724" s="378"/>
      <c r="AF724" s="378"/>
      <c r="AG724" s="378"/>
      <c r="AH724" s="378"/>
      <c r="AI724" s="378"/>
      <c r="AJ724" s="378"/>
      <c r="AK724" s="378"/>
      <c r="AL724" s="378"/>
      <c r="AM724" s="378"/>
      <c r="AN724" s="378"/>
      <c r="AO724" s="378"/>
      <c r="AP724" s="378"/>
      <c r="AQ724" s="378"/>
      <c r="AR724" s="378"/>
      <c r="AS724" s="378"/>
      <c r="AT724" s="378"/>
      <c r="AU724" s="378"/>
    </row>
    <row r="725" spans="1:47" x14ac:dyDescent="0.25">
      <c r="A725" s="378"/>
      <c r="B725" s="2013" t="s">
        <v>849</v>
      </c>
      <c r="C725" s="2014"/>
      <c r="D725" s="2014"/>
      <c r="E725" s="2014"/>
      <c r="F725" s="2014"/>
      <c r="G725" s="2014"/>
      <c r="H725" s="2014"/>
      <c r="I725" s="2014"/>
      <c r="J725" s="2014"/>
      <c r="K725" s="2015"/>
      <c r="L725" s="378"/>
      <c r="M725" s="378"/>
      <c r="N725" s="378"/>
      <c r="O725" s="378"/>
      <c r="P725" s="378"/>
      <c r="Q725" s="378"/>
      <c r="R725" s="378"/>
      <c r="S725" s="378"/>
      <c r="T725" s="378"/>
      <c r="U725" s="378"/>
      <c r="V725" s="378"/>
      <c r="W725" s="378"/>
      <c r="X725" s="378"/>
      <c r="Y725" s="378"/>
      <c r="Z725" s="378"/>
      <c r="AA725" s="378"/>
      <c r="AB725" s="378"/>
      <c r="AC725" s="378"/>
      <c r="AD725" s="378"/>
      <c r="AE725" s="378"/>
      <c r="AF725" s="378"/>
      <c r="AG725" s="378"/>
      <c r="AH725" s="378"/>
      <c r="AI725" s="378"/>
      <c r="AJ725" s="378"/>
      <c r="AK725" s="378"/>
      <c r="AL725" s="378"/>
      <c r="AM725" s="378"/>
      <c r="AN725" s="378"/>
      <c r="AO725" s="378"/>
      <c r="AP725" s="378"/>
      <c r="AQ725" s="378"/>
      <c r="AR725" s="378"/>
      <c r="AS725" s="378"/>
      <c r="AT725" s="378"/>
      <c r="AU725" s="378"/>
    </row>
    <row r="726" spans="1:47" x14ac:dyDescent="0.25">
      <c r="A726" s="378"/>
      <c r="B726" s="2163" t="s">
        <v>418</v>
      </c>
      <c r="C726" s="2142" t="s">
        <v>850</v>
      </c>
      <c r="D726" s="2143"/>
      <c r="E726" s="2143" t="s">
        <v>851</v>
      </c>
      <c r="F726" s="2183"/>
      <c r="G726" s="2165" t="s">
        <v>421</v>
      </c>
      <c r="H726" s="2142" t="s">
        <v>850</v>
      </c>
      <c r="I726" s="2143"/>
      <c r="J726" s="2143" t="s">
        <v>851</v>
      </c>
      <c r="K726" s="2175"/>
      <c r="L726" s="378"/>
      <c r="M726" s="1069">
        <f>IF(ISBLANK('3 INDICADORES'!B182),0,IF('3 INDICADORES'!B182&lt;1.5,'GUIA DE APLICAÇÃO'!E729,'GUIA DE APLICAÇÃO'!F729))</f>
        <v>0</v>
      </c>
      <c r="N726" s="378"/>
      <c r="O726" s="378"/>
      <c r="P726" s="378"/>
      <c r="Q726" s="378"/>
      <c r="R726" s="378"/>
      <c r="S726" s="378"/>
      <c r="T726" s="378"/>
      <c r="U726" s="378"/>
      <c r="V726" s="378"/>
      <c r="W726" s="378"/>
      <c r="X726" s="378"/>
      <c r="Y726" s="378"/>
      <c r="Z726" s="378"/>
      <c r="AA726" s="378"/>
      <c r="AB726" s="378"/>
      <c r="AC726" s="378"/>
      <c r="AD726" s="378"/>
      <c r="AE726" s="378"/>
      <c r="AF726" s="378"/>
      <c r="AG726" s="378"/>
      <c r="AH726" s="378"/>
      <c r="AI726" s="378"/>
      <c r="AJ726" s="378"/>
      <c r="AK726" s="378"/>
      <c r="AL726" s="378"/>
      <c r="AM726" s="378"/>
      <c r="AN726" s="378"/>
      <c r="AO726" s="378"/>
      <c r="AP726" s="378"/>
      <c r="AQ726" s="378"/>
      <c r="AR726" s="378"/>
      <c r="AS726" s="378"/>
      <c r="AT726" s="378"/>
      <c r="AU726" s="378"/>
    </row>
    <row r="727" spans="1:47" x14ac:dyDescent="0.25">
      <c r="A727" s="378"/>
      <c r="B727" s="2164"/>
      <c r="C727" s="457" t="s">
        <v>852</v>
      </c>
      <c r="D727" s="458">
        <v>0.1</v>
      </c>
      <c r="E727" s="461" t="s">
        <v>852</v>
      </c>
      <c r="F727" s="462">
        <v>1.1499999999999999</v>
      </c>
      <c r="G727" s="2166"/>
      <c r="H727" s="457" t="s">
        <v>852</v>
      </c>
      <c r="I727" s="464">
        <v>0.1</v>
      </c>
      <c r="J727" s="461" t="s">
        <v>852</v>
      </c>
      <c r="K727" s="1099">
        <v>1.1499999999999999</v>
      </c>
      <c r="L727" s="378"/>
      <c r="M727" s="1069">
        <f>IF(ISBLANK('3 INDICADORES'!C182),0,IF('3 INDICADORES'!C182&lt;3,'GUIA DE APLICAÇÃO'!J729,'GUIA DE APLICAÇÃO'!K729))</f>
        <v>0</v>
      </c>
      <c r="N727" s="378"/>
      <c r="O727" s="378"/>
      <c r="P727" s="378"/>
      <c r="Q727" s="378"/>
      <c r="R727" s="378"/>
      <c r="S727" s="378"/>
      <c r="T727" s="378"/>
      <c r="U727" s="378"/>
      <c r="V727" s="378"/>
      <c r="W727" s="378"/>
      <c r="X727" s="378"/>
      <c r="Y727" s="378"/>
      <c r="Z727" s="378"/>
      <c r="AA727" s="378"/>
      <c r="AB727" s="378"/>
      <c r="AC727" s="378"/>
      <c r="AD727" s="378"/>
      <c r="AE727" s="378"/>
      <c r="AF727" s="378"/>
      <c r="AG727" s="378"/>
      <c r="AH727" s="378"/>
      <c r="AI727" s="378"/>
      <c r="AJ727" s="378"/>
      <c r="AK727" s="378"/>
      <c r="AL727" s="378"/>
      <c r="AM727" s="378"/>
      <c r="AN727" s="378"/>
      <c r="AO727" s="378"/>
      <c r="AP727" s="378"/>
      <c r="AQ727" s="378"/>
      <c r="AR727" s="378"/>
      <c r="AS727" s="378"/>
      <c r="AT727" s="378"/>
      <c r="AU727" s="378"/>
    </row>
    <row r="728" spans="1:47" x14ac:dyDescent="0.25">
      <c r="A728" s="378"/>
      <c r="B728" s="2164"/>
      <c r="C728" s="457" t="s">
        <v>805</v>
      </c>
      <c r="D728" s="458">
        <v>0.35970000000000002</v>
      </c>
      <c r="E728" s="461" t="s">
        <v>805</v>
      </c>
      <c r="F728" s="462">
        <v>-0.1</v>
      </c>
      <c r="G728" s="2166"/>
      <c r="H728" s="457" t="s">
        <v>805</v>
      </c>
      <c r="I728" s="464">
        <v>2.3999999999999998E-3</v>
      </c>
      <c r="J728" s="461" t="s">
        <v>805</v>
      </c>
      <c r="K728" s="1099">
        <v>-0.05</v>
      </c>
      <c r="L728" s="378"/>
      <c r="M728" s="1069">
        <f>IF(ISBLANK('3 INDICADORES'!D182),0,IF('3 INDICADORES'!D182&lt;4.5,'GUIA DE APLICAÇÃO'!E734,'GUIA DE APLICAÇÃO'!F734))</f>
        <v>0</v>
      </c>
      <c r="N728" s="378"/>
      <c r="O728" s="378"/>
      <c r="P728" s="378"/>
      <c r="Q728" s="378"/>
      <c r="R728" s="378"/>
      <c r="S728" s="378"/>
      <c r="T728" s="378"/>
      <c r="U728" s="378"/>
      <c r="V728" s="378"/>
      <c r="W728" s="378"/>
      <c r="X728" s="378"/>
      <c r="Y728" s="378"/>
      <c r="Z728" s="378"/>
      <c r="AA728" s="378"/>
      <c r="AB728" s="378"/>
      <c r="AC728" s="378"/>
      <c r="AD728" s="378"/>
      <c r="AE728" s="378"/>
      <c r="AF728" s="378"/>
      <c r="AG728" s="378"/>
      <c r="AH728" s="378"/>
      <c r="AI728" s="378"/>
      <c r="AJ728" s="378"/>
      <c r="AK728" s="378"/>
      <c r="AL728" s="378"/>
      <c r="AM728" s="378"/>
      <c r="AN728" s="378"/>
      <c r="AO728" s="378"/>
      <c r="AP728" s="378"/>
      <c r="AQ728" s="378"/>
      <c r="AR728" s="378"/>
      <c r="AS728" s="378"/>
      <c r="AT728" s="378"/>
      <c r="AU728" s="378"/>
    </row>
    <row r="729" spans="1:47" x14ac:dyDescent="0.25">
      <c r="A729" s="378"/>
      <c r="B729" s="2164"/>
      <c r="C729" s="457" t="s">
        <v>853</v>
      </c>
      <c r="D729" s="458">
        <v>0.19259999999999999</v>
      </c>
      <c r="E729" s="461">
        <f>D727+D728*'3 INDICADORES'!B182+D729*'3 INDICADORES'!B182^2+D730*'3 INDICADORES'!B182^3</f>
        <v>0.1</v>
      </c>
      <c r="F729" s="463">
        <f>F727+F728*'3 INDICADORES'!B182</f>
        <v>1.1499999999999999</v>
      </c>
      <c r="G729" s="2166"/>
      <c r="H729" s="457" t="s">
        <v>853</v>
      </c>
      <c r="I729" s="464">
        <v>0.21829999999999999</v>
      </c>
      <c r="J729" s="461">
        <f>I727+I728*'3 INDICADORES'!C182+I729*'3 INDICADORES'!C182^2+I730*'3 INDICADORES'!C182^3</f>
        <v>0.1</v>
      </c>
      <c r="K729" s="1099">
        <f>K727+K728*'3 INDICADORES'!C182</f>
        <v>1.1499999999999999</v>
      </c>
      <c r="L729" s="378"/>
      <c r="M729" s="1069">
        <f>IF(ISBLANK('3 INDICADORES'!E182),0,IF('3 INDICADORES'!E182&lt;5.2,'GUIA DE APLICAÇÃO'!J734,'GUIA DE APLICAÇÃO'!K734))</f>
        <v>0</v>
      </c>
      <c r="N729" s="378"/>
      <c r="O729" s="378"/>
      <c r="P729" s="378"/>
      <c r="Q729" s="378"/>
      <c r="R729" s="378"/>
      <c r="S729" s="378"/>
      <c r="T729" s="378"/>
      <c r="U729" s="378"/>
      <c r="V729" s="378"/>
      <c r="W729" s="378"/>
      <c r="X729" s="378"/>
      <c r="Y729" s="378"/>
      <c r="Z729" s="378"/>
      <c r="AA729" s="378"/>
      <c r="AB729" s="378"/>
      <c r="AC729" s="378"/>
      <c r="AD729" s="378"/>
      <c r="AE729" s="378"/>
      <c r="AF729" s="378"/>
      <c r="AG729" s="378"/>
      <c r="AH729" s="378"/>
      <c r="AI729" s="378"/>
      <c r="AJ729" s="378"/>
      <c r="AK729" s="378"/>
      <c r="AL729" s="378"/>
      <c r="AM729" s="378"/>
      <c r="AN729" s="378"/>
      <c r="AO729" s="378"/>
      <c r="AP729" s="378"/>
      <c r="AQ729" s="378"/>
      <c r="AR729" s="378"/>
      <c r="AS729" s="378"/>
      <c r="AT729" s="378"/>
      <c r="AU729" s="378"/>
    </row>
    <row r="730" spans="1:47" x14ac:dyDescent="0.25">
      <c r="A730" s="378"/>
      <c r="B730" s="2164"/>
      <c r="C730" s="459" t="s">
        <v>854</v>
      </c>
      <c r="D730" s="460">
        <v>-2.1600000000000001E-2</v>
      </c>
      <c r="E730" s="183"/>
      <c r="F730" s="353"/>
      <c r="G730" s="2166"/>
      <c r="H730" s="459" t="s">
        <v>854</v>
      </c>
      <c r="I730" s="465">
        <v>-3.9699999999999999E-2</v>
      </c>
      <c r="J730" s="183"/>
      <c r="K730" s="1100"/>
      <c r="L730" s="378"/>
      <c r="M730" s="1069">
        <f>(M726+M727+M728+M729)</f>
        <v>0</v>
      </c>
      <c r="N730" s="378"/>
      <c r="O730" s="378"/>
      <c r="P730" s="378"/>
      <c r="Q730" s="378"/>
      <c r="R730" s="378"/>
      <c r="S730" s="378"/>
      <c r="T730" s="378"/>
      <c r="U730" s="378"/>
      <c r="V730" s="378"/>
      <c r="W730" s="378"/>
      <c r="X730" s="378"/>
      <c r="Y730" s="378"/>
      <c r="Z730" s="378"/>
      <c r="AA730" s="378"/>
      <c r="AB730" s="378"/>
      <c r="AC730" s="378"/>
      <c r="AD730" s="378"/>
      <c r="AE730" s="378"/>
      <c r="AF730" s="378"/>
      <c r="AG730" s="378"/>
      <c r="AH730" s="378"/>
      <c r="AI730" s="378"/>
      <c r="AJ730" s="378"/>
      <c r="AK730" s="378"/>
      <c r="AL730" s="378"/>
      <c r="AM730" s="378"/>
      <c r="AN730" s="378"/>
      <c r="AO730" s="378"/>
      <c r="AP730" s="378"/>
      <c r="AQ730" s="378"/>
      <c r="AR730" s="378"/>
      <c r="AS730" s="378"/>
      <c r="AT730" s="378"/>
      <c r="AU730" s="378"/>
    </row>
    <row r="731" spans="1:47" x14ac:dyDescent="0.25">
      <c r="A731" s="378"/>
      <c r="B731" s="2167" t="s">
        <v>423</v>
      </c>
      <c r="C731" s="466" t="s">
        <v>850</v>
      </c>
      <c r="D731" s="467"/>
      <c r="E731" s="1981" t="s">
        <v>851</v>
      </c>
      <c r="F731" s="2162"/>
      <c r="G731" s="2168" t="s">
        <v>434</v>
      </c>
      <c r="H731" s="2170" t="s">
        <v>850</v>
      </c>
      <c r="I731" s="1981"/>
      <c r="J731" s="1981" t="s">
        <v>851</v>
      </c>
      <c r="K731" s="1982"/>
      <c r="L731" s="378"/>
      <c r="M731" s="378"/>
      <c r="N731" s="378"/>
      <c r="O731" s="378"/>
      <c r="P731" s="378"/>
      <c r="Q731" s="378"/>
      <c r="R731" s="378"/>
      <c r="S731" s="378"/>
      <c r="T731" s="378"/>
      <c r="U731" s="378"/>
      <c r="V731" s="378"/>
      <c r="W731" s="378"/>
      <c r="X731" s="378"/>
      <c r="Y731" s="378"/>
      <c r="Z731" s="378"/>
      <c r="AA731" s="378"/>
      <c r="AB731" s="378"/>
      <c r="AC731" s="378"/>
      <c r="AD731" s="378"/>
      <c r="AE731" s="378"/>
      <c r="AF731" s="378"/>
      <c r="AG731" s="378"/>
      <c r="AH731" s="378"/>
      <c r="AI731" s="378"/>
      <c r="AJ731" s="378"/>
      <c r="AK731" s="378"/>
      <c r="AL731" s="378"/>
      <c r="AM731" s="378"/>
      <c r="AN731" s="378"/>
      <c r="AO731" s="378"/>
      <c r="AP731" s="378"/>
      <c r="AQ731" s="378"/>
      <c r="AR731" s="378"/>
      <c r="AS731" s="378"/>
      <c r="AT731" s="378"/>
      <c r="AU731" s="378"/>
    </row>
    <row r="732" spans="1:47" x14ac:dyDescent="0.25">
      <c r="A732" s="378"/>
      <c r="B732" s="2164"/>
      <c r="C732" s="457" t="s">
        <v>852</v>
      </c>
      <c r="D732" s="458">
        <v>0.1</v>
      </c>
      <c r="E732" s="461" t="s">
        <v>852</v>
      </c>
      <c r="F732" s="462">
        <v>1.1499999999999999</v>
      </c>
      <c r="G732" s="2166"/>
      <c r="H732" s="457" t="s">
        <v>852</v>
      </c>
      <c r="I732" s="464">
        <v>0.1</v>
      </c>
      <c r="J732" s="461" t="s">
        <v>852</v>
      </c>
      <c r="K732" s="1099">
        <v>1.1499999999999999</v>
      </c>
      <c r="L732" s="378"/>
      <c r="M732" s="378"/>
      <c r="N732" s="378"/>
      <c r="O732" s="378"/>
      <c r="P732" s="378"/>
      <c r="Q732" s="378"/>
      <c r="R732" s="378"/>
      <c r="S732" s="378"/>
      <c r="T732" s="378"/>
      <c r="U732" s="378"/>
      <c r="V732" s="378"/>
      <c r="W732" s="378"/>
      <c r="X732" s="378"/>
      <c r="Y732" s="378"/>
      <c r="Z732" s="378"/>
      <c r="AA732" s="378"/>
      <c r="AB732" s="378"/>
      <c r="AC732" s="378"/>
      <c r="AD732" s="378"/>
      <c r="AE732" s="378"/>
      <c r="AF732" s="378"/>
      <c r="AG732" s="378"/>
      <c r="AH732" s="378"/>
      <c r="AI732" s="378"/>
      <c r="AJ732" s="378"/>
      <c r="AK732" s="378"/>
      <c r="AL732" s="378"/>
      <c r="AM732" s="378"/>
      <c r="AN732" s="378"/>
      <c r="AO732" s="378"/>
      <c r="AP732" s="378"/>
      <c r="AQ732" s="378"/>
      <c r="AR732" s="378"/>
      <c r="AS732" s="378"/>
      <c r="AT732" s="378"/>
      <c r="AU732" s="378"/>
    </row>
    <row r="733" spans="1:47" x14ac:dyDescent="0.25">
      <c r="A733" s="378"/>
      <c r="B733" s="2164"/>
      <c r="C733" s="457" t="s">
        <v>805</v>
      </c>
      <c r="D733" s="458">
        <v>-4.5199999999999997E-2</v>
      </c>
      <c r="E733" s="461" t="s">
        <v>805</v>
      </c>
      <c r="F733" s="462">
        <v>-3.3329999999999999E-2</v>
      </c>
      <c r="G733" s="2166"/>
      <c r="H733" s="457" t="s">
        <v>805</v>
      </c>
      <c r="I733" s="464">
        <v>-4.8599999999999997E-2</v>
      </c>
      <c r="J733" s="461" t="s">
        <v>805</v>
      </c>
      <c r="K733" s="1099">
        <v>-2.8799999999999999E-2</v>
      </c>
      <c r="L733" s="378"/>
      <c r="M733" s="378"/>
      <c r="N733" s="378"/>
      <c r="O733" s="378"/>
      <c r="P733" s="378"/>
      <c r="Q733" s="378"/>
      <c r="R733" s="378"/>
      <c r="S733" s="378"/>
      <c r="T733" s="378"/>
      <c r="U733" s="378"/>
      <c r="V733" s="378"/>
      <c r="W733" s="378"/>
      <c r="X733" s="378"/>
      <c r="Y733" s="378"/>
      <c r="Z733" s="378"/>
      <c r="AA733" s="378"/>
      <c r="AB733" s="378"/>
      <c r="AC733" s="378"/>
      <c r="AD733" s="378"/>
      <c r="AE733" s="378"/>
      <c r="AF733" s="378"/>
      <c r="AG733" s="378"/>
      <c r="AH733" s="378"/>
      <c r="AI733" s="378"/>
      <c r="AJ733" s="378"/>
      <c r="AK733" s="378"/>
      <c r="AL733" s="378"/>
      <c r="AM733" s="378"/>
      <c r="AN733" s="378"/>
      <c r="AO733" s="378"/>
      <c r="AP733" s="378"/>
      <c r="AQ733" s="378"/>
      <c r="AR733" s="378"/>
      <c r="AS733" s="378"/>
      <c r="AT733" s="378"/>
      <c r="AU733" s="378"/>
    </row>
    <row r="734" spans="1:47" x14ac:dyDescent="0.25">
      <c r="A734" s="378"/>
      <c r="B734" s="2164"/>
      <c r="C734" s="457" t="s">
        <v>853</v>
      </c>
      <c r="D734" s="458">
        <v>0.12690000000000001</v>
      </c>
      <c r="E734" s="461">
        <f>D732+D733*'3 INDICADORES'!D182+D734*'3 INDICADORES'!D182^2+D735*'3 INDICADORES'!D182^3</f>
        <v>0.1</v>
      </c>
      <c r="F734" s="462">
        <f>F732+F733*'3 INDICADORES'!D182</f>
        <v>1.1499999999999999</v>
      </c>
      <c r="G734" s="2166"/>
      <c r="H734" s="457" t="s">
        <v>853</v>
      </c>
      <c r="I734" s="464">
        <v>9.8400000000000001E-2</v>
      </c>
      <c r="J734" s="461">
        <f>I732+I733*'3 INDICADORES'!E182+I734*'3 INDICADORES'!E182^2+I735*'3 INDICADORES'!E182^3</f>
        <v>0.1</v>
      </c>
      <c r="K734" s="1099">
        <f>K732+K733*'3 INDICADORES'!E182</f>
        <v>1.1499999999999999</v>
      </c>
      <c r="L734" s="378"/>
      <c r="M734" s="378"/>
      <c r="N734" s="378"/>
      <c r="O734" s="378"/>
      <c r="P734" s="378"/>
      <c r="Q734" s="378"/>
      <c r="R734" s="378"/>
      <c r="S734" s="378"/>
      <c r="T734" s="378"/>
      <c r="U734" s="378"/>
      <c r="V734" s="378"/>
      <c r="W734" s="378"/>
      <c r="X734" s="378"/>
      <c r="Y734" s="378"/>
      <c r="Z734" s="378"/>
      <c r="AA734" s="378"/>
      <c r="AB734" s="378"/>
      <c r="AC734" s="378"/>
      <c r="AD734" s="378"/>
      <c r="AE734" s="378"/>
      <c r="AF734" s="378"/>
      <c r="AG734" s="378"/>
      <c r="AH734" s="378"/>
      <c r="AI734" s="378"/>
      <c r="AJ734" s="378"/>
      <c r="AK734" s="378"/>
      <c r="AL734" s="378"/>
      <c r="AM734" s="378"/>
      <c r="AN734" s="378"/>
      <c r="AO734" s="378"/>
      <c r="AP734" s="378"/>
      <c r="AQ734" s="378"/>
      <c r="AR734" s="378"/>
      <c r="AS734" s="378"/>
      <c r="AT734" s="378"/>
      <c r="AU734" s="378"/>
    </row>
    <row r="735" spans="1:47" x14ac:dyDescent="0.25">
      <c r="A735" s="378"/>
      <c r="B735" s="2164"/>
      <c r="C735" s="457" t="s">
        <v>854</v>
      </c>
      <c r="D735" s="458">
        <v>-1.61E-2</v>
      </c>
      <c r="E735" s="167"/>
      <c r="F735" s="541"/>
      <c r="G735" s="2166"/>
      <c r="H735" s="457" t="s">
        <v>854</v>
      </c>
      <c r="I735" s="464">
        <v>-1.0699999999999999E-2</v>
      </c>
      <c r="J735" s="167"/>
      <c r="K735" s="1104"/>
      <c r="L735" s="378"/>
      <c r="M735" s="378"/>
      <c r="N735" s="378"/>
      <c r="O735" s="378"/>
      <c r="P735" s="378"/>
      <c r="Q735" s="378"/>
      <c r="R735" s="378"/>
      <c r="S735" s="378"/>
      <c r="T735" s="378"/>
      <c r="U735" s="378"/>
      <c r="V735" s="378"/>
      <c r="W735" s="378"/>
      <c r="X735" s="378"/>
      <c r="Y735" s="378"/>
      <c r="Z735" s="378"/>
      <c r="AA735" s="378"/>
      <c r="AB735" s="378"/>
      <c r="AC735" s="378"/>
      <c r="AD735" s="378"/>
      <c r="AE735" s="378"/>
      <c r="AF735" s="378"/>
      <c r="AG735" s="378"/>
      <c r="AH735" s="378"/>
      <c r="AI735" s="378"/>
      <c r="AJ735" s="378"/>
      <c r="AK735" s="378"/>
      <c r="AL735" s="378"/>
      <c r="AM735" s="378"/>
      <c r="AN735" s="378"/>
      <c r="AO735" s="378"/>
      <c r="AP735" s="378"/>
      <c r="AQ735" s="378"/>
      <c r="AR735" s="378"/>
      <c r="AS735" s="378"/>
      <c r="AT735" s="378"/>
      <c r="AU735" s="378"/>
    </row>
    <row r="736" spans="1:47" x14ac:dyDescent="0.25">
      <c r="A736" s="378"/>
      <c r="B736" s="2013" t="s">
        <v>855</v>
      </c>
      <c r="C736" s="2014"/>
      <c r="D736" s="2014"/>
      <c r="E736" s="2014"/>
      <c r="F736" s="2014"/>
      <c r="G736" s="2014"/>
      <c r="H736" s="2014"/>
      <c r="I736" s="2014"/>
      <c r="J736" s="2014"/>
      <c r="K736" s="2014"/>
      <c r="L736" s="2014"/>
      <c r="M736" s="2015"/>
      <c r="N736" s="378"/>
      <c r="O736" s="378"/>
      <c r="P736" s="378"/>
      <c r="Q736" s="378"/>
      <c r="R736" s="378"/>
      <c r="S736" s="378"/>
      <c r="T736" s="378"/>
      <c r="U736" s="378"/>
      <c r="V736" s="378"/>
      <c r="W736" s="378"/>
      <c r="X736" s="378"/>
      <c r="Y736" s="378"/>
      <c r="Z736" s="378"/>
      <c r="AA736" s="378"/>
      <c r="AB736" s="378"/>
      <c r="AC736" s="378"/>
      <c r="AD736" s="378"/>
      <c r="AE736" s="378"/>
      <c r="AF736" s="378"/>
      <c r="AG736" s="378"/>
      <c r="AH736" s="378"/>
      <c r="AI736" s="378"/>
      <c r="AJ736" s="378"/>
      <c r="AK736" s="378"/>
      <c r="AL736" s="378"/>
      <c r="AM736" s="378"/>
      <c r="AN736" s="378"/>
      <c r="AO736" s="378"/>
      <c r="AP736" s="378"/>
      <c r="AQ736" s="378"/>
      <c r="AR736" s="378"/>
      <c r="AS736" s="378"/>
      <c r="AT736" s="378"/>
      <c r="AU736" s="378"/>
    </row>
    <row r="737" spans="1:47" x14ac:dyDescent="0.25">
      <c r="A737" s="378"/>
      <c r="B737" s="378"/>
      <c r="C737" s="378"/>
      <c r="D737" s="378"/>
      <c r="E737" s="378"/>
      <c r="F737" s="378"/>
      <c r="G737" s="378"/>
      <c r="H737" s="378"/>
      <c r="I737" s="378"/>
      <c r="J737" s="378"/>
      <c r="K737" s="378"/>
      <c r="L737" s="378"/>
      <c r="M737" s="378"/>
      <c r="N737" s="378"/>
      <c r="O737" s="378"/>
      <c r="P737" s="378"/>
      <c r="Q737" s="378"/>
      <c r="R737" s="378"/>
      <c r="S737" s="378"/>
      <c r="T737" s="378"/>
      <c r="U737" s="378"/>
      <c r="V737" s="378"/>
      <c r="W737" s="378"/>
      <c r="X737" s="378"/>
      <c r="Y737" s="378"/>
      <c r="Z737" s="378"/>
      <c r="AA737" s="378"/>
      <c r="AB737" s="378"/>
      <c r="AC737" s="378"/>
      <c r="AD737" s="378"/>
      <c r="AE737" s="378"/>
      <c r="AF737" s="378"/>
      <c r="AG737" s="378"/>
      <c r="AH737" s="378"/>
      <c r="AI737" s="378"/>
      <c r="AJ737" s="378"/>
      <c r="AK737" s="378"/>
      <c r="AL737" s="378"/>
      <c r="AM737" s="378"/>
      <c r="AN737" s="378"/>
      <c r="AO737" s="378"/>
      <c r="AP737" s="378"/>
      <c r="AQ737" s="378"/>
      <c r="AR737" s="378"/>
      <c r="AS737" s="378"/>
      <c r="AT737" s="378"/>
      <c r="AU737" s="378"/>
    </row>
    <row r="738" spans="1:47" x14ac:dyDescent="0.25">
      <c r="A738" s="378"/>
      <c r="B738" s="378"/>
      <c r="C738" s="378"/>
      <c r="D738" s="378"/>
      <c r="E738" s="378"/>
      <c r="F738" s="378"/>
      <c r="G738" s="378"/>
      <c r="H738" s="378"/>
      <c r="I738" s="378"/>
      <c r="J738" s="378"/>
      <c r="K738" s="378"/>
      <c r="L738" s="378"/>
      <c r="M738" s="378"/>
      <c r="N738" s="378"/>
      <c r="O738" s="378"/>
      <c r="P738" s="378"/>
      <c r="Q738" s="378"/>
      <c r="R738" s="378"/>
      <c r="S738" s="378"/>
      <c r="T738" s="378"/>
      <c r="U738" s="378"/>
      <c r="V738" s="378"/>
      <c r="W738" s="378"/>
      <c r="X738" s="378"/>
      <c r="Y738" s="378"/>
      <c r="Z738" s="378"/>
      <c r="AA738" s="378"/>
      <c r="AB738" s="378"/>
      <c r="AC738" s="378"/>
      <c r="AD738" s="378"/>
      <c r="AE738" s="378"/>
      <c r="AF738" s="378"/>
      <c r="AG738" s="378"/>
      <c r="AH738" s="378"/>
      <c r="AI738" s="378"/>
      <c r="AJ738" s="378"/>
      <c r="AK738" s="378"/>
      <c r="AL738" s="378"/>
      <c r="AM738" s="378"/>
      <c r="AN738" s="378"/>
      <c r="AO738" s="378"/>
      <c r="AP738" s="378"/>
      <c r="AQ738" s="378"/>
      <c r="AR738" s="378"/>
      <c r="AS738" s="378"/>
      <c r="AT738" s="378"/>
      <c r="AU738" s="378"/>
    </row>
    <row r="739" spans="1:47" x14ac:dyDescent="0.25">
      <c r="A739" s="378"/>
      <c r="B739" s="378"/>
      <c r="C739" s="378"/>
      <c r="D739" s="378"/>
      <c r="E739" s="378"/>
      <c r="F739" s="378"/>
      <c r="G739" s="378"/>
      <c r="H739" s="378"/>
      <c r="I739" s="378"/>
      <c r="J739" s="378"/>
      <c r="K739" s="378"/>
      <c r="L739" s="378"/>
      <c r="M739" s="378"/>
      <c r="N739" s="378"/>
      <c r="O739" s="378"/>
      <c r="P739" s="378"/>
      <c r="Q739" s="378"/>
      <c r="R739" s="378"/>
      <c r="S739" s="378"/>
      <c r="T739" s="378"/>
      <c r="U739" s="378"/>
      <c r="V739" s="378"/>
      <c r="W739" s="378"/>
      <c r="X739" s="378"/>
      <c r="Y739" s="378"/>
      <c r="Z739" s="378"/>
      <c r="AA739" s="378"/>
      <c r="AB739" s="378"/>
      <c r="AC739" s="378"/>
      <c r="AD739" s="378"/>
      <c r="AE739" s="378"/>
      <c r="AF739" s="378"/>
      <c r="AG739" s="378"/>
      <c r="AH739" s="378"/>
      <c r="AI739" s="378"/>
      <c r="AJ739" s="378"/>
      <c r="AK739" s="378"/>
      <c r="AL739" s="378"/>
      <c r="AM739" s="378"/>
      <c r="AN739" s="378"/>
      <c r="AO739" s="378"/>
      <c r="AP739" s="378"/>
      <c r="AQ739" s="378"/>
      <c r="AR739" s="378"/>
      <c r="AS739" s="378"/>
      <c r="AT739" s="378"/>
      <c r="AU739" s="378"/>
    </row>
    <row r="740" spans="1:47" x14ac:dyDescent="0.25">
      <c r="A740" s="378"/>
      <c r="B740" s="378"/>
      <c r="C740" s="378"/>
      <c r="D740" s="378"/>
      <c r="E740" s="378"/>
      <c r="F740" s="378"/>
      <c r="G740" s="378"/>
      <c r="H740" s="378"/>
      <c r="I740" s="378"/>
      <c r="J740" s="378"/>
      <c r="K740" s="378"/>
      <c r="L740" s="378"/>
      <c r="M740" s="378"/>
      <c r="N740" s="378"/>
      <c r="O740" s="378"/>
      <c r="P740" s="378"/>
      <c r="Q740" s="378"/>
      <c r="R740" s="378"/>
      <c r="S740" s="378"/>
      <c r="T740" s="378"/>
      <c r="U740" s="378"/>
      <c r="V740" s="378"/>
      <c r="W740" s="378"/>
      <c r="X740" s="378"/>
      <c r="Y740" s="378"/>
      <c r="Z740" s="378"/>
      <c r="AA740" s="378"/>
      <c r="AB740" s="378"/>
      <c r="AC740" s="378"/>
      <c r="AD740" s="378"/>
      <c r="AE740" s="378"/>
      <c r="AF740" s="378"/>
      <c r="AG740" s="378"/>
      <c r="AH740" s="378"/>
      <c r="AI740" s="378"/>
      <c r="AJ740" s="378"/>
      <c r="AK740" s="378"/>
      <c r="AL740" s="378"/>
      <c r="AM740" s="378"/>
      <c r="AN740" s="378"/>
      <c r="AO740" s="378"/>
      <c r="AP740" s="378"/>
      <c r="AQ740" s="378"/>
      <c r="AR740" s="378"/>
      <c r="AS740" s="378"/>
      <c r="AT740" s="378"/>
      <c r="AU740" s="378"/>
    </row>
    <row r="741" spans="1:47" x14ac:dyDescent="0.25">
      <c r="A741" s="378"/>
      <c r="B741" s="378"/>
      <c r="C741" s="378"/>
      <c r="D741" s="378"/>
      <c r="E741" s="378"/>
      <c r="F741" s="378"/>
      <c r="G741" s="378"/>
      <c r="H741" s="378"/>
      <c r="I741" s="378"/>
      <c r="J741" s="378"/>
      <c r="K741" s="378"/>
      <c r="L741" s="378"/>
      <c r="M741" s="378"/>
      <c r="N741" s="378"/>
      <c r="O741" s="378"/>
      <c r="P741" s="378"/>
      <c r="Q741" s="378"/>
      <c r="R741" s="378"/>
      <c r="S741" s="378"/>
      <c r="T741" s="378"/>
      <c r="U741" s="378"/>
      <c r="V741" s="378"/>
      <c r="W741" s="378"/>
      <c r="X741" s="378"/>
      <c r="Y741" s="378"/>
      <c r="Z741" s="378"/>
      <c r="AA741" s="378"/>
      <c r="AB741" s="378"/>
      <c r="AC741" s="378"/>
      <c r="AD741" s="378"/>
      <c r="AE741" s="378"/>
      <c r="AF741" s="378"/>
      <c r="AG741" s="378"/>
      <c r="AH741" s="378"/>
      <c r="AI741" s="378"/>
      <c r="AJ741" s="378"/>
      <c r="AK741" s="378"/>
      <c r="AL741" s="378"/>
      <c r="AM741" s="378"/>
      <c r="AN741" s="378"/>
      <c r="AO741" s="378"/>
      <c r="AP741" s="378"/>
      <c r="AQ741" s="378"/>
      <c r="AR741" s="378"/>
      <c r="AS741" s="378"/>
      <c r="AT741" s="378"/>
      <c r="AU741" s="378"/>
    </row>
    <row r="742" spans="1:47" x14ac:dyDescent="0.25">
      <c r="A742" s="378"/>
      <c r="B742" s="378"/>
      <c r="C742" s="378"/>
      <c r="D742" s="378"/>
      <c r="E742" s="378"/>
      <c r="F742" s="378"/>
      <c r="G742" s="378"/>
      <c r="H742" s="378"/>
      <c r="I742" s="378"/>
      <c r="J742" s="378"/>
      <c r="K742" s="378"/>
      <c r="L742" s="378"/>
      <c r="M742" s="378"/>
      <c r="N742" s="378"/>
      <c r="O742" s="378"/>
      <c r="P742" s="378"/>
      <c r="Q742" s="378"/>
      <c r="R742" s="378"/>
      <c r="S742" s="378"/>
      <c r="T742" s="378"/>
      <c r="U742" s="378"/>
      <c r="V742" s="378"/>
      <c r="W742" s="378"/>
      <c r="X742" s="378"/>
      <c r="Y742" s="378"/>
      <c r="Z742" s="378"/>
      <c r="AA742" s="378"/>
      <c r="AB742" s="378"/>
      <c r="AC742" s="378"/>
      <c r="AD742" s="378"/>
      <c r="AE742" s="378"/>
      <c r="AF742" s="378"/>
      <c r="AG742" s="378"/>
      <c r="AH742" s="378"/>
      <c r="AI742" s="378"/>
      <c r="AJ742" s="378"/>
      <c r="AK742" s="378"/>
      <c r="AL742" s="378"/>
      <c r="AM742" s="378"/>
      <c r="AN742" s="378"/>
      <c r="AO742" s="378"/>
      <c r="AP742" s="378"/>
      <c r="AQ742" s="378"/>
      <c r="AR742" s="378"/>
      <c r="AS742" s="378"/>
      <c r="AT742" s="378"/>
      <c r="AU742" s="378"/>
    </row>
    <row r="743" spans="1:47" x14ac:dyDescent="0.25">
      <c r="A743" s="378"/>
      <c r="B743" s="378"/>
      <c r="C743" s="378"/>
      <c r="D743" s="378"/>
      <c r="E743" s="378"/>
      <c r="F743" s="378"/>
      <c r="G743" s="378"/>
      <c r="H743" s="378"/>
      <c r="I743" s="378"/>
      <c r="J743" s="378"/>
      <c r="K743" s="378"/>
      <c r="L743" s="378"/>
      <c r="M743" s="378"/>
      <c r="N743" s="378"/>
      <c r="O743" s="378"/>
      <c r="P743" s="378"/>
      <c r="Q743" s="378"/>
      <c r="R743" s="378"/>
      <c r="S743" s="378"/>
      <c r="T743" s="378"/>
      <c r="U743" s="378"/>
      <c r="V743" s="378"/>
      <c r="W743" s="378"/>
      <c r="X743" s="378"/>
      <c r="Y743" s="378"/>
      <c r="Z743" s="378"/>
      <c r="AA743" s="378"/>
      <c r="AB743" s="378"/>
      <c r="AC743" s="378"/>
      <c r="AD743" s="378"/>
      <c r="AE743" s="378"/>
      <c r="AF743" s="378"/>
      <c r="AG743" s="378"/>
      <c r="AH743" s="378"/>
      <c r="AI743" s="378"/>
      <c r="AJ743" s="378"/>
      <c r="AK743" s="378"/>
      <c r="AL743" s="378"/>
      <c r="AM743" s="378"/>
      <c r="AN743" s="378"/>
      <c r="AO743" s="378"/>
      <c r="AP743" s="378"/>
      <c r="AQ743" s="378"/>
      <c r="AR743" s="378"/>
      <c r="AS743" s="378"/>
      <c r="AT743" s="378"/>
      <c r="AU743" s="378"/>
    </row>
    <row r="744" spans="1:47" x14ac:dyDescent="0.25">
      <c r="A744" s="378"/>
      <c r="B744" s="378"/>
      <c r="C744" s="378"/>
      <c r="D744" s="378"/>
      <c r="E744" s="378"/>
      <c r="F744" s="378"/>
      <c r="G744" s="378"/>
      <c r="H744" s="378"/>
      <c r="I744" s="378"/>
      <c r="J744" s="378"/>
      <c r="K744" s="378"/>
      <c r="L744" s="378"/>
      <c r="M744" s="378"/>
      <c r="N744" s="378"/>
      <c r="O744" s="378"/>
      <c r="P744" s="378"/>
      <c r="Q744" s="378"/>
      <c r="R744" s="378"/>
      <c r="S744" s="378"/>
      <c r="T744" s="378"/>
      <c r="U744" s="378"/>
      <c r="V744" s="378"/>
      <c r="W744" s="378"/>
      <c r="X744" s="378"/>
      <c r="Y744" s="378"/>
      <c r="Z744" s="378"/>
      <c r="AA744" s="378"/>
      <c r="AB744" s="378"/>
      <c r="AC744" s="378"/>
      <c r="AD744" s="378"/>
      <c r="AE744" s="378"/>
      <c r="AF744" s="378"/>
      <c r="AG744" s="378"/>
      <c r="AH744" s="378"/>
      <c r="AI744" s="378"/>
      <c r="AJ744" s="378"/>
      <c r="AK744" s="378"/>
      <c r="AL744" s="378"/>
      <c r="AM744" s="378"/>
      <c r="AN744" s="378"/>
      <c r="AO744" s="378"/>
      <c r="AP744" s="378"/>
      <c r="AQ744" s="378"/>
      <c r="AR744" s="378"/>
      <c r="AS744" s="378"/>
      <c r="AT744" s="378"/>
      <c r="AU744" s="378"/>
    </row>
    <row r="745" spans="1:47" x14ac:dyDescent="0.25">
      <c r="A745" s="378"/>
      <c r="B745" s="378"/>
      <c r="C745" s="378"/>
      <c r="D745" s="378"/>
      <c r="E745" s="378"/>
      <c r="F745" s="378"/>
      <c r="G745" s="378"/>
      <c r="H745" s="378"/>
      <c r="I745" s="378"/>
      <c r="J745" s="378"/>
      <c r="K745" s="378"/>
      <c r="L745" s="378"/>
      <c r="M745" s="378"/>
      <c r="N745" s="378"/>
      <c r="O745" s="378"/>
      <c r="P745" s="378"/>
      <c r="Q745" s="378"/>
      <c r="R745" s="378"/>
      <c r="S745" s="378"/>
      <c r="T745" s="378"/>
      <c r="U745" s="378"/>
      <c r="V745" s="378"/>
      <c r="W745" s="378"/>
      <c r="X745" s="378"/>
      <c r="Y745" s="378"/>
      <c r="Z745" s="378"/>
      <c r="AA745" s="378"/>
      <c r="AB745" s="378"/>
      <c r="AC745" s="378"/>
      <c r="AD745" s="378"/>
      <c r="AE745" s="378"/>
      <c r="AF745" s="378"/>
      <c r="AG745" s="378"/>
      <c r="AH745" s="378"/>
      <c r="AI745" s="378"/>
      <c r="AJ745" s="378"/>
      <c r="AK745" s="378"/>
      <c r="AL745" s="378"/>
      <c r="AM745" s="378"/>
      <c r="AN745" s="378"/>
      <c r="AO745" s="378"/>
      <c r="AP745" s="378"/>
      <c r="AQ745" s="378"/>
      <c r="AR745" s="378"/>
      <c r="AS745" s="378"/>
      <c r="AT745" s="378"/>
      <c r="AU745" s="378"/>
    </row>
    <row r="746" spans="1:47" x14ac:dyDescent="0.25">
      <c r="A746" s="378"/>
      <c r="B746" s="378"/>
      <c r="C746" s="378"/>
      <c r="D746" s="378"/>
      <c r="E746" s="378"/>
      <c r="F746" s="378"/>
      <c r="G746" s="378"/>
      <c r="H746" s="378"/>
      <c r="I746" s="378"/>
      <c r="J746" s="378"/>
      <c r="K746" s="378"/>
      <c r="L746" s="378"/>
      <c r="M746" s="378"/>
      <c r="N746" s="378"/>
      <c r="O746" s="378"/>
      <c r="P746" s="378"/>
      <c r="Q746" s="378"/>
      <c r="R746" s="378"/>
      <c r="S746" s="378"/>
      <c r="T746" s="378"/>
      <c r="U746" s="378"/>
      <c r="V746" s="378"/>
      <c r="W746" s="378"/>
      <c r="X746" s="378"/>
      <c r="Y746" s="378"/>
      <c r="Z746" s="378"/>
      <c r="AA746" s="378"/>
      <c r="AB746" s="378"/>
      <c r="AC746" s="378"/>
      <c r="AD746" s="378"/>
      <c r="AE746" s="378"/>
      <c r="AF746" s="378"/>
      <c r="AG746" s="378"/>
      <c r="AH746" s="378"/>
      <c r="AI746" s="378"/>
      <c r="AJ746" s="378"/>
      <c r="AK746" s="378"/>
      <c r="AL746" s="378"/>
      <c r="AM746" s="378"/>
      <c r="AN746" s="378"/>
      <c r="AO746" s="378"/>
      <c r="AP746" s="378"/>
      <c r="AQ746" s="378"/>
      <c r="AR746" s="378"/>
      <c r="AS746" s="378"/>
      <c r="AT746" s="378"/>
      <c r="AU746" s="378"/>
    </row>
    <row r="747" spans="1:47" x14ac:dyDescent="0.25">
      <c r="A747" s="378"/>
      <c r="B747" s="378"/>
      <c r="C747" s="378"/>
      <c r="D747" s="378"/>
      <c r="E747" s="378"/>
      <c r="F747" s="378"/>
      <c r="G747" s="378"/>
      <c r="H747" s="378"/>
      <c r="I747" s="378"/>
      <c r="J747" s="378"/>
      <c r="K747" s="378"/>
      <c r="L747" s="378"/>
      <c r="M747" s="378"/>
      <c r="N747" s="378"/>
      <c r="O747" s="378"/>
      <c r="P747" s="378"/>
      <c r="Q747" s="378"/>
      <c r="R747" s="378"/>
      <c r="S747" s="378"/>
      <c r="T747" s="378"/>
      <c r="U747" s="378"/>
      <c r="V747" s="378"/>
      <c r="W747" s="378"/>
      <c r="X747" s="378"/>
      <c r="Y747" s="378"/>
      <c r="Z747" s="378"/>
      <c r="AA747" s="378"/>
      <c r="AB747" s="378"/>
      <c r="AC747" s="378"/>
      <c r="AD747" s="378"/>
      <c r="AE747" s="378"/>
      <c r="AF747" s="378"/>
      <c r="AG747" s="378"/>
      <c r="AH747" s="378"/>
      <c r="AI747" s="378"/>
      <c r="AJ747" s="378"/>
      <c r="AK747" s="378"/>
      <c r="AL747" s="378"/>
      <c r="AM747" s="378"/>
      <c r="AN747" s="378"/>
      <c r="AO747" s="378"/>
      <c r="AP747" s="378"/>
      <c r="AQ747" s="378"/>
      <c r="AR747" s="378"/>
      <c r="AS747" s="378"/>
      <c r="AT747" s="378"/>
      <c r="AU747" s="378"/>
    </row>
    <row r="748" spans="1:47" x14ac:dyDescent="0.25">
      <c r="A748" s="378"/>
      <c r="B748" s="378"/>
      <c r="C748" s="378"/>
      <c r="D748" s="378"/>
      <c r="E748" s="378"/>
      <c r="F748" s="378"/>
      <c r="G748" s="378"/>
      <c r="H748" s="378"/>
      <c r="I748" s="378"/>
      <c r="J748" s="378"/>
      <c r="K748" s="378"/>
      <c r="L748" s="378"/>
      <c r="M748" s="378"/>
      <c r="N748" s="378"/>
      <c r="O748" s="378"/>
      <c r="P748" s="378"/>
      <c r="Q748" s="378"/>
      <c r="R748" s="378"/>
      <c r="S748" s="378"/>
      <c r="T748" s="378"/>
      <c r="U748" s="378"/>
      <c r="V748" s="378"/>
      <c r="W748" s="378"/>
      <c r="X748" s="378"/>
      <c r="Y748" s="378"/>
      <c r="Z748" s="378"/>
      <c r="AA748" s="378"/>
      <c r="AB748" s="378"/>
      <c r="AC748" s="378"/>
      <c r="AD748" s="378"/>
      <c r="AE748" s="378"/>
      <c r="AF748" s="378"/>
      <c r="AG748" s="378"/>
      <c r="AH748" s="378"/>
      <c r="AI748" s="378"/>
      <c r="AJ748" s="378"/>
      <c r="AK748" s="378"/>
      <c r="AL748" s="378"/>
      <c r="AM748" s="378"/>
      <c r="AN748" s="378"/>
      <c r="AO748" s="378"/>
      <c r="AP748" s="378"/>
      <c r="AQ748" s="378"/>
      <c r="AR748" s="378"/>
      <c r="AS748" s="378"/>
      <c r="AT748" s="378"/>
      <c r="AU748" s="378"/>
    </row>
    <row r="749" spans="1:47" ht="18.75" x14ac:dyDescent="0.3">
      <c r="A749" s="751"/>
      <c r="B749" s="1977" t="s">
        <v>856</v>
      </c>
      <c r="C749" s="1977"/>
      <c r="D749" s="1977"/>
      <c r="E749" s="1977"/>
      <c r="F749" s="1977"/>
      <c r="G749" s="378"/>
      <c r="H749" s="378"/>
      <c r="I749" s="378"/>
      <c r="J749" s="378"/>
      <c r="K749" s="378"/>
      <c r="L749" s="378"/>
      <c r="M749" s="378"/>
      <c r="N749" s="378"/>
      <c r="O749" s="378"/>
      <c r="P749" s="378"/>
      <c r="Q749" s="378"/>
      <c r="R749" s="378"/>
      <c r="S749" s="378"/>
      <c r="T749" s="378"/>
      <c r="U749" s="378"/>
      <c r="V749" s="378"/>
      <c r="W749" s="378"/>
      <c r="X749" s="378"/>
      <c r="Y749" s="378"/>
      <c r="Z749" s="378"/>
      <c r="AA749" s="378"/>
      <c r="AB749" s="378"/>
      <c r="AC749" s="378"/>
      <c r="AD749" s="378"/>
      <c r="AE749" s="378"/>
      <c r="AF749" s="378"/>
      <c r="AG749" s="378"/>
      <c r="AH749" s="378"/>
      <c r="AI749" s="378"/>
      <c r="AJ749" s="378"/>
      <c r="AK749" s="378"/>
      <c r="AL749" s="378"/>
      <c r="AM749" s="378"/>
      <c r="AN749" s="378"/>
      <c r="AO749" s="378"/>
      <c r="AP749" s="378"/>
      <c r="AQ749" s="378"/>
      <c r="AR749" s="378"/>
      <c r="AS749" s="378"/>
      <c r="AT749" s="378"/>
      <c r="AU749" s="378"/>
    </row>
    <row r="750" spans="1:47" x14ac:dyDescent="0.25">
      <c r="A750" s="378"/>
      <c r="B750" s="2016" t="s">
        <v>847</v>
      </c>
      <c r="C750" s="2016"/>
      <c r="D750" s="2016"/>
      <c r="E750" s="2016"/>
      <c r="F750" s="2017" t="s">
        <v>774</v>
      </c>
      <c r="G750" s="378"/>
      <c r="H750" s="378"/>
      <c r="I750" s="378"/>
      <c r="J750" s="378"/>
      <c r="K750" s="378"/>
      <c r="L750" s="378"/>
      <c r="M750" s="378"/>
      <c r="N750" s="378"/>
      <c r="O750" s="378"/>
      <c r="P750" s="378"/>
      <c r="Q750" s="378"/>
      <c r="R750" s="378"/>
      <c r="S750" s="378"/>
      <c r="T750" s="378"/>
      <c r="U750" s="378"/>
      <c r="V750" s="378"/>
      <c r="W750" s="378"/>
      <c r="X750" s="378"/>
      <c r="Y750" s="378"/>
      <c r="Z750" s="378"/>
      <c r="AA750" s="378"/>
      <c r="AB750" s="378"/>
      <c r="AC750" s="378"/>
      <c r="AD750" s="378"/>
      <c r="AE750" s="378"/>
      <c r="AF750" s="378"/>
      <c r="AG750" s="378"/>
      <c r="AH750" s="378"/>
      <c r="AI750" s="378"/>
      <c r="AJ750" s="378"/>
      <c r="AK750" s="378"/>
      <c r="AL750" s="378"/>
      <c r="AM750" s="378"/>
      <c r="AN750" s="378"/>
      <c r="AO750" s="378"/>
      <c r="AP750" s="378"/>
      <c r="AQ750" s="378"/>
      <c r="AR750" s="378"/>
      <c r="AS750" s="378"/>
      <c r="AT750" s="378"/>
      <c r="AU750" s="378"/>
    </row>
    <row r="751" spans="1:47" x14ac:dyDescent="0.25">
      <c r="A751" s="378"/>
      <c r="B751" s="1105" t="s">
        <v>418</v>
      </c>
      <c r="C751" s="1105" t="s">
        <v>421</v>
      </c>
      <c r="D751" s="1105" t="s">
        <v>423</v>
      </c>
      <c r="E751" s="1097" t="s">
        <v>848</v>
      </c>
      <c r="F751" s="2017"/>
      <c r="G751" s="378"/>
      <c r="H751" s="378"/>
      <c r="I751" s="378"/>
      <c r="J751" s="378"/>
      <c r="K751" s="378"/>
      <c r="L751" s="378"/>
      <c r="M751" s="378"/>
      <c r="N751" s="378"/>
      <c r="O751" s="378"/>
      <c r="P751" s="378"/>
      <c r="Q751" s="378"/>
      <c r="R751" s="378"/>
      <c r="S751" s="378"/>
      <c r="T751" s="378"/>
      <c r="U751" s="378"/>
      <c r="V751" s="378"/>
      <c r="W751" s="378"/>
      <c r="X751" s="378"/>
      <c r="Y751" s="378"/>
      <c r="Z751" s="378"/>
      <c r="AA751" s="378"/>
      <c r="AB751" s="378"/>
      <c r="AC751" s="378"/>
      <c r="AD751" s="378"/>
      <c r="AE751" s="378"/>
      <c r="AF751" s="378"/>
      <c r="AG751" s="378"/>
      <c r="AH751" s="378"/>
      <c r="AI751" s="378"/>
      <c r="AJ751" s="378"/>
      <c r="AK751" s="378"/>
      <c r="AL751" s="378"/>
      <c r="AM751" s="378"/>
      <c r="AN751" s="378"/>
      <c r="AO751" s="378"/>
      <c r="AP751" s="378"/>
      <c r="AQ751" s="378"/>
      <c r="AR751" s="378"/>
      <c r="AS751" s="378"/>
      <c r="AT751" s="378"/>
      <c r="AU751" s="378"/>
    </row>
    <row r="752" spans="1:47" x14ac:dyDescent="0.25">
      <c r="A752" s="378"/>
      <c r="B752" s="1106">
        <v>0</v>
      </c>
      <c r="C752" s="1106">
        <v>0</v>
      </c>
      <c r="D752" s="1106">
        <v>0</v>
      </c>
      <c r="E752" s="1106">
        <v>0</v>
      </c>
      <c r="F752" s="1106">
        <v>0.1</v>
      </c>
      <c r="G752" s="378"/>
      <c r="H752" s="378"/>
      <c r="I752" s="378"/>
      <c r="J752" s="378"/>
      <c r="K752" s="378"/>
      <c r="L752" s="378"/>
      <c r="M752" s="378"/>
      <c r="N752" s="378"/>
      <c r="O752" s="378"/>
      <c r="P752" s="378"/>
      <c r="Q752" s="378"/>
      <c r="R752" s="378"/>
      <c r="S752" s="378"/>
      <c r="T752" s="378"/>
      <c r="U752" s="378"/>
      <c r="V752" s="378"/>
      <c r="W752" s="378"/>
      <c r="X752" s="378"/>
      <c r="Y752" s="378"/>
      <c r="Z752" s="378"/>
      <c r="AA752" s="378"/>
      <c r="AB752" s="378"/>
      <c r="AC752" s="378"/>
      <c r="AD752" s="378"/>
      <c r="AE752" s="378"/>
      <c r="AF752" s="378"/>
      <c r="AG752" s="378"/>
      <c r="AH752" s="378"/>
      <c r="AI752" s="378"/>
      <c r="AJ752" s="378"/>
      <c r="AK752" s="378"/>
      <c r="AL752" s="378"/>
      <c r="AM752" s="378"/>
      <c r="AN752" s="378"/>
      <c r="AO752" s="378"/>
      <c r="AP752" s="378"/>
      <c r="AQ752" s="378"/>
      <c r="AR752" s="378"/>
      <c r="AS752" s="378"/>
      <c r="AT752" s="378"/>
      <c r="AU752" s="378"/>
    </row>
    <row r="753" spans="1:47" x14ac:dyDescent="0.25">
      <c r="A753" s="378"/>
      <c r="B753" s="1106">
        <v>12.1</v>
      </c>
      <c r="C753" s="1106">
        <v>10.1</v>
      </c>
      <c r="D753" s="1106">
        <v>5.0999999999999996</v>
      </c>
      <c r="E753" s="1106">
        <v>3.1</v>
      </c>
      <c r="F753" s="1106">
        <v>0.25</v>
      </c>
      <c r="G753" s="378"/>
      <c r="H753" s="378"/>
      <c r="I753" s="378"/>
      <c r="J753" s="378"/>
      <c r="K753" s="378"/>
      <c r="L753" s="378"/>
      <c r="M753" s="378"/>
      <c r="N753" s="378"/>
      <c r="O753" s="378"/>
      <c r="P753" s="378"/>
      <c r="Q753" s="378"/>
      <c r="R753" s="378"/>
      <c r="S753" s="378"/>
      <c r="T753" s="378"/>
      <c r="U753" s="378"/>
      <c r="V753" s="378"/>
      <c r="W753" s="378"/>
      <c r="X753" s="378"/>
      <c r="Y753" s="378"/>
      <c r="Z753" s="378"/>
      <c r="AA753" s="378"/>
      <c r="AB753" s="378"/>
      <c r="AC753" s="378"/>
      <c r="AD753" s="378"/>
      <c r="AE753" s="378"/>
      <c r="AF753" s="378"/>
      <c r="AG753" s="378"/>
      <c r="AH753" s="378"/>
      <c r="AI753" s="378"/>
      <c r="AJ753" s="378"/>
      <c r="AK753" s="378"/>
      <c r="AL753" s="378"/>
      <c r="AM753" s="378"/>
      <c r="AN753" s="378"/>
      <c r="AO753" s="378"/>
      <c r="AP753" s="378"/>
      <c r="AQ753" s="378"/>
      <c r="AR753" s="378"/>
      <c r="AS753" s="378"/>
      <c r="AT753" s="378"/>
      <c r="AU753" s="378"/>
    </row>
    <row r="754" spans="1:47" x14ac:dyDescent="0.25">
      <c r="A754" s="378"/>
      <c r="B754" s="1106">
        <v>18.100000000000001</v>
      </c>
      <c r="C754" s="1106">
        <v>15.1</v>
      </c>
      <c r="D754" s="1106">
        <v>8.1</v>
      </c>
      <c r="E754" s="1106">
        <v>4.0999999999999996</v>
      </c>
      <c r="F754" s="1106">
        <v>0.5</v>
      </c>
      <c r="G754" s="378"/>
      <c r="H754" s="378"/>
      <c r="I754" s="378"/>
      <c r="J754" s="378"/>
      <c r="K754" s="378"/>
      <c r="L754" s="378"/>
      <c r="M754" s="378"/>
      <c r="N754" s="378"/>
      <c r="O754" s="378"/>
      <c r="P754" s="378"/>
      <c r="Q754" s="378"/>
      <c r="R754" s="378"/>
      <c r="S754" s="378"/>
      <c r="T754" s="378"/>
      <c r="U754" s="378"/>
      <c r="V754" s="378"/>
      <c r="W754" s="378"/>
      <c r="X754" s="378"/>
      <c r="Y754" s="378"/>
      <c r="Z754" s="378"/>
      <c r="AA754" s="378"/>
      <c r="AB754" s="378"/>
      <c r="AC754" s="378"/>
      <c r="AD754" s="378"/>
      <c r="AE754" s="378"/>
      <c r="AF754" s="378"/>
      <c r="AG754" s="378"/>
      <c r="AH754" s="378"/>
      <c r="AI754" s="378"/>
      <c r="AJ754" s="378"/>
      <c r="AK754" s="378"/>
      <c r="AL754" s="378"/>
      <c r="AM754" s="378"/>
      <c r="AN754" s="378"/>
      <c r="AO754" s="378"/>
      <c r="AP754" s="378"/>
      <c r="AQ754" s="378"/>
      <c r="AR754" s="378"/>
      <c r="AS754" s="378"/>
      <c r="AT754" s="378"/>
      <c r="AU754" s="378"/>
    </row>
    <row r="755" spans="1:47" x14ac:dyDescent="0.25">
      <c r="A755" s="378"/>
      <c r="B755" s="1106">
        <v>25.1</v>
      </c>
      <c r="C755" s="1106">
        <v>20.100000000000001</v>
      </c>
      <c r="D755" s="1106">
        <v>12.1</v>
      </c>
      <c r="E755" s="1106">
        <v>6.1</v>
      </c>
      <c r="F755" s="1106">
        <v>0.7</v>
      </c>
      <c r="G755" s="378"/>
      <c r="H755" s="378"/>
      <c r="I755" s="378"/>
      <c r="J755" s="378"/>
      <c r="K755" s="378"/>
      <c r="L755" s="378"/>
      <c r="M755" s="378"/>
      <c r="N755" s="378"/>
      <c r="O755" s="378"/>
      <c r="P755" s="378"/>
      <c r="Q755" s="378"/>
      <c r="R755" s="378"/>
      <c r="S755" s="378"/>
      <c r="T755" s="378"/>
      <c r="U755" s="378"/>
      <c r="V755" s="378"/>
      <c r="W755" s="378"/>
      <c r="X755" s="378"/>
      <c r="Y755" s="378"/>
      <c r="Z755" s="378"/>
      <c r="AA755" s="378"/>
      <c r="AB755" s="378"/>
      <c r="AC755" s="378"/>
      <c r="AD755" s="378"/>
      <c r="AE755" s="378"/>
      <c r="AF755" s="378"/>
      <c r="AG755" s="378"/>
      <c r="AH755" s="378"/>
      <c r="AI755" s="378"/>
      <c r="AJ755" s="378"/>
      <c r="AK755" s="378"/>
      <c r="AL755" s="378"/>
      <c r="AM755" s="378"/>
      <c r="AN755" s="378"/>
      <c r="AO755" s="378"/>
      <c r="AP755" s="378"/>
      <c r="AQ755" s="378"/>
      <c r="AR755" s="378"/>
      <c r="AS755" s="378"/>
      <c r="AT755" s="378"/>
      <c r="AU755" s="378"/>
    </row>
    <row r="756" spans="1:47" x14ac:dyDescent="0.25">
      <c r="A756" s="378"/>
      <c r="B756" s="1106">
        <v>40</v>
      </c>
      <c r="C756" s="1106">
        <v>30</v>
      </c>
      <c r="D756" s="1106">
        <v>18</v>
      </c>
      <c r="E756" s="1106">
        <v>9</v>
      </c>
      <c r="F756" s="1106">
        <v>1</v>
      </c>
      <c r="G756" s="378"/>
      <c r="H756" s="378"/>
      <c r="I756" s="378"/>
      <c r="J756" s="378"/>
      <c r="K756" s="378"/>
      <c r="L756" s="378"/>
      <c r="M756" s="378"/>
      <c r="N756" s="378"/>
      <c r="O756" s="378"/>
      <c r="P756" s="378"/>
      <c r="Q756" s="378"/>
      <c r="R756" s="378"/>
      <c r="S756" s="378"/>
      <c r="T756" s="378"/>
      <c r="U756" s="378"/>
      <c r="V756" s="378"/>
      <c r="W756" s="378"/>
      <c r="X756" s="378"/>
      <c r="Y756" s="378"/>
      <c r="Z756" s="378"/>
      <c r="AA756" s="378"/>
      <c r="AB756" s="378"/>
      <c r="AC756" s="378"/>
      <c r="AD756" s="378"/>
      <c r="AE756" s="378"/>
      <c r="AF756" s="378"/>
      <c r="AG756" s="378"/>
      <c r="AH756" s="378"/>
      <c r="AI756" s="378"/>
      <c r="AJ756" s="378"/>
      <c r="AK756" s="378"/>
      <c r="AL756" s="378"/>
      <c r="AM756" s="378"/>
      <c r="AN756" s="378"/>
      <c r="AO756" s="378"/>
      <c r="AP756" s="378"/>
      <c r="AQ756" s="378"/>
      <c r="AR756" s="378"/>
      <c r="AS756" s="378"/>
      <c r="AT756" s="378"/>
      <c r="AU756" s="378"/>
    </row>
    <row r="757" spans="1:47" x14ac:dyDescent="0.25">
      <c r="A757" s="378"/>
      <c r="B757" s="1107">
        <v>400</v>
      </c>
      <c r="C757" s="1107">
        <v>300</v>
      </c>
      <c r="D757" s="1107">
        <v>180</v>
      </c>
      <c r="E757" s="1107">
        <v>90</v>
      </c>
      <c r="F757" s="1107">
        <v>0.7</v>
      </c>
      <c r="G757" s="378"/>
      <c r="H757" s="378"/>
      <c r="I757" s="378"/>
      <c r="J757" s="378"/>
      <c r="K757" s="378"/>
      <c r="L757" s="378"/>
      <c r="M757" s="378"/>
      <c r="N757" s="378"/>
      <c r="O757" s="378"/>
      <c r="P757" s="378"/>
      <c r="Q757" s="378"/>
      <c r="R757" s="378"/>
      <c r="S757" s="378"/>
      <c r="T757" s="378"/>
      <c r="U757" s="378"/>
      <c r="V757" s="378"/>
      <c r="W757" s="378"/>
      <c r="X757" s="378"/>
      <c r="Y757" s="378"/>
      <c r="Z757" s="378"/>
      <c r="AA757" s="378"/>
      <c r="AB757" s="378"/>
      <c r="AC757" s="378"/>
      <c r="AD757" s="378"/>
      <c r="AE757" s="378"/>
      <c r="AF757" s="378"/>
      <c r="AG757" s="378"/>
      <c r="AH757" s="378"/>
      <c r="AI757" s="378"/>
      <c r="AJ757" s="378"/>
      <c r="AK757" s="378"/>
      <c r="AL757" s="378"/>
      <c r="AM757" s="378"/>
      <c r="AN757" s="378"/>
      <c r="AO757" s="378"/>
      <c r="AP757" s="378"/>
      <c r="AQ757" s="378"/>
      <c r="AR757" s="378"/>
      <c r="AS757" s="378"/>
      <c r="AT757" s="378"/>
      <c r="AU757" s="378"/>
    </row>
    <row r="758" spans="1:47" x14ac:dyDescent="0.25">
      <c r="A758" s="1978" t="s">
        <v>857</v>
      </c>
      <c r="B758" s="1979"/>
      <c r="C758" s="1979"/>
      <c r="D758" s="1979"/>
      <c r="E758" s="1979"/>
      <c r="F758" s="1979"/>
      <c r="G758" s="1979"/>
      <c r="H758" s="1979"/>
      <c r="I758" s="1979"/>
      <c r="J758" s="1979"/>
      <c r="K758" s="1979"/>
      <c r="L758" s="1979"/>
      <c r="M758" s="1979"/>
      <c r="N758" s="1980"/>
      <c r="O758" s="378"/>
      <c r="P758" s="378"/>
      <c r="Q758" s="378"/>
      <c r="R758" s="378"/>
      <c r="S758" s="378"/>
      <c r="T758" s="378"/>
      <c r="U758" s="378"/>
      <c r="V758" s="378"/>
      <c r="W758" s="378"/>
      <c r="X758" s="378"/>
      <c r="Y758" s="378"/>
      <c r="Z758" s="378"/>
      <c r="AA758" s="378"/>
      <c r="AB758" s="378"/>
      <c r="AC758" s="378"/>
      <c r="AD758" s="378"/>
      <c r="AE758" s="378"/>
      <c r="AF758" s="378"/>
      <c r="AG758" s="378"/>
      <c r="AH758" s="378"/>
      <c r="AI758" s="378"/>
      <c r="AJ758" s="378"/>
      <c r="AK758" s="378"/>
      <c r="AL758" s="378"/>
      <c r="AM758" s="378"/>
      <c r="AN758" s="378"/>
      <c r="AO758" s="378"/>
      <c r="AP758" s="378"/>
      <c r="AQ758" s="378"/>
      <c r="AR758" s="378"/>
      <c r="AS758" s="378"/>
      <c r="AT758" s="378"/>
      <c r="AU758" s="378"/>
    </row>
    <row r="759" spans="1:47" s="543" customFormat="1" x14ac:dyDescent="0.25">
      <c r="A759" s="2171" t="s">
        <v>418</v>
      </c>
      <c r="B759" s="2181" t="s">
        <v>858</v>
      </c>
      <c r="C759" s="2148"/>
      <c r="D759" s="2148" t="s">
        <v>859</v>
      </c>
      <c r="E759" s="2148"/>
      <c r="F759" s="2148" t="s">
        <v>860</v>
      </c>
      <c r="G759" s="2174"/>
      <c r="H759" s="2178" t="s">
        <v>421</v>
      </c>
      <c r="I759" s="2142" t="s">
        <v>861</v>
      </c>
      <c r="J759" s="2143"/>
      <c r="K759" s="2143" t="s">
        <v>862</v>
      </c>
      <c r="L759" s="2143"/>
      <c r="M759" s="2143" t="s">
        <v>863</v>
      </c>
      <c r="N759" s="2175"/>
      <c r="O759" s="542"/>
      <c r="P759" s="542"/>
      <c r="Q759" s="542"/>
      <c r="R759" s="542"/>
      <c r="S759" s="542"/>
      <c r="T759" s="542"/>
      <c r="U759" s="542"/>
      <c r="V759" s="542"/>
      <c r="W759" s="542"/>
      <c r="X759" s="542"/>
      <c r="Y759" s="542"/>
      <c r="Z759" s="542"/>
      <c r="AA759" s="542"/>
      <c r="AB759" s="542"/>
      <c r="AC759" s="542"/>
      <c r="AD759" s="542"/>
      <c r="AE759" s="542"/>
      <c r="AF759" s="542"/>
      <c r="AG759" s="542"/>
      <c r="AH759" s="542"/>
      <c r="AI759" s="542"/>
      <c r="AJ759" s="542"/>
      <c r="AK759" s="542"/>
      <c r="AL759" s="542"/>
      <c r="AM759" s="542"/>
      <c r="AN759" s="542"/>
      <c r="AO759" s="542"/>
      <c r="AP759" s="542"/>
      <c r="AQ759" s="542"/>
      <c r="AR759" s="542"/>
      <c r="AS759" s="542"/>
      <c r="AT759" s="542"/>
      <c r="AU759" s="542"/>
    </row>
    <row r="760" spans="1:47" s="544" customFormat="1" x14ac:dyDescent="0.25">
      <c r="A760" s="2172"/>
      <c r="B760" s="457" t="s">
        <v>852</v>
      </c>
      <c r="C760" s="461">
        <v>0.1</v>
      </c>
      <c r="D760" s="1039" t="s">
        <v>852</v>
      </c>
      <c r="E760" s="461">
        <v>-0.4748</v>
      </c>
      <c r="F760" s="461" t="s">
        <v>852</v>
      </c>
      <c r="G760" s="462">
        <v>1.0233000000000001</v>
      </c>
      <c r="H760" s="2179"/>
      <c r="I760" s="457" t="s">
        <v>852</v>
      </c>
      <c r="J760" s="461">
        <v>0.1</v>
      </c>
      <c r="K760" s="1039" t="s">
        <v>852</v>
      </c>
      <c r="L760" s="461">
        <v>-0.30149999999999999</v>
      </c>
      <c r="M760" s="461" t="s">
        <v>852</v>
      </c>
      <c r="N760" s="1099">
        <v>1.0333000000000001</v>
      </c>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row>
    <row r="761" spans="1:47" s="544" customFormat="1" x14ac:dyDescent="0.25">
      <c r="A761" s="2172"/>
      <c r="B761" s="457" t="s">
        <v>805</v>
      </c>
      <c r="C761" s="461">
        <v>1.24E-2</v>
      </c>
      <c r="D761" s="468" t="s">
        <v>805</v>
      </c>
      <c r="E761" s="461">
        <v>7.2099999999999997E-2</v>
      </c>
      <c r="F761" s="461" t="s">
        <v>805</v>
      </c>
      <c r="G761" s="462">
        <v>-8.0000000000000004E-4</v>
      </c>
      <c r="H761" s="2179"/>
      <c r="I761" s="457" t="s">
        <v>805</v>
      </c>
      <c r="J761" s="461">
        <v>-8.6999999999999994E-3</v>
      </c>
      <c r="K761" s="468" t="s">
        <v>805</v>
      </c>
      <c r="L761" s="461">
        <v>6.3899999999999998E-2</v>
      </c>
      <c r="M761" s="461" t="s">
        <v>805</v>
      </c>
      <c r="N761" s="1099">
        <v>-1.1000000000000001E-3</v>
      </c>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row>
    <row r="762" spans="1:47" s="544" customFormat="1" x14ac:dyDescent="0.25">
      <c r="A762" s="2173"/>
      <c r="B762" s="459"/>
      <c r="C762" s="469"/>
      <c r="D762" s="470" t="s">
        <v>853</v>
      </c>
      <c r="E762" s="469">
        <v>-1E-3</v>
      </c>
      <c r="F762" s="471"/>
      <c r="G762" s="472"/>
      <c r="H762" s="2180"/>
      <c r="I762" s="459" t="s">
        <v>853</v>
      </c>
      <c r="J762" s="469">
        <v>2.3E-3</v>
      </c>
      <c r="K762" s="470" t="s">
        <v>853</v>
      </c>
      <c r="L762" s="469">
        <v>-6.9999999999999999E-4</v>
      </c>
      <c r="M762" s="471"/>
      <c r="N762" s="1114"/>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row>
    <row r="763" spans="1:47" s="544" customFormat="1" x14ac:dyDescent="0.25">
      <c r="A763" s="2176" t="s">
        <v>423</v>
      </c>
      <c r="B763" s="2170" t="s">
        <v>861</v>
      </c>
      <c r="C763" s="1981"/>
      <c r="D763" s="2147" t="s">
        <v>859</v>
      </c>
      <c r="E763" s="2147"/>
      <c r="F763" s="1981" t="s">
        <v>863</v>
      </c>
      <c r="G763" s="2162"/>
      <c r="H763" s="2144" t="s">
        <v>434</v>
      </c>
      <c r="I763" s="2170" t="s">
        <v>861</v>
      </c>
      <c r="J763" s="1981"/>
      <c r="K763" s="1981" t="s">
        <v>862</v>
      </c>
      <c r="L763" s="1981"/>
      <c r="M763" s="1981" t="s">
        <v>863</v>
      </c>
      <c r="N763" s="1982"/>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row>
    <row r="764" spans="1:47" s="544" customFormat="1" x14ac:dyDescent="0.25">
      <c r="A764" s="2172"/>
      <c r="B764" s="461" t="s">
        <v>852</v>
      </c>
      <c r="C764" s="461">
        <v>0.1</v>
      </c>
      <c r="D764" s="1039" t="s">
        <v>852</v>
      </c>
      <c r="E764" s="461">
        <v>0.10340000000000001</v>
      </c>
      <c r="F764" s="461" t="s">
        <v>852</v>
      </c>
      <c r="G764" s="462">
        <v>1.0433300000000001</v>
      </c>
      <c r="H764" s="2145"/>
      <c r="I764" s="457" t="s">
        <v>852</v>
      </c>
      <c r="J764" s="461">
        <v>0.1</v>
      </c>
      <c r="K764" s="1039" t="s">
        <v>852</v>
      </c>
      <c r="L764" s="461">
        <v>0.1076</v>
      </c>
      <c r="M764" s="461" t="s">
        <v>852</v>
      </c>
      <c r="N764" s="1099">
        <v>1.0333000000000001</v>
      </c>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row>
    <row r="765" spans="1:47" s="544" customFormat="1" x14ac:dyDescent="0.25">
      <c r="A765" s="2172"/>
      <c r="B765" s="461" t="s">
        <v>805</v>
      </c>
      <c r="C765" s="461">
        <v>-4.4999999999999997E-3</v>
      </c>
      <c r="D765" s="468" t="s">
        <v>805</v>
      </c>
      <c r="E765" s="461">
        <v>4.8300000000000003E-2</v>
      </c>
      <c r="F765" s="461" t="s">
        <v>805</v>
      </c>
      <c r="G765" s="462">
        <v>-1.9E-3</v>
      </c>
      <c r="H765" s="2145"/>
      <c r="I765" s="457" t="s">
        <v>805</v>
      </c>
      <c r="J765" s="461">
        <v>-0.1041</v>
      </c>
      <c r="K765" s="468" t="s">
        <v>805</v>
      </c>
      <c r="L765" s="461">
        <v>9.2799999999999994E-2</v>
      </c>
      <c r="M765" s="461" t="s">
        <v>805</v>
      </c>
      <c r="N765" s="1099">
        <v>-3.7000000000000002E-3</v>
      </c>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row>
    <row r="766" spans="1:47" s="544" customFormat="1" x14ac:dyDescent="0.25">
      <c r="A766" s="2177"/>
      <c r="B766" s="1115" t="s">
        <v>853</v>
      </c>
      <c r="C766" s="1115">
        <v>6.7000000000000002E-3</v>
      </c>
      <c r="D766" s="1116" t="s">
        <v>853</v>
      </c>
      <c r="E766" s="1115">
        <v>8.5599999999999994E-5</v>
      </c>
      <c r="F766" s="1117"/>
      <c r="G766" s="1118"/>
      <c r="H766" s="2146"/>
      <c r="I766" s="1101" t="s">
        <v>853</v>
      </c>
      <c r="J766" s="1115">
        <v>4.9200000000000001E-2</v>
      </c>
      <c r="K766" s="1116" t="s">
        <v>853</v>
      </c>
      <c r="L766" s="1115">
        <v>6.9999999999999999E-4</v>
      </c>
      <c r="M766" s="1117"/>
      <c r="N766" s="1119"/>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row>
    <row r="767" spans="1:47" s="544" customFormat="1" x14ac:dyDescent="0.25">
      <c r="A767" s="1112" t="s">
        <v>101</v>
      </c>
      <c r="B767" s="1113">
        <f>C760+C761*'3 INDICADORES'!B190</f>
        <v>0.1</v>
      </c>
      <c r="C767" s="1113">
        <f>E760+E761*'3 INDICADORES'!B190+E762*'3 INDICADORES'!B190^2</f>
        <v>-0.4748</v>
      </c>
      <c r="D767" s="1113">
        <f>0.1946+0.0201*'3 INDICADORES'!B190</f>
        <v>0.1946</v>
      </c>
      <c r="E767" s="1113">
        <f>G760+G761*'3 INDICADORES'!B190</f>
        <v>1.0233000000000001</v>
      </c>
      <c r="F767" s="1113">
        <f>IF('3 INDICADORES'!B190&lt;=12.1,B767,IF(AND('3 INDICADORES'!B190&gt;12.1,'3 INDICADORES'!B190&lt;25.1),C767,IF('3 INDICADORES'!B190&gt;40,E767,D767)))</f>
        <v>0.1</v>
      </c>
      <c r="G767" s="110"/>
      <c r="H767" s="110"/>
      <c r="I767" s="1112" t="s">
        <v>101</v>
      </c>
      <c r="J767" s="1113">
        <f>J760+J761*'3 INDICADORES'!C190+J762*'3 INDICADORES'!C190^2</f>
        <v>0.1</v>
      </c>
      <c r="K767" s="1113">
        <f>L760+L761*'3 INDICADORES'!C190+L762*'3 INDICADORES'!C190^2</f>
        <v>-0.30149999999999999</v>
      </c>
      <c r="L767" s="1113">
        <f>N760+N761*'3 INDICADORES'!C190</f>
        <v>1.0333000000000001</v>
      </c>
      <c r="M767" s="1113">
        <f>IF(AND('3 INDICADORES'!C190&gt;15.1,'3 INDICADORES'!C190&lt;30),K767,IF('3 INDICADORES'!C190&gt;=30,L767,J767))</f>
        <v>0.1</v>
      </c>
      <c r="N767" s="110"/>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row>
    <row r="768" spans="1:47" s="547" customFormat="1" x14ac:dyDescent="0.25">
      <c r="A768" s="753" t="s">
        <v>101</v>
      </c>
      <c r="B768" s="1108">
        <f>C764+C765*'3 INDICADORES'!D190+C766*'3 INDICADORES'!D190^2</f>
        <v>0.1</v>
      </c>
      <c r="C768" s="1108">
        <f>E764+E765*'3 INDICADORES'!D190+E766*'3 INDICADORES'!D190^2</f>
        <v>0.10340000000000001</v>
      </c>
      <c r="D768" s="1108">
        <f>G764+G765*'3 INDICADORES'!D190</f>
        <v>1.0433300000000001</v>
      </c>
      <c r="E768" s="1108">
        <f>IF(AND('3 INDICADORES'!D190&gt;8.1,'3 INDICADORES'!D190&lt;18),C768,IF('3 INDICADORES'!D190&gt;=18,D768,B768))</f>
        <v>0.1</v>
      </c>
      <c r="F768" s="1109"/>
      <c r="G768" s="546"/>
      <c r="H768" s="546"/>
      <c r="I768" s="753" t="s">
        <v>101</v>
      </c>
      <c r="J768" s="1108">
        <f>J764+J765*'3 INDICADORES'!E190+J766*'3 INDICADORES'!E190^2</f>
        <v>0.1</v>
      </c>
      <c r="K768" s="1108">
        <f>L764+L765*'3 INDICADORES'!E190+L766*'3 INDICADORES'!E190^2</f>
        <v>0.1076</v>
      </c>
      <c r="L768" s="1108">
        <f>N764+N765*'3 INDICADORES'!E190</f>
        <v>1.0333000000000001</v>
      </c>
      <c r="M768" s="1108">
        <f>IF(AND('3 INDICADORES'!E190&gt;4.1,'3 INDICADORES'!E190&lt;9),K768,IF('3 INDICADORES'!E190&gt;=9,L768,J768))</f>
        <v>0.1</v>
      </c>
      <c r="N768" s="546"/>
      <c r="O768" s="540"/>
      <c r="P768" s="540"/>
      <c r="Q768" s="540"/>
      <c r="R768" s="540"/>
      <c r="S768" s="540"/>
      <c r="T768" s="540"/>
      <c r="U768" s="540"/>
      <c r="V768" s="540"/>
      <c r="W768" s="540"/>
      <c r="X768" s="540"/>
      <c r="Y768" s="540"/>
      <c r="Z768" s="540"/>
      <c r="AA768" s="540"/>
      <c r="AB768" s="540"/>
      <c r="AC768" s="540"/>
      <c r="AD768" s="540"/>
      <c r="AE768" s="540"/>
      <c r="AF768" s="540"/>
      <c r="AG768" s="540"/>
      <c r="AH768" s="540"/>
      <c r="AI768" s="540"/>
      <c r="AJ768" s="540"/>
      <c r="AK768" s="540"/>
      <c r="AL768" s="540"/>
      <c r="AM768" s="540"/>
      <c r="AN768" s="540"/>
      <c r="AO768" s="540"/>
      <c r="AP768" s="540"/>
      <c r="AQ768" s="540"/>
      <c r="AR768" s="540"/>
      <c r="AS768" s="540"/>
      <c r="AT768" s="540"/>
      <c r="AU768" s="540"/>
    </row>
    <row r="769" spans="1:47" x14ac:dyDescent="0.25">
      <c r="A769" s="38"/>
      <c r="B769" s="1110">
        <f>IF(ISBLANK('3 INDICADORES'!B190),0,IF('3 INDICADORES'!B190&lt;0,0,IF('GUIA DE APLICAÇÃO'!F767&gt;1,1,'GUIA DE APLICAÇÃO'!F767)))</f>
        <v>0</v>
      </c>
      <c r="C769" s="1110">
        <f>IF(ISBLANK('3 INDICADORES'!C190),0,IF('3 INDICADORES'!C190&lt;0,0,IF('GUIA DE APLICAÇÃO'!M767&gt;1,1,'GUIA DE APLICAÇÃO'!M767)))</f>
        <v>0</v>
      </c>
      <c r="D769" s="1110">
        <f>IF(ISBLANK('3 INDICADORES'!D190),0,IF('3 INDICADORES'!D190&lt;0,0,IF('GUIA DE APLICAÇÃO'!E768&gt;1,1,'GUIA DE APLICAÇÃO'!E768)))</f>
        <v>0</v>
      </c>
      <c r="E769" s="1110">
        <f>IF(ISBLANK('3 INDICADORES'!E190),0,IF('3 INDICADORES'!E190&lt;0,0,IF('GUIA DE APLICAÇÃO'!M768&gt;1,1,'GUIA DE APLICAÇÃO'!M768)))</f>
        <v>0</v>
      </c>
      <c r="F769" s="1110">
        <f>(B769+C769+D769+E769)</f>
        <v>0</v>
      </c>
      <c r="G769" s="13"/>
      <c r="H769" s="13"/>
      <c r="I769" s="13"/>
      <c r="J769" s="13"/>
      <c r="K769" s="13"/>
      <c r="L769" s="178"/>
      <c r="M769" s="13"/>
      <c r="N769" s="13"/>
      <c r="O769" s="378"/>
      <c r="P769" s="378"/>
      <c r="Q769" s="378"/>
      <c r="R769" s="378"/>
      <c r="S769" s="378"/>
      <c r="T769" s="378"/>
      <c r="U769" s="378"/>
      <c r="V769" s="378"/>
      <c r="W769" s="378"/>
      <c r="X769" s="378"/>
      <c r="Y769" s="378"/>
      <c r="Z769" s="378"/>
      <c r="AA769" s="378"/>
      <c r="AB769" s="378"/>
      <c r="AC769" s="378"/>
      <c r="AD769" s="378"/>
      <c r="AE769" s="378"/>
      <c r="AF769" s="378"/>
      <c r="AG769" s="378"/>
      <c r="AH769" s="378"/>
      <c r="AI769" s="378"/>
      <c r="AJ769" s="378"/>
      <c r="AK769" s="378"/>
      <c r="AL769" s="378"/>
      <c r="AM769" s="378"/>
      <c r="AN769" s="378"/>
      <c r="AO769" s="378"/>
      <c r="AP769" s="378"/>
      <c r="AQ769" s="378"/>
      <c r="AR769" s="378"/>
      <c r="AS769" s="378"/>
      <c r="AT769" s="378"/>
      <c r="AU769" s="378"/>
    </row>
    <row r="770" spans="1:47" x14ac:dyDescent="0.25">
      <c r="A770" s="1038"/>
      <c r="B770" s="2013" t="s">
        <v>864</v>
      </c>
      <c r="C770" s="2014"/>
      <c r="D770" s="2014"/>
      <c r="E770" s="2014"/>
      <c r="F770" s="2014"/>
      <c r="G770" s="2014"/>
      <c r="H770" s="2014"/>
      <c r="I770" s="2014"/>
      <c r="J770" s="2014"/>
      <c r="K770" s="2014"/>
      <c r="L770" s="2014"/>
      <c r="M770" s="2015"/>
      <c r="N770" s="378"/>
      <c r="O770" s="378"/>
      <c r="P770" s="378"/>
      <c r="Q770" s="378"/>
      <c r="R770" s="378"/>
      <c r="S770" s="378"/>
      <c r="T770" s="378"/>
      <c r="U770" s="378"/>
      <c r="V770" s="378"/>
      <c r="W770" s="378"/>
      <c r="X770" s="378"/>
      <c r="Y770" s="378"/>
      <c r="Z770" s="378"/>
      <c r="AA770" s="378"/>
      <c r="AB770" s="378"/>
      <c r="AC770" s="378"/>
      <c r="AD770" s="378"/>
      <c r="AE770" s="378"/>
      <c r="AF770" s="378"/>
      <c r="AG770" s="378"/>
      <c r="AH770" s="378"/>
      <c r="AI770" s="378"/>
      <c r="AJ770" s="378"/>
      <c r="AK770" s="378"/>
      <c r="AL770" s="378"/>
      <c r="AM770" s="378"/>
      <c r="AN770" s="378"/>
      <c r="AO770" s="378"/>
      <c r="AP770" s="378"/>
      <c r="AQ770" s="378"/>
      <c r="AR770" s="378"/>
      <c r="AS770" s="378"/>
      <c r="AT770" s="378"/>
      <c r="AU770" s="378"/>
    </row>
    <row r="771" spans="1:47" x14ac:dyDescent="0.25">
      <c r="A771" s="366"/>
      <c r="B771" s="378"/>
      <c r="C771" s="378"/>
      <c r="D771" s="378"/>
      <c r="E771" s="378"/>
      <c r="F771" s="378"/>
      <c r="G771" s="378"/>
      <c r="H771" s="378"/>
      <c r="I771" s="378"/>
      <c r="J771" s="378"/>
      <c r="K771" s="378"/>
      <c r="L771" s="378"/>
      <c r="M771" s="378"/>
      <c r="N771" s="378"/>
      <c r="O771" s="378"/>
      <c r="P771" s="378"/>
      <c r="Q771" s="378"/>
      <c r="R771" s="378"/>
      <c r="S771" s="378"/>
      <c r="T771" s="378"/>
      <c r="U771" s="378"/>
      <c r="V771" s="378"/>
      <c r="W771" s="378"/>
      <c r="X771" s="378"/>
      <c r="Y771" s="378"/>
      <c r="Z771" s="378"/>
      <c r="AA771" s="378"/>
      <c r="AB771" s="378"/>
      <c r="AC771" s="378"/>
      <c r="AD771" s="378"/>
      <c r="AE771" s="378"/>
      <c r="AF771" s="378"/>
      <c r="AG771" s="378"/>
      <c r="AH771" s="378"/>
      <c r="AI771" s="378"/>
      <c r="AJ771" s="378"/>
      <c r="AK771" s="378"/>
      <c r="AL771" s="378"/>
      <c r="AM771" s="378"/>
      <c r="AN771" s="378"/>
      <c r="AO771" s="378"/>
      <c r="AP771" s="378"/>
      <c r="AQ771" s="378"/>
      <c r="AR771" s="378"/>
      <c r="AS771" s="378"/>
      <c r="AT771" s="378"/>
      <c r="AU771" s="378"/>
    </row>
    <row r="772" spans="1:47" x14ac:dyDescent="0.25">
      <c r="A772" s="1038"/>
      <c r="B772" s="378"/>
      <c r="C772" s="378"/>
      <c r="D772" s="378"/>
      <c r="E772" s="378"/>
      <c r="F772" s="378"/>
      <c r="G772" s="378"/>
      <c r="H772" s="378"/>
      <c r="I772" s="378"/>
      <c r="J772" s="378"/>
      <c r="K772" s="378"/>
      <c r="L772" s="378"/>
      <c r="M772" s="378"/>
      <c r="N772" s="378"/>
      <c r="O772" s="378"/>
      <c r="P772" s="378"/>
      <c r="Q772" s="378"/>
      <c r="R772" s="378"/>
      <c r="S772" s="378"/>
      <c r="T772" s="378"/>
      <c r="U772" s="378"/>
      <c r="V772" s="378"/>
      <c r="W772" s="378"/>
      <c r="X772" s="378"/>
      <c r="Y772" s="378"/>
      <c r="Z772" s="378"/>
      <c r="AA772" s="378"/>
      <c r="AB772" s="378"/>
      <c r="AC772" s="378"/>
      <c r="AD772" s="378"/>
      <c r="AE772" s="378"/>
      <c r="AF772" s="378"/>
      <c r="AG772" s="378"/>
      <c r="AH772" s="378"/>
      <c r="AI772" s="378"/>
      <c r="AJ772" s="378"/>
      <c r="AK772" s="378"/>
      <c r="AL772" s="378"/>
      <c r="AM772" s="378"/>
      <c r="AN772" s="378"/>
      <c r="AO772" s="378"/>
      <c r="AP772" s="378"/>
      <c r="AQ772" s="378"/>
      <c r="AR772" s="378"/>
      <c r="AS772" s="378"/>
      <c r="AT772" s="378"/>
      <c r="AU772" s="378"/>
    </row>
    <row r="773" spans="1:47" x14ac:dyDescent="0.25">
      <c r="A773" s="366"/>
      <c r="B773" s="378"/>
      <c r="C773" s="378"/>
      <c r="D773" s="378"/>
      <c r="E773" s="378"/>
      <c r="F773" s="378"/>
      <c r="G773" s="378"/>
      <c r="H773" s="378"/>
      <c r="I773" s="378"/>
      <c r="J773" s="378"/>
      <c r="K773" s="378"/>
      <c r="L773" s="378"/>
      <c r="M773" s="378"/>
      <c r="N773" s="378"/>
      <c r="O773" s="378"/>
      <c r="P773" s="378"/>
      <c r="Q773" s="378"/>
      <c r="R773" s="378"/>
      <c r="S773" s="378"/>
      <c r="T773" s="378"/>
      <c r="U773" s="378"/>
      <c r="V773" s="378"/>
      <c r="W773" s="378"/>
      <c r="X773" s="378"/>
      <c r="Y773" s="378"/>
      <c r="Z773" s="378"/>
      <c r="AA773" s="378"/>
      <c r="AB773" s="378"/>
      <c r="AC773" s="378"/>
      <c r="AD773" s="378"/>
      <c r="AE773" s="378"/>
      <c r="AF773" s="378"/>
      <c r="AG773" s="378"/>
      <c r="AH773" s="378"/>
      <c r="AI773" s="378"/>
      <c r="AJ773" s="378"/>
      <c r="AK773" s="378"/>
      <c r="AL773" s="378"/>
      <c r="AM773" s="378"/>
      <c r="AN773" s="378"/>
      <c r="AO773" s="378"/>
      <c r="AP773" s="378"/>
      <c r="AQ773" s="378"/>
      <c r="AR773" s="378"/>
      <c r="AS773" s="378"/>
      <c r="AT773" s="378"/>
      <c r="AU773" s="378"/>
    </row>
    <row r="774" spans="1:47" x14ac:dyDescent="0.25">
      <c r="A774" s="1038"/>
      <c r="B774" s="378"/>
      <c r="C774" s="378"/>
      <c r="D774" s="378"/>
      <c r="E774" s="378"/>
      <c r="F774" s="378"/>
      <c r="G774" s="378"/>
      <c r="H774" s="378"/>
      <c r="I774" s="378"/>
      <c r="J774" s="378"/>
      <c r="K774" s="378"/>
      <c r="L774" s="378"/>
      <c r="M774" s="378"/>
      <c r="N774" s="378"/>
      <c r="O774" s="378"/>
      <c r="P774" s="378"/>
      <c r="Q774" s="378"/>
      <c r="R774" s="378"/>
      <c r="S774" s="378"/>
      <c r="T774" s="378"/>
      <c r="U774" s="378"/>
      <c r="V774" s="378"/>
      <c r="W774" s="378"/>
      <c r="X774" s="378"/>
      <c r="Y774" s="378"/>
      <c r="Z774" s="378"/>
      <c r="AA774" s="378"/>
      <c r="AB774" s="378"/>
      <c r="AC774" s="378"/>
      <c r="AD774" s="378"/>
      <c r="AE774" s="378"/>
      <c r="AF774" s="378"/>
      <c r="AG774" s="378"/>
      <c r="AH774" s="378"/>
      <c r="AI774" s="378"/>
      <c r="AJ774" s="378"/>
      <c r="AK774" s="378"/>
      <c r="AL774" s="378"/>
      <c r="AM774" s="378"/>
      <c r="AN774" s="378"/>
      <c r="AO774" s="378"/>
      <c r="AP774" s="378"/>
      <c r="AQ774" s="378"/>
      <c r="AR774" s="378"/>
      <c r="AS774" s="378"/>
      <c r="AT774" s="378"/>
      <c r="AU774" s="378"/>
    </row>
    <row r="775" spans="1:47" x14ac:dyDescent="0.25">
      <c r="A775" s="366"/>
      <c r="B775" s="378"/>
      <c r="C775" s="378"/>
      <c r="D775" s="378"/>
      <c r="E775" s="378"/>
      <c r="F775" s="378"/>
      <c r="G775" s="378"/>
      <c r="H775" s="378"/>
      <c r="I775" s="378"/>
      <c r="J775" s="378"/>
      <c r="K775" s="378"/>
      <c r="L775" s="378"/>
      <c r="M775" s="378"/>
      <c r="N775" s="378"/>
      <c r="O775" s="378"/>
      <c r="P775" s="378"/>
      <c r="Q775" s="378"/>
      <c r="R775" s="378"/>
      <c r="S775" s="378"/>
      <c r="T775" s="378"/>
      <c r="U775" s="378"/>
      <c r="V775" s="378"/>
      <c r="W775" s="378"/>
      <c r="X775" s="378"/>
      <c r="Y775" s="378"/>
      <c r="Z775" s="378"/>
      <c r="AA775" s="378"/>
      <c r="AB775" s="378"/>
      <c r="AC775" s="378"/>
      <c r="AD775" s="378"/>
      <c r="AE775" s="378"/>
      <c r="AF775" s="378"/>
      <c r="AG775" s="378"/>
      <c r="AH775" s="378"/>
      <c r="AI775" s="378"/>
      <c r="AJ775" s="378"/>
      <c r="AK775" s="378"/>
      <c r="AL775" s="378"/>
      <c r="AM775" s="378"/>
      <c r="AN775" s="378"/>
      <c r="AO775" s="378"/>
      <c r="AP775" s="378"/>
      <c r="AQ775" s="378"/>
      <c r="AR775" s="378"/>
      <c r="AS775" s="378"/>
      <c r="AT775" s="378"/>
      <c r="AU775" s="378"/>
    </row>
    <row r="776" spans="1:47" x14ac:dyDescent="0.25">
      <c r="A776" s="1038"/>
      <c r="B776" s="378"/>
      <c r="C776" s="378"/>
      <c r="D776" s="378"/>
      <c r="E776" s="378"/>
      <c r="F776" s="378"/>
      <c r="G776" s="378"/>
      <c r="H776" s="378"/>
      <c r="I776" s="378"/>
      <c r="J776" s="378"/>
      <c r="K776" s="378"/>
      <c r="L776" s="378"/>
      <c r="M776" s="378"/>
      <c r="N776" s="378"/>
      <c r="O776" s="378"/>
      <c r="P776" s="378"/>
      <c r="Q776" s="378"/>
      <c r="R776" s="378"/>
      <c r="S776" s="378"/>
      <c r="T776" s="378"/>
      <c r="U776" s="378"/>
      <c r="V776" s="378"/>
      <c r="W776" s="378"/>
      <c r="X776" s="378"/>
      <c r="Y776" s="378"/>
      <c r="Z776" s="378"/>
      <c r="AA776" s="378"/>
      <c r="AB776" s="378"/>
      <c r="AC776" s="378"/>
      <c r="AD776" s="378"/>
      <c r="AE776" s="378"/>
      <c r="AF776" s="378"/>
      <c r="AG776" s="378"/>
      <c r="AH776" s="378"/>
      <c r="AI776" s="378"/>
      <c r="AJ776" s="378"/>
      <c r="AK776" s="378"/>
      <c r="AL776" s="378"/>
      <c r="AM776" s="378"/>
      <c r="AN776" s="378"/>
      <c r="AO776" s="378"/>
      <c r="AP776" s="378"/>
      <c r="AQ776" s="378"/>
      <c r="AR776" s="378"/>
      <c r="AS776" s="378"/>
      <c r="AT776" s="378"/>
      <c r="AU776" s="378"/>
    </row>
    <row r="777" spans="1:47" x14ac:dyDescent="0.25">
      <c r="A777" s="366"/>
      <c r="B777" s="378"/>
      <c r="C777" s="378"/>
      <c r="D777" s="378"/>
      <c r="E777" s="378"/>
      <c r="F777" s="378"/>
      <c r="G777" s="378"/>
      <c r="H777" s="378"/>
      <c r="I777" s="378"/>
      <c r="J777" s="378"/>
      <c r="K777" s="378"/>
      <c r="L777" s="378"/>
      <c r="M777" s="378"/>
      <c r="N777" s="378"/>
      <c r="O777" s="378"/>
      <c r="P777" s="378"/>
      <c r="Q777" s="378"/>
      <c r="R777" s="378"/>
      <c r="S777" s="378"/>
      <c r="T777" s="378"/>
      <c r="U777" s="378"/>
      <c r="V777" s="378"/>
      <c r="W777" s="378"/>
      <c r="X777" s="378"/>
      <c r="Y777" s="378"/>
      <c r="Z777" s="378"/>
      <c r="AA777" s="378"/>
      <c r="AB777" s="378"/>
      <c r="AC777" s="378"/>
      <c r="AD777" s="378"/>
      <c r="AE777" s="378"/>
      <c r="AF777" s="378"/>
      <c r="AG777" s="378"/>
      <c r="AH777" s="378"/>
      <c r="AI777" s="378"/>
      <c r="AJ777" s="378"/>
      <c r="AK777" s="378"/>
      <c r="AL777" s="378"/>
      <c r="AM777" s="378"/>
      <c r="AN777" s="378"/>
      <c r="AO777" s="378"/>
      <c r="AP777" s="378"/>
      <c r="AQ777" s="378"/>
      <c r="AR777" s="378"/>
      <c r="AS777" s="378"/>
      <c r="AT777" s="378"/>
      <c r="AU777" s="378"/>
    </row>
    <row r="778" spans="1:47" x14ac:dyDescent="0.25">
      <c r="A778" s="110"/>
      <c r="B778" s="378"/>
      <c r="C778" s="378"/>
      <c r="D778" s="378"/>
      <c r="E778" s="378"/>
      <c r="F778" s="378"/>
      <c r="G778" s="378"/>
      <c r="H778" s="378"/>
      <c r="I778" s="378"/>
      <c r="J778" s="378"/>
      <c r="K778" s="378"/>
      <c r="L778" s="378"/>
      <c r="M778" s="378"/>
      <c r="N778" s="378"/>
      <c r="O778" s="378"/>
      <c r="P778" s="378"/>
      <c r="Q778" s="378"/>
      <c r="R778" s="378"/>
      <c r="S778" s="378"/>
      <c r="T778" s="378"/>
      <c r="U778" s="378"/>
      <c r="V778" s="378"/>
      <c r="W778" s="378"/>
      <c r="X778" s="378"/>
      <c r="Y778" s="378"/>
      <c r="Z778" s="378"/>
      <c r="AA778" s="378"/>
      <c r="AB778" s="378"/>
      <c r="AC778" s="378"/>
      <c r="AD778" s="378"/>
      <c r="AE778" s="378"/>
      <c r="AF778" s="378"/>
      <c r="AG778" s="378"/>
      <c r="AH778" s="378"/>
      <c r="AI778" s="378"/>
      <c r="AJ778" s="378"/>
      <c r="AK778" s="378"/>
      <c r="AL778" s="378"/>
      <c r="AM778" s="378"/>
      <c r="AN778" s="378"/>
      <c r="AO778" s="378"/>
      <c r="AP778" s="378"/>
      <c r="AQ778" s="378"/>
      <c r="AR778" s="378"/>
      <c r="AS778" s="378"/>
      <c r="AT778" s="378"/>
      <c r="AU778" s="378"/>
    </row>
    <row r="779" spans="1:47" x14ac:dyDescent="0.25">
      <c r="A779" s="1038"/>
      <c r="B779" s="378"/>
      <c r="C779" s="378"/>
      <c r="D779" s="378"/>
      <c r="E779" s="378"/>
      <c r="F779" s="378"/>
      <c r="G779" s="378"/>
      <c r="H779" s="378"/>
      <c r="I779" s="378"/>
      <c r="J779" s="378"/>
      <c r="K779" s="378"/>
      <c r="L779" s="378"/>
      <c r="M779" s="378"/>
      <c r="N779" s="378"/>
      <c r="O779" s="378"/>
      <c r="P779" s="378"/>
      <c r="Q779" s="378"/>
      <c r="R779" s="378"/>
      <c r="S779" s="378"/>
      <c r="T779" s="378"/>
      <c r="U779" s="378"/>
      <c r="V779" s="378"/>
      <c r="W779" s="378"/>
      <c r="X779" s="378"/>
      <c r="Y779" s="378"/>
      <c r="Z779" s="378"/>
      <c r="AA779" s="378"/>
      <c r="AB779" s="378"/>
      <c r="AC779" s="378"/>
      <c r="AD779" s="378"/>
      <c r="AE779" s="378"/>
      <c r="AF779" s="378"/>
      <c r="AG779" s="378"/>
      <c r="AH779" s="378"/>
      <c r="AI779" s="378"/>
      <c r="AJ779" s="378"/>
      <c r="AK779" s="378"/>
      <c r="AL779" s="378"/>
      <c r="AM779" s="378"/>
      <c r="AN779" s="378"/>
      <c r="AO779" s="378"/>
      <c r="AP779" s="378"/>
      <c r="AQ779" s="378"/>
      <c r="AR779" s="378"/>
      <c r="AS779" s="378"/>
      <c r="AT779" s="378"/>
      <c r="AU779" s="378"/>
    </row>
    <row r="780" spans="1:47" x14ac:dyDescent="0.25">
      <c r="A780" s="366"/>
      <c r="B780" s="378"/>
      <c r="C780" s="378"/>
      <c r="D780" s="378"/>
      <c r="E780" s="378"/>
      <c r="F780" s="378"/>
      <c r="G780" s="378"/>
      <c r="H780" s="378"/>
      <c r="I780" s="378"/>
      <c r="J780" s="378"/>
      <c r="K780" s="378"/>
      <c r="L780" s="378"/>
      <c r="M780" s="378"/>
      <c r="N780" s="378"/>
      <c r="O780" s="378"/>
      <c r="P780" s="378"/>
      <c r="Q780" s="378"/>
      <c r="R780" s="378"/>
      <c r="S780" s="378"/>
      <c r="T780" s="378"/>
      <c r="U780" s="378"/>
      <c r="V780" s="378"/>
      <c r="W780" s="378"/>
      <c r="X780" s="378"/>
      <c r="Y780" s="378"/>
      <c r="Z780" s="378"/>
      <c r="AA780" s="378"/>
      <c r="AB780" s="378"/>
      <c r="AC780" s="378"/>
      <c r="AD780" s="378"/>
      <c r="AE780" s="378"/>
      <c r="AF780" s="378"/>
      <c r="AG780" s="378"/>
      <c r="AH780" s="378"/>
      <c r="AI780" s="378"/>
      <c r="AJ780" s="378"/>
      <c r="AK780" s="378"/>
      <c r="AL780" s="378"/>
      <c r="AM780" s="378"/>
      <c r="AN780" s="378"/>
      <c r="AO780" s="378"/>
      <c r="AP780" s="378"/>
      <c r="AQ780" s="378"/>
      <c r="AR780" s="378"/>
      <c r="AS780" s="378"/>
      <c r="AT780" s="378"/>
      <c r="AU780" s="378"/>
    </row>
    <row r="781" spans="1:47" x14ac:dyDescent="0.25">
      <c r="A781" s="45"/>
      <c r="B781" s="378"/>
      <c r="C781" s="378"/>
      <c r="D781" s="378"/>
      <c r="E781" s="378"/>
      <c r="F781" s="378"/>
      <c r="G781" s="378"/>
      <c r="H781" s="378"/>
      <c r="I781" s="378"/>
      <c r="J781" s="378"/>
      <c r="K781" s="378"/>
      <c r="L781" s="378"/>
      <c r="M781" s="378"/>
      <c r="N781" s="378"/>
      <c r="O781" s="378"/>
      <c r="P781" s="378"/>
      <c r="Q781" s="378"/>
      <c r="R781" s="378"/>
      <c r="S781" s="378"/>
      <c r="T781" s="378"/>
      <c r="U781" s="378"/>
      <c r="V781" s="378"/>
      <c r="W781" s="378"/>
      <c r="X781" s="378"/>
      <c r="Y781" s="378"/>
      <c r="Z781" s="378"/>
      <c r="AA781" s="378"/>
      <c r="AB781" s="378"/>
      <c r="AC781" s="378"/>
      <c r="AD781" s="378"/>
      <c r="AE781" s="378"/>
      <c r="AF781" s="378"/>
      <c r="AG781" s="378"/>
      <c r="AH781" s="378"/>
      <c r="AI781" s="378"/>
      <c r="AJ781" s="378"/>
      <c r="AK781" s="378"/>
      <c r="AL781" s="378"/>
      <c r="AM781" s="378"/>
      <c r="AN781" s="378"/>
      <c r="AO781" s="378"/>
      <c r="AP781" s="378"/>
      <c r="AQ781" s="378"/>
      <c r="AR781" s="378"/>
      <c r="AS781" s="378"/>
      <c r="AT781" s="378"/>
      <c r="AU781" s="378"/>
    </row>
    <row r="782" spans="1:47" x14ac:dyDescent="0.25">
      <c r="A782" s="3"/>
      <c r="B782" s="378"/>
      <c r="C782" s="378"/>
      <c r="D782" s="378"/>
      <c r="E782" s="378"/>
      <c r="F782" s="378"/>
      <c r="G782" s="378"/>
      <c r="H782" s="378"/>
      <c r="I782" s="378"/>
      <c r="J782" s="378"/>
      <c r="K782" s="378"/>
      <c r="L782" s="378"/>
      <c r="M782" s="378"/>
      <c r="N782" s="378"/>
      <c r="O782" s="378"/>
      <c r="P782" s="378"/>
      <c r="Q782" s="378"/>
      <c r="R782" s="378"/>
      <c r="S782" s="378"/>
      <c r="T782" s="378"/>
      <c r="U782" s="378"/>
      <c r="V782" s="378"/>
      <c r="W782" s="378"/>
      <c r="X782" s="378"/>
      <c r="Y782" s="378"/>
      <c r="Z782" s="378"/>
      <c r="AA782" s="378"/>
      <c r="AB782" s="378"/>
      <c r="AC782" s="378"/>
      <c r="AD782" s="378"/>
      <c r="AE782" s="378"/>
      <c r="AF782" s="378"/>
      <c r="AG782" s="378"/>
      <c r="AH782" s="378"/>
      <c r="AI782" s="378"/>
      <c r="AJ782" s="378"/>
      <c r="AK782" s="378"/>
      <c r="AL782" s="378"/>
      <c r="AM782" s="378"/>
      <c r="AN782" s="378"/>
      <c r="AO782" s="378"/>
      <c r="AP782" s="378"/>
      <c r="AQ782" s="378"/>
      <c r="AR782" s="378"/>
      <c r="AS782" s="378"/>
      <c r="AT782" s="378"/>
      <c r="AU782" s="378"/>
    </row>
    <row r="783" spans="1:47" x14ac:dyDescent="0.25">
      <c r="A783" s="3"/>
      <c r="B783" s="378"/>
      <c r="C783" s="378"/>
      <c r="D783" s="378"/>
      <c r="E783" s="378"/>
      <c r="F783" s="378"/>
      <c r="G783" s="378"/>
      <c r="H783" s="378"/>
      <c r="I783" s="378"/>
      <c r="J783" s="378"/>
      <c r="K783" s="378"/>
      <c r="L783" s="378"/>
      <c r="M783" s="378"/>
      <c r="N783" s="378"/>
      <c r="O783" s="378"/>
      <c r="P783" s="378"/>
      <c r="Q783" s="378"/>
      <c r="R783" s="378"/>
      <c r="S783" s="378"/>
      <c r="T783" s="378"/>
      <c r="U783" s="378"/>
      <c r="V783" s="378"/>
      <c r="W783" s="378"/>
      <c r="X783" s="378"/>
      <c r="Y783" s="378"/>
      <c r="Z783" s="378"/>
      <c r="AA783" s="378"/>
      <c r="AB783" s="378"/>
      <c r="AC783" s="378"/>
      <c r="AD783" s="378"/>
      <c r="AE783" s="378"/>
      <c r="AF783" s="378"/>
      <c r="AG783" s="378"/>
      <c r="AH783" s="378"/>
      <c r="AI783" s="378"/>
      <c r="AJ783" s="378"/>
      <c r="AK783" s="378"/>
      <c r="AL783" s="378"/>
      <c r="AM783" s="378"/>
      <c r="AN783" s="378"/>
      <c r="AO783" s="378"/>
      <c r="AP783" s="378"/>
      <c r="AQ783" s="378"/>
      <c r="AR783" s="378"/>
      <c r="AS783" s="378"/>
      <c r="AT783" s="378"/>
      <c r="AU783" s="378"/>
    </row>
    <row r="784" spans="1:47" x14ac:dyDescent="0.25">
      <c r="A784" s="3"/>
      <c r="B784" s="378"/>
      <c r="C784" s="378"/>
      <c r="D784" s="378"/>
      <c r="E784" s="378"/>
      <c r="F784" s="378"/>
      <c r="G784" s="378"/>
      <c r="H784" s="378"/>
      <c r="I784" s="378"/>
      <c r="J784" s="378"/>
      <c r="K784" s="378"/>
      <c r="L784" s="378"/>
      <c r="M784" s="378"/>
      <c r="N784" s="378"/>
      <c r="O784" s="378"/>
      <c r="P784" s="378"/>
      <c r="Q784" s="378"/>
      <c r="R784" s="378"/>
      <c r="S784" s="378"/>
      <c r="T784" s="378"/>
      <c r="U784" s="378"/>
      <c r="V784" s="378"/>
      <c r="W784" s="378"/>
      <c r="X784" s="378"/>
      <c r="Y784" s="378"/>
      <c r="Z784" s="378"/>
      <c r="AA784" s="378"/>
      <c r="AB784" s="378"/>
      <c r="AC784" s="378"/>
      <c r="AD784" s="378"/>
      <c r="AE784" s="378"/>
      <c r="AF784" s="378"/>
      <c r="AG784" s="378"/>
      <c r="AH784" s="378"/>
      <c r="AI784" s="378"/>
      <c r="AJ784" s="378"/>
      <c r="AK784" s="378"/>
      <c r="AL784" s="378"/>
      <c r="AM784" s="378"/>
      <c r="AN784" s="378"/>
      <c r="AO784" s="378"/>
      <c r="AP784" s="378"/>
      <c r="AQ784" s="378"/>
      <c r="AR784" s="378"/>
      <c r="AS784" s="378"/>
      <c r="AT784" s="378"/>
      <c r="AU784" s="378"/>
    </row>
    <row r="785" spans="1:47" x14ac:dyDescent="0.25">
      <c r="A785" s="378"/>
      <c r="B785" s="378"/>
      <c r="C785" s="378"/>
      <c r="D785" s="378"/>
      <c r="E785" s="378"/>
      <c r="F785" s="378"/>
      <c r="G785" s="378"/>
      <c r="H785" s="378"/>
      <c r="I785" s="378"/>
      <c r="J785" s="378"/>
      <c r="K785" s="378"/>
      <c r="L785" s="378"/>
      <c r="M785" s="378"/>
      <c r="N785" s="378"/>
      <c r="O785" s="378"/>
      <c r="P785" s="378"/>
      <c r="Q785" s="378"/>
      <c r="R785" s="378"/>
      <c r="S785" s="378"/>
      <c r="T785" s="378"/>
      <c r="U785" s="378"/>
      <c r="V785" s="378"/>
      <c r="W785" s="378"/>
      <c r="X785" s="378"/>
      <c r="Y785" s="378"/>
      <c r="Z785" s="378"/>
      <c r="AA785" s="378"/>
      <c r="AB785" s="378"/>
      <c r="AC785" s="378"/>
      <c r="AD785" s="378"/>
      <c r="AE785" s="378"/>
      <c r="AF785" s="378"/>
      <c r="AG785" s="378"/>
      <c r="AH785" s="378"/>
      <c r="AI785" s="378"/>
      <c r="AJ785" s="378"/>
      <c r="AK785" s="378"/>
      <c r="AL785" s="378"/>
      <c r="AM785" s="378"/>
      <c r="AN785" s="378"/>
      <c r="AO785" s="378"/>
      <c r="AP785" s="378"/>
      <c r="AQ785" s="378"/>
      <c r="AR785" s="378"/>
      <c r="AS785" s="378"/>
      <c r="AT785" s="378"/>
      <c r="AU785" s="378"/>
    </row>
    <row r="786" spans="1:47" ht="18.75" x14ac:dyDescent="0.3">
      <c r="A786" s="751"/>
      <c r="B786" s="1977" t="s">
        <v>865</v>
      </c>
      <c r="C786" s="1977"/>
      <c r="D786" s="378"/>
      <c r="E786" s="1977" t="s">
        <v>866</v>
      </c>
      <c r="F786" s="1977"/>
      <c r="G786" s="1977"/>
      <c r="H786" s="1977"/>
      <c r="I786" s="1977"/>
      <c r="J786" s="1977"/>
      <c r="K786" s="1977"/>
      <c r="L786" s="378"/>
      <c r="M786" s="378"/>
      <c r="N786" s="378"/>
      <c r="O786" s="378"/>
      <c r="P786" s="378"/>
      <c r="Q786" s="378"/>
      <c r="R786" s="378"/>
      <c r="S786" s="378"/>
      <c r="T786" s="378"/>
      <c r="U786" s="378"/>
      <c r="V786" s="378"/>
      <c r="W786" s="378"/>
      <c r="X786" s="378"/>
      <c r="Y786" s="378"/>
      <c r="Z786" s="378"/>
      <c r="AA786" s="378"/>
      <c r="AB786" s="378"/>
      <c r="AC786" s="378"/>
      <c r="AD786" s="378"/>
      <c r="AE786" s="378"/>
      <c r="AF786" s="378"/>
      <c r="AG786" s="378"/>
      <c r="AH786" s="378"/>
      <c r="AI786" s="378"/>
      <c r="AJ786" s="378"/>
      <c r="AK786" s="378"/>
      <c r="AL786" s="378"/>
      <c r="AM786" s="378"/>
      <c r="AN786" s="378"/>
      <c r="AO786" s="378"/>
      <c r="AP786" s="378"/>
      <c r="AQ786" s="378"/>
      <c r="AR786" s="378"/>
      <c r="AS786" s="378"/>
      <c r="AT786" s="378"/>
      <c r="AU786" s="378"/>
    </row>
    <row r="787" spans="1:47" x14ac:dyDescent="0.25">
      <c r="A787" s="378"/>
      <c r="B787" s="1527" t="s">
        <v>847</v>
      </c>
      <c r="C787" s="1527" t="s">
        <v>774</v>
      </c>
      <c r="D787" s="378"/>
      <c r="E787" s="1120" t="s">
        <v>867</v>
      </c>
      <c r="F787" s="1121"/>
      <c r="G787" s="1122"/>
      <c r="H787" s="2148" t="s">
        <v>868</v>
      </c>
      <c r="I787" s="2148"/>
      <c r="J787" s="2148" t="s">
        <v>869</v>
      </c>
      <c r="K787" s="2169"/>
      <c r="L787" s="378"/>
      <c r="M787" s="378"/>
      <c r="N787" s="378"/>
      <c r="O787" s="378"/>
      <c r="P787" s="378"/>
      <c r="Q787" s="378"/>
      <c r="R787" s="378"/>
      <c r="S787" s="378"/>
      <c r="T787" s="378"/>
      <c r="U787" s="378"/>
      <c r="V787" s="378"/>
      <c r="W787" s="378"/>
      <c r="X787" s="378"/>
      <c r="Y787" s="378"/>
      <c r="Z787" s="378"/>
      <c r="AA787" s="378"/>
      <c r="AB787" s="378"/>
      <c r="AC787" s="378"/>
      <c r="AD787" s="378"/>
      <c r="AE787" s="378"/>
      <c r="AF787" s="378"/>
      <c r="AG787" s="378"/>
      <c r="AH787" s="378"/>
      <c r="AI787" s="378"/>
      <c r="AJ787" s="378"/>
      <c r="AK787" s="378"/>
      <c r="AL787" s="378"/>
      <c r="AM787" s="378"/>
      <c r="AN787" s="378"/>
      <c r="AO787" s="378"/>
      <c r="AP787" s="378"/>
      <c r="AQ787" s="378"/>
      <c r="AR787" s="378"/>
      <c r="AS787" s="378"/>
      <c r="AT787" s="378"/>
      <c r="AU787" s="378"/>
    </row>
    <row r="788" spans="1:47" x14ac:dyDescent="0.25">
      <c r="A788" s="378"/>
      <c r="B788" s="1106">
        <v>0</v>
      </c>
      <c r="C788" s="1106">
        <v>0.1</v>
      </c>
      <c r="D788" s="378"/>
      <c r="E788" s="1123" t="s">
        <v>852</v>
      </c>
      <c r="F788" s="461">
        <v>0.1</v>
      </c>
      <c r="G788" s="167"/>
      <c r="H788" s="461" t="s">
        <v>852</v>
      </c>
      <c r="I788" s="461">
        <v>0.32129999999999997</v>
      </c>
      <c r="J788" s="461" t="s">
        <v>852</v>
      </c>
      <c r="K788" s="1099">
        <v>1.075</v>
      </c>
      <c r="L788" s="378"/>
      <c r="M788" s="378"/>
      <c r="N788" s="378"/>
      <c r="O788" s="378"/>
      <c r="P788" s="378"/>
      <c r="Q788" s="378"/>
      <c r="R788" s="378"/>
      <c r="S788" s="378"/>
      <c r="T788" s="378"/>
      <c r="U788" s="378"/>
      <c r="V788" s="378"/>
      <c r="W788" s="378"/>
      <c r="X788" s="378"/>
      <c r="Y788" s="378"/>
      <c r="Z788" s="378"/>
      <c r="AA788" s="378"/>
      <c r="AB788" s="378"/>
      <c r="AC788" s="378"/>
      <c r="AD788" s="378"/>
      <c r="AE788" s="378"/>
      <c r="AF788" s="378"/>
      <c r="AG788" s="378"/>
      <c r="AH788" s="378"/>
      <c r="AI788" s="378"/>
      <c r="AJ788" s="378"/>
      <c r="AK788" s="378"/>
      <c r="AL788" s="378"/>
      <c r="AM788" s="378"/>
      <c r="AN788" s="378"/>
      <c r="AO788" s="378"/>
      <c r="AP788" s="378"/>
      <c r="AQ788" s="378"/>
      <c r="AR788" s="378"/>
      <c r="AS788" s="378"/>
      <c r="AT788" s="378"/>
      <c r="AU788" s="378"/>
    </row>
    <row r="789" spans="1:47" x14ac:dyDescent="0.25">
      <c r="A789" s="378"/>
      <c r="B789" s="1106">
        <v>0.41</v>
      </c>
      <c r="C789" s="1106">
        <v>0.25</v>
      </c>
      <c r="D789" s="378"/>
      <c r="E789" s="1123" t="s">
        <v>805</v>
      </c>
      <c r="F789" s="461">
        <v>0.38390000000000002</v>
      </c>
      <c r="G789" s="167"/>
      <c r="H789" s="468" t="s">
        <v>805</v>
      </c>
      <c r="I789" s="461">
        <v>0.1381</v>
      </c>
      <c r="J789" s="461" t="s">
        <v>805</v>
      </c>
      <c r="K789" s="1099">
        <v>-1.8800000000000001E-2</v>
      </c>
      <c r="L789" s="378"/>
      <c r="M789" s="378"/>
      <c r="N789" s="378"/>
      <c r="O789" s="378"/>
      <c r="P789" s="378"/>
      <c r="Q789" s="378"/>
      <c r="R789" s="378"/>
      <c r="S789" s="378"/>
      <c r="T789" s="378"/>
      <c r="U789" s="378"/>
      <c r="V789" s="378"/>
      <c r="W789" s="378"/>
      <c r="X789" s="378"/>
      <c r="Y789" s="378"/>
      <c r="Z789" s="378"/>
      <c r="AA789" s="378"/>
      <c r="AB789" s="378"/>
      <c r="AC789" s="378"/>
      <c r="AD789" s="378"/>
      <c r="AE789" s="378"/>
      <c r="AF789" s="378"/>
      <c r="AG789" s="378"/>
      <c r="AH789" s="378"/>
      <c r="AI789" s="378"/>
      <c r="AJ789" s="378"/>
      <c r="AK789" s="378"/>
      <c r="AL789" s="378"/>
      <c r="AM789" s="378"/>
      <c r="AN789" s="378"/>
      <c r="AO789" s="378"/>
      <c r="AP789" s="378"/>
      <c r="AQ789" s="378"/>
      <c r="AR789" s="378"/>
      <c r="AS789" s="378"/>
      <c r="AT789" s="378"/>
      <c r="AU789" s="378"/>
    </row>
    <row r="790" spans="1:47" x14ac:dyDescent="0.25">
      <c r="A790" s="378"/>
      <c r="B790" s="1106">
        <v>1.21</v>
      </c>
      <c r="C790" s="1106">
        <v>0.5</v>
      </c>
      <c r="D790" s="378"/>
      <c r="E790" s="1123" t="s">
        <v>853</v>
      </c>
      <c r="F790" s="461">
        <v>-4.41E-2</v>
      </c>
      <c r="G790" s="167"/>
      <c r="H790" s="468" t="s">
        <v>853</v>
      </c>
      <c r="I790" s="461">
        <v>7.9000000000000008E-3</v>
      </c>
      <c r="J790" s="461"/>
      <c r="K790" s="1124"/>
      <c r="L790" s="378"/>
      <c r="M790" s="378"/>
      <c r="N790" s="378"/>
      <c r="O790" s="378"/>
      <c r="P790" s="378"/>
      <c r="Q790" s="378"/>
      <c r="R790" s="378"/>
      <c r="S790" s="378"/>
      <c r="T790" s="378"/>
      <c r="U790" s="378"/>
      <c r="V790" s="378"/>
      <c r="W790" s="378"/>
      <c r="X790" s="378"/>
      <c r="Y790" s="378"/>
      <c r="Z790" s="378"/>
      <c r="AA790" s="378"/>
      <c r="AB790" s="378"/>
      <c r="AC790" s="378"/>
      <c r="AD790" s="378"/>
      <c r="AE790" s="378"/>
      <c r="AF790" s="378"/>
      <c r="AG790" s="378"/>
      <c r="AH790" s="378"/>
      <c r="AI790" s="378"/>
      <c r="AJ790" s="378"/>
      <c r="AK790" s="378"/>
      <c r="AL790" s="378"/>
      <c r="AM790" s="378"/>
      <c r="AN790" s="378"/>
      <c r="AO790" s="378"/>
      <c r="AP790" s="378"/>
      <c r="AQ790" s="378"/>
      <c r="AR790" s="378"/>
      <c r="AS790" s="378"/>
      <c r="AT790" s="378"/>
      <c r="AU790" s="378"/>
    </row>
    <row r="791" spans="1:47" x14ac:dyDescent="0.25">
      <c r="A791" s="378"/>
      <c r="B791" s="1106">
        <v>2.41</v>
      </c>
      <c r="C791" s="1106">
        <v>0.7</v>
      </c>
      <c r="D791" s="378"/>
      <c r="E791" s="1125"/>
      <c r="F791" s="1126"/>
      <c r="G791" s="1127"/>
      <c r="H791" s="1126"/>
      <c r="I791" s="1127"/>
      <c r="J791" s="1128"/>
      <c r="K791" s="1129"/>
      <c r="L791" s="378"/>
      <c r="M791" s="378"/>
      <c r="N791" s="378"/>
      <c r="O791" s="378"/>
      <c r="P791" s="378"/>
      <c r="Q791" s="378"/>
      <c r="R791" s="378"/>
      <c r="S791" s="378"/>
      <c r="T791" s="378"/>
      <c r="U791" s="378"/>
      <c r="V791" s="378"/>
      <c r="W791" s="378"/>
      <c r="X791" s="378"/>
      <c r="Y791" s="378"/>
      <c r="Z791" s="378"/>
      <c r="AA791" s="378"/>
      <c r="AB791" s="378"/>
      <c r="AC791" s="378"/>
      <c r="AD791" s="378"/>
      <c r="AE791" s="378"/>
      <c r="AF791" s="378"/>
      <c r="AG791" s="378"/>
      <c r="AH791" s="378"/>
      <c r="AI791" s="378"/>
      <c r="AJ791" s="378"/>
      <c r="AK791" s="378"/>
      <c r="AL791" s="378"/>
      <c r="AM791" s="378"/>
      <c r="AN791" s="378"/>
      <c r="AO791" s="378"/>
      <c r="AP791" s="378"/>
      <c r="AQ791" s="378"/>
      <c r="AR791" s="378"/>
      <c r="AS791" s="378"/>
      <c r="AT791" s="378"/>
      <c r="AU791" s="378"/>
    </row>
    <row r="792" spans="1:47" x14ac:dyDescent="0.25">
      <c r="A792" s="378"/>
      <c r="B792" s="1106">
        <v>4</v>
      </c>
      <c r="C792" s="1106">
        <v>1</v>
      </c>
      <c r="D792" s="378"/>
      <c r="E792" s="1111" t="s">
        <v>101</v>
      </c>
      <c r="F792" s="1111">
        <f>F788+F789*'3 INDICADORES'!C197+F790*'3 INDICADORES'!C197^2</f>
        <v>0.1</v>
      </c>
      <c r="G792" s="1111">
        <f>I788+I789*'3 INDICADORES'!C197+I790*'3 INDICADORES'!C197^2</f>
        <v>0.32129999999999997</v>
      </c>
      <c r="H792" s="1111">
        <f>K788+K789*'3 INDICADORES'!C197</f>
        <v>1.075</v>
      </c>
      <c r="I792" s="1111">
        <f>IF(AND('3 INDICADORES'!C197&gt;1.21,'3 INDICADORES'!C197&lt;4),G792,IF('3 INDICADORES'!C197&gt;=4,H792,F792))</f>
        <v>0.1</v>
      </c>
      <c r="J792" s="360"/>
      <c r="K792" s="360"/>
      <c r="L792" s="378"/>
      <c r="M792" s="378"/>
      <c r="N792" s="378"/>
      <c r="O792" s="378"/>
      <c r="P792" s="378"/>
      <c r="Q792" s="378"/>
      <c r="R792" s="378"/>
      <c r="S792" s="378"/>
      <c r="T792" s="378"/>
      <c r="U792" s="378"/>
      <c r="V792" s="378"/>
      <c r="W792" s="378"/>
      <c r="X792" s="378"/>
      <c r="Y792" s="378"/>
      <c r="Z792" s="378"/>
      <c r="AA792" s="378"/>
      <c r="AB792" s="378"/>
      <c r="AC792" s="378"/>
      <c r="AD792" s="378"/>
      <c r="AE792" s="378"/>
      <c r="AF792" s="378"/>
      <c r="AG792" s="378"/>
      <c r="AH792" s="378"/>
      <c r="AI792" s="378"/>
      <c r="AJ792" s="378"/>
      <c r="AK792" s="378"/>
      <c r="AL792" s="378"/>
      <c r="AM792" s="378"/>
      <c r="AN792" s="378"/>
      <c r="AO792" s="378"/>
      <c r="AP792" s="378"/>
      <c r="AQ792" s="378"/>
      <c r="AR792" s="378"/>
      <c r="AS792" s="378"/>
      <c r="AT792" s="378"/>
      <c r="AU792" s="378"/>
    </row>
    <row r="793" spans="1:47" x14ac:dyDescent="0.25">
      <c r="A793" s="378"/>
      <c r="B793" s="1107">
        <v>20</v>
      </c>
      <c r="C793" s="1107">
        <v>0.7</v>
      </c>
      <c r="D793" s="378"/>
      <c r="E793" s="359"/>
      <c r="F793" s="359"/>
      <c r="G793" s="359"/>
      <c r="H793" s="359"/>
      <c r="I793" s="359"/>
      <c r="J793" s="360"/>
      <c r="K793" s="360"/>
      <c r="L793" s="378"/>
      <c r="M793" s="378"/>
      <c r="N793" s="378"/>
      <c r="O793" s="378"/>
      <c r="P793" s="378"/>
      <c r="Q793" s="378"/>
      <c r="R793" s="378"/>
      <c r="S793" s="378"/>
      <c r="T793" s="378"/>
      <c r="U793" s="378"/>
      <c r="V793" s="378"/>
      <c r="W793" s="378"/>
      <c r="X793" s="378"/>
      <c r="Y793" s="378"/>
      <c r="Z793" s="378"/>
      <c r="AA793" s="378"/>
      <c r="AB793" s="378"/>
      <c r="AC793" s="378"/>
      <c r="AD793" s="378"/>
      <c r="AE793" s="378"/>
      <c r="AF793" s="378"/>
      <c r="AG793" s="378"/>
      <c r="AH793" s="378"/>
      <c r="AI793" s="378"/>
      <c r="AJ793" s="378"/>
      <c r="AK793" s="378"/>
      <c r="AL793" s="378"/>
      <c r="AM793" s="378"/>
      <c r="AN793" s="378"/>
      <c r="AO793" s="378"/>
      <c r="AP793" s="378"/>
      <c r="AQ793" s="378"/>
      <c r="AR793" s="378"/>
      <c r="AS793" s="378"/>
      <c r="AT793" s="378"/>
      <c r="AU793" s="378"/>
    </row>
    <row r="794" spans="1:47" x14ac:dyDescent="0.25">
      <c r="A794" s="378"/>
      <c r="B794" s="2219" t="s">
        <v>870</v>
      </c>
      <c r="C794" s="2220"/>
      <c r="D794" s="2220"/>
      <c r="E794" s="2220"/>
      <c r="F794" s="2220"/>
      <c r="G794" s="2221"/>
      <c r="H794" s="378"/>
      <c r="I794" s="378"/>
      <c r="J794" s="378"/>
      <c r="K794" s="378"/>
      <c r="L794" s="378"/>
      <c r="M794" s="378"/>
      <c r="N794" s="378"/>
      <c r="O794" s="378"/>
      <c r="P794" s="378"/>
      <c r="Q794" s="378"/>
      <c r="R794" s="378"/>
      <c r="S794" s="378"/>
      <c r="T794" s="378"/>
      <c r="U794" s="378"/>
      <c r="V794" s="378"/>
      <c r="W794" s="378"/>
      <c r="X794" s="378"/>
      <c r="Y794" s="378"/>
      <c r="Z794" s="378"/>
      <c r="AA794" s="378"/>
      <c r="AB794" s="378"/>
      <c r="AC794" s="378"/>
      <c r="AD794" s="378"/>
      <c r="AE794" s="378"/>
      <c r="AF794" s="378"/>
      <c r="AG794" s="378"/>
      <c r="AH794" s="378"/>
      <c r="AI794" s="378"/>
      <c r="AJ794" s="378"/>
      <c r="AK794" s="378"/>
      <c r="AL794" s="378"/>
      <c r="AM794" s="378"/>
      <c r="AN794" s="378"/>
      <c r="AO794" s="378"/>
      <c r="AP794" s="378"/>
      <c r="AQ794" s="378"/>
      <c r="AR794" s="378"/>
      <c r="AS794" s="378"/>
      <c r="AT794" s="378"/>
      <c r="AU794" s="378"/>
    </row>
    <row r="795" spans="1:47" x14ac:dyDescent="0.25">
      <c r="A795" s="378"/>
      <c r="B795" s="361"/>
      <c r="C795" s="45"/>
      <c r="D795" s="45"/>
      <c r="E795" s="45"/>
      <c r="F795" s="45"/>
      <c r="G795" s="362"/>
      <c r="H795" s="378"/>
      <c r="I795" s="378"/>
      <c r="J795" s="378"/>
      <c r="K795" s="378"/>
      <c r="L795" s="378"/>
      <c r="M795" s="378"/>
      <c r="N795" s="378"/>
      <c r="O795" s="378"/>
      <c r="P795" s="378"/>
      <c r="Q795" s="378"/>
      <c r="R795" s="378"/>
      <c r="S795" s="378"/>
      <c r="T795" s="378"/>
      <c r="U795" s="378"/>
      <c r="V795" s="378"/>
      <c r="W795" s="378"/>
      <c r="X795" s="378"/>
      <c r="Y795" s="378"/>
      <c r="Z795" s="378"/>
      <c r="AA795" s="378"/>
      <c r="AB795" s="378"/>
      <c r="AC795" s="378"/>
      <c r="AD795" s="378"/>
      <c r="AE795" s="378"/>
      <c r="AF795" s="378"/>
      <c r="AG795" s="378"/>
      <c r="AH795" s="378"/>
      <c r="AI795" s="378"/>
      <c r="AJ795" s="378"/>
      <c r="AK795" s="378"/>
      <c r="AL795" s="378"/>
      <c r="AM795" s="378"/>
      <c r="AN795" s="378"/>
      <c r="AO795" s="378"/>
      <c r="AP795" s="378"/>
      <c r="AQ795" s="378"/>
      <c r="AR795" s="378"/>
      <c r="AS795" s="378"/>
      <c r="AT795" s="378"/>
      <c r="AU795" s="378"/>
    </row>
    <row r="796" spans="1:47" x14ac:dyDescent="0.25">
      <c r="A796" s="378"/>
      <c r="B796" s="361"/>
      <c r="C796" s="45"/>
      <c r="D796" s="45"/>
      <c r="E796" s="45"/>
      <c r="F796" s="45"/>
      <c r="G796" s="362"/>
      <c r="H796" s="378"/>
      <c r="I796" s="378"/>
      <c r="J796" s="378"/>
      <c r="K796" s="378"/>
      <c r="L796" s="378"/>
      <c r="M796" s="378"/>
      <c r="N796" s="378"/>
      <c r="O796" s="378"/>
      <c r="P796" s="378"/>
      <c r="Q796" s="378"/>
      <c r="R796" s="378"/>
      <c r="S796" s="378"/>
      <c r="T796" s="378"/>
      <c r="U796" s="378"/>
      <c r="V796" s="378"/>
      <c r="W796" s="378"/>
      <c r="X796" s="378"/>
      <c r="Y796" s="378"/>
      <c r="Z796" s="378"/>
      <c r="AA796" s="378"/>
      <c r="AB796" s="378"/>
      <c r="AC796" s="378"/>
      <c r="AD796" s="378"/>
      <c r="AE796" s="378"/>
      <c r="AF796" s="378"/>
      <c r="AG796" s="378"/>
      <c r="AH796" s="378"/>
      <c r="AI796" s="378"/>
      <c r="AJ796" s="378"/>
      <c r="AK796" s="378"/>
      <c r="AL796" s="378"/>
      <c r="AM796" s="378"/>
      <c r="AN796" s="378"/>
      <c r="AO796" s="378"/>
      <c r="AP796" s="378"/>
      <c r="AQ796" s="378"/>
      <c r="AR796" s="378"/>
      <c r="AS796" s="378"/>
      <c r="AT796" s="378"/>
      <c r="AU796" s="378"/>
    </row>
    <row r="797" spans="1:47" x14ac:dyDescent="0.25">
      <c r="A797" s="378"/>
      <c r="B797" s="361"/>
      <c r="C797" s="45"/>
      <c r="D797" s="45"/>
      <c r="E797" s="45"/>
      <c r="F797" s="45"/>
      <c r="G797" s="362"/>
      <c r="H797" s="378"/>
      <c r="I797" s="378"/>
      <c r="J797" s="378"/>
      <c r="K797" s="378"/>
      <c r="L797" s="378"/>
      <c r="M797" s="378"/>
      <c r="N797" s="378"/>
      <c r="O797" s="378"/>
      <c r="P797" s="378"/>
      <c r="Q797" s="378"/>
      <c r="R797" s="378"/>
      <c r="S797" s="378"/>
      <c r="T797" s="378"/>
      <c r="U797" s="378"/>
      <c r="V797" s="378"/>
      <c r="W797" s="378"/>
      <c r="X797" s="378"/>
      <c r="Y797" s="378"/>
      <c r="Z797" s="378"/>
      <c r="AA797" s="378"/>
      <c r="AB797" s="378"/>
      <c r="AC797" s="378"/>
      <c r="AD797" s="378"/>
      <c r="AE797" s="378"/>
      <c r="AF797" s="378"/>
      <c r="AG797" s="378"/>
      <c r="AH797" s="378"/>
      <c r="AI797" s="378"/>
      <c r="AJ797" s="378"/>
      <c r="AK797" s="378"/>
      <c r="AL797" s="378"/>
      <c r="AM797" s="378"/>
      <c r="AN797" s="378"/>
      <c r="AO797" s="378"/>
      <c r="AP797" s="378"/>
      <c r="AQ797" s="378"/>
      <c r="AR797" s="378"/>
      <c r="AS797" s="378"/>
      <c r="AT797" s="378"/>
      <c r="AU797" s="378"/>
    </row>
    <row r="798" spans="1:47" x14ac:dyDescent="0.25">
      <c r="A798" s="378"/>
      <c r="B798" s="361"/>
      <c r="C798" s="45"/>
      <c r="D798" s="45"/>
      <c r="E798" s="45"/>
      <c r="F798" s="45"/>
      <c r="G798" s="362"/>
      <c r="H798" s="378"/>
      <c r="I798" s="378"/>
      <c r="J798" s="378"/>
      <c r="K798" s="378"/>
      <c r="L798" s="378"/>
      <c r="M798" s="378"/>
      <c r="N798" s="378"/>
      <c r="O798" s="378"/>
      <c r="P798" s="378"/>
      <c r="Q798" s="378"/>
      <c r="R798" s="378"/>
      <c r="S798" s="378"/>
      <c r="T798" s="378"/>
      <c r="U798" s="378"/>
      <c r="V798" s="378"/>
      <c r="W798" s="378"/>
      <c r="X798" s="378"/>
      <c r="Y798" s="378"/>
      <c r="Z798" s="378"/>
      <c r="AA798" s="378"/>
      <c r="AB798" s="378"/>
      <c r="AC798" s="378"/>
      <c r="AD798" s="378"/>
      <c r="AE798" s="378"/>
      <c r="AF798" s="378"/>
      <c r="AG798" s="378"/>
      <c r="AH798" s="378"/>
      <c r="AI798" s="378"/>
      <c r="AJ798" s="378"/>
      <c r="AK798" s="378"/>
      <c r="AL798" s="378"/>
      <c r="AM798" s="378"/>
      <c r="AN798" s="378"/>
      <c r="AO798" s="378"/>
      <c r="AP798" s="378"/>
      <c r="AQ798" s="378"/>
      <c r="AR798" s="378"/>
      <c r="AS798" s="378"/>
      <c r="AT798" s="378"/>
      <c r="AU798" s="378"/>
    </row>
    <row r="799" spans="1:47" x14ac:dyDescent="0.25">
      <c r="A799" s="378"/>
      <c r="B799" s="361"/>
      <c r="C799" s="45"/>
      <c r="D799" s="45"/>
      <c r="E799" s="45"/>
      <c r="F799" s="45"/>
      <c r="G799" s="362"/>
      <c r="H799" s="378"/>
      <c r="I799" s="378"/>
      <c r="J799" s="378"/>
      <c r="K799" s="378"/>
      <c r="L799" s="378"/>
      <c r="M799" s="378"/>
      <c r="N799" s="378"/>
      <c r="O799" s="378"/>
      <c r="P799" s="378"/>
      <c r="Q799" s="378"/>
      <c r="R799" s="378"/>
      <c r="S799" s="378"/>
      <c r="T799" s="378"/>
      <c r="U799" s="378"/>
      <c r="V799" s="378"/>
      <c r="W799" s="378"/>
      <c r="X799" s="378"/>
      <c r="Y799" s="378"/>
      <c r="Z799" s="378"/>
      <c r="AA799" s="378"/>
      <c r="AB799" s="378"/>
      <c r="AC799" s="378"/>
      <c r="AD799" s="378"/>
      <c r="AE799" s="378"/>
      <c r="AF799" s="378"/>
      <c r="AG799" s="378"/>
      <c r="AH799" s="378"/>
      <c r="AI799" s="378"/>
      <c r="AJ799" s="378"/>
      <c r="AK799" s="378"/>
      <c r="AL799" s="378"/>
      <c r="AM799" s="378"/>
      <c r="AN799" s="378"/>
      <c r="AO799" s="378"/>
      <c r="AP799" s="378"/>
      <c r="AQ799" s="378"/>
      <c r="AR799" s="378"/>
      <c r="AS799" s="378"/>
      <c r="AT799" s="378"/>
      <c r="AU799" s="378"/>
    </row>
    <row r="800" spans="1:47" x14ac:dyDescent="0.25">
      <c r="A800" s="378"/>
      <c r="B800" s="361"/>
      <c r="C800" s="45"/>
      <c r="D800" s="45"/>
      <c r="E800" s="45"/>
      <c r="F800" s="45"/>
      <c r="G800" s="362"/>
      <c r="H800" s="378"/>
      <c r="I800" s="378"/>
      <c r="J800" s="378"/>
      <c r="K800" s="378"/>
      <c r="L800" s="378"/>
      <c r="M800" s="378"/>
      <c r="N800" s="378"/>
      <c r="O800" s="378"/>
      <c r="P800" s="378"/>
      <c r="Q800" s="378"/>
      <c r="R800" s="378"/>
      <c r="S800" s="378"/>
      <c r="T800" s="378"/>
      <c r="U800" s="378"/>
      <c r="V800" s="378"/>
      <c r="W800" s="378"/>
      <c r="X800" s="378"/>
      <c r="Y800" s="378"/>
      <c r="Z800" s="378"/>
      <c r="AA800" s="378"/>
      <c r="AB800" s="378"/>
      <c r="AC800" s="378"/>
      <c r="AD800" s="378"/>
      <c r="AE800" s="378"/>
      <c r="AF800" s="378"/>
      <c r="AG800" s="378"/>
      <c r="AH800" s="378"/>
      <c r="AI800" s="378"/>
      <c r="AJ800" s="378"/>
      <c r="AK800" s="378"/>
      <c r="AL800" s="378"/>
      <c r="AM800" s="378"/>
      <c r="AN800" s="378"/>
      <c r="AO800" s="378"/>
      <c r="AP800" s="378"/>
      <c r="AQ800" s="378"/>
      <c r="AR800" s="378"/>
      <c r="AS800" s="378"/>
      <c r="AT800" s="378"/>
      <c r="AU800" s="378"/>
    </row>
    <row r="801" spans="1:47" x14ac:dyDescent="0.25">
      <c r="A801" s="378"/>
      <c r="B801" s="361"/>
      <c r="C801" s="45"/>
      <c r="D801" s="356"/>
      <c r="E801" s="45"/>
      <c r="F801" s="45"/>
      <c r="G801" s="362"/>
      <c r="H801" s="378"/>
      <c r="I801" s="378"/>
      <c r="J801" s="378"/>
      <c r="K801" s="378"/>
      <c r="L801" s="378"/>
      <c r="M801" s="378"/>
      <c r="N801" s="378"/>
      <c r="O801" s="378"/>
      <c r="P801" s="378"/>
      <c r="Q801" s="378"/>
      <c r="R801" s="378"/>
      <c r="S801" s="378"/>
      <c r="T801" s="378"/>
      <c r="U801" s="378"/>
      <c r="V801" s="378"/>
      <c r="W801" s="378"/>
      <c r="X801" s="378"/>
      <c r="Y801" s="378"/>
      <c r="Z801" s="378"/>
      <c r="AA801" s="378"/>
      <c r="AB801" s="378"/>
      <c r="AC801" s="378"/>
      <c r="AD801" s="378"/>
      <c r="AE801" s="378"/>
      <c r="AF801" s="378"/>
      <c r="AG801" s="378"/>
      <c r="AH801" s="378"/>
      <c r="AI801" s="378"/>
      <c r="AJ801" s="378"/>
      <c r="AK801" s="378"/>
      <c r="AL801" s="378"/>
      <c r="AM801" s="378"/>
      <c r="AN801" s="378"/>
      <c r="AO801" s="378"/>
      <c r="AP801" s="378"/>
      <c r="AQ801" s="378"/>
      <c r="AR801" s="378"/>
      <c r="AS801" s="378"/>
      <c r="AT801" s="378"/>
      <c r="AU801" s="378"/>
    </row>
    <row r="802" spans="1:47" ht="18.75" x14ac:dyDescent="0.3">
      <c r="A802" s="751"/>
      <c r="B802" s="2222" t="s">
        <v>871</v>
      </c>
      <c r="C802" s="2223"/>
      <c r="D802" s="378"/>
      <c r="E802" s="2219" t="s">
        <v>872</v>
      </c>
      <c r="F802" s="2220"/>
      <c r="G802" s="2220"/>
      <c r="H802" s="2220"/>
      <c r="I802" s="2220"/>
      <c r="J802" s="2220"/>
      <c r="K802" s="2221"/>
      <c r="L802" s="378"/>
      <c r="M802" s="378"/>
      <c r="N802" s="378"/>
      <c r="O802" s="378"/>
      <c r="P802" s="378"/>
      <c r="Q802" s="378"/>
      <c r="R802" s="378"/>
      <c r="S802" s="378"/>
      <c r="T802" s="378"/>
      <c r="U802" s="378"/>
      <c r="V802" s="378"/>
      <c r="W802" s="378"/>
      <c r="X802" s="378"/>
      <c r="Y802" s="378"/>
      <c r="Z802" s="378"/>
      <c r="AA802" s="378"/>
      <c r="AB802" s="378"/>
      <c r="AC802" s="378"/>
      <c r="AD802" s="378"/>
      <c r="AE802" s="378"/>
      <c r="AF802" s="378"/>
      <c r="AG802" s="378"/>
      <c r="AH802" s="378"/>
      <c r="AI802" s="378"/>
      <c r="AJ802" s="378"/>
      <c r="AK802" s="378"/>
      <c r="AL802" s="378"/>
      <c r="AM802" s="378"/>
      <c r="AN802" s="378"/>
      <c r="AO802" s="378"/>
      <c r="AP802" s="378"/>
      <c r="AQ802" s="378"/>
      <c r="AR802" s="378"/>
      <c r="AS802" s="378"/>
      <c r="AT802" s="378"/>
      <c r="AU802" s="378"/>
    </row>
    <row r="803" spans="1:47" x14ac:dyDescent="0.25">
      <c r="A803" s="378"/>
      <c r="B803" s="1528" t="s">
        <v>847</v>
      </c>
      <c r="C803" s="1528" t="s">
        <v>774</v>
      </c>
      <c r="D803" s="378"/>
      <c r="E803" s="1130" t="s">
        <v>867</v>
      </c>
      <c r="F803" s="1121"/>
      <c r="G803" s="1122"/>
      <c r="H803" s="2143" t="s">
        <v>868</v>
      </c>
      <c r="I803" s="2143"/>
      <c r="J803" s="2224" t="s">
        <v>869</v>
      </c>
      <c r="K803" s="2225"/>
      <c r="L803" s="378"/>
      <c r="M803" s="378"/>
      <c r="N803" s="378"/>
      <c r="O803" s="378"/>
      <c r="P803" s="378"/>
      <c r="Q803" s="378"/>
      <c r="R803" s="378"/>
      <c r="S803" s="378"/>
      <c r="T803" s="378"/>
      <c r="U803" s="378"/>
      <c r="V803" s="378"/>
      <c r="W803" s="378"/>
      <c r="X803" s="378"/>
      <c r="Y803" s="378"/>
      <c r="Z803" s="378"/>
      <c r="AA803" s="378"/>
      <c r="AB803" s="378"/>
      <c r="AC803" s="378"/>
      <c r="AD803" s="378"/>
      <c r="AE803" s="378"/>
      <c r="AF803" s="378"/>
      <c r="AG803" s="378"/>
      <c r="AH803" s="378"/>
      <c r="AI803" s="378"/>
      <c r="AJ803" s="378"/>
      <c r="AK803" s="378"/>
      <c r="AL803" s="378"/>
      <c r="AM803" s="378"/>
      <c r="AN803" s="378"/>
      <c r="AO803" s="378"/>
      <c r="AP803" s="378"/>
      <c r="AQ803" s="378"/>
      <c r="AR803" s="378"/>
      <c r="AS803" s="378"/>
      <c r="AT803" s="378"/>
      <c r="AU803" s="378"/>
    </row>
    <row r="804" spans="1:47" x14ac:dyDescent="0.25">
      <c r="A804" s="378"/>
      <c r="B804" s="1106">
        <v>0</v>
      </c>
      <c r="C804" s="1106">
        <v>0.1</v>
      </c>
      <c r="D804" s="378"/>
      <c r="E804" s="1123" t="s">
        <v>852</v>
      </c>
      <c r="F804" s="461">
        <v>0.1</v>
      </c>
      <c r="G804" s="167"/>
      <c r="H804" s="461" t="s">
        <v>852</v>
      </c>
      <c r="I804" s="461">
        <v>0.32129999999999997</v>
      </c>
      <c r="J804" s="461" t="s">
        <v>852</v>
      </c>
      <c r="K804" s="1099">
        <v>1.075</v>
      </c>
      <c r="L804" s="378"/>
      <c r="M804" s="378"/>
      <c r="N804" s="378"/>
      <c r="O804" s="378"/>
      <c r="P804" s="378"/>
      <c r="Q804" s="378"/>
      <c r="R804" s="378"/>
      <c r="S804" s="378"/>
      <c r="T804" s="378"/>
      <c r="U804" s="378"/>
      <c r="V804" s="378"/>
      <c r="W804" s="378"/>
      <c r="X804" s="378"/>
      <c r="Y804" s="378"/>
      <c r="Z804" s="378"/>
      <c r="AA804" s="378"/>
      <c r="AB804" s="378"/>
      <c r="AC804" s="378"/>
      <c r="AD804" s="378"/>
      <c r="AE804" s="378"/>
      <c r="AF804" s="378"/>
      <c r="AG804" s="378"/>
      <c r="AH804" s="378"/>
      <c r="AI804" s="378"/>
      <c r="AJ804" s="378"/>
      <c r="AK804" s="378"/>
      <c r="AL804" s="378"/>
      <c r="AM804" s="378"/>
      <c r="AN804" s="378"/>
      <c r="AO804" s="378"/>
      <c r="AP804" s="378"/>
      <c r="AQ804" s="378"/>
      <c r="AR804" s="378"/>
      <c r="AS804" s="378"/>
      <c r="AT804" s="378"/>
      <c r="AU804" s="378"/>
    </row>
    <row r="805" spans="1:47" x14ac:dyDescent="0.25">
      <c r="A805" s="378"/>
      <c r="B805" s="1106">
        <v>0.16</v>
      </c>
      <c r="C805" s="1106">
        <v>0.25</v>
      </c>
      <c r="D805" s="378"/>
      <c r="E805" s="1123" t="s">
        <v>805</v>
      </c>
      <c r="F805" s="461">
        <v>0.97370000000000001</v>
      </c>
      <c r="G805" s="167"/>
      <c r="H805" s="468" t="s">
        <v>805</v>
      </c>
      <c r="I805" s="461">
        <v>0.36009999999999998</v>
      </c>
      <c r="J805" s="461" t="s">
        <v>805</v>
      </c>
      <c r="K805" s="1099">
        <v>-0.05</v>
      </c>
      <c r="L805" s="378"/>
      <c r="M805" s="378"/>
      <c r="N805" s="378"/>
      <c r="O805" s="378"/>
      <c r="P805" s="378"/>
      <c r="Q805" s="378"/>
      <c r="R805" s="378"/>
      <c r="S805" s="378"/>
      <c r="T805" s="378"/>
      <c r="U805" s="378"/>
      <c r="V805" s="378"/>
      <c r="W805" s="378"/>
      <c r="X805" s="378"/>
      <c r="Y805" s="378"/>
      <c r="Z805" s="378"/>
      <c r="AA805" s="378"/>
      <c r="AB805" s="378"/>
      <c r="AC805" s="378"/>
      <c r="AD805" s="378"/>
      <c r="AE805" s="378"/>
      <c r="AF805" s="378"/>
      <c r="AG805" s="378"/>
      <c r="AH805" s="378"/>
      <c r="AI805" s="378"/>
      <c r="AJ805" s="378"/>
      <c r="AK805" s="378"/>
      <c r="AL805" s="378"/>
      <c r="AM805" s="378"/>
      <c r="AN805" s="378"/>
      <c r="AO805" s="378"/>
      <c r="AP805" s="378"/>
      <c r="AQ805" s="378"/>
      <c r="AR805" s="378"/>
      <c r="AS805" s="378"/>
      <c r="AT805" s="378"/>
      <c r="AU805" s="378"/>
    </row>
    <row r="806" spans="1:47" x14ac:dyDescent="0.25">
      <c r="A806" s="378"/>
      <c r="B806" s="1106">
        <v>0.46</v>
      </c>
      <c r="C806" s="1106">
        <v>0.5</v>
      </c>
      <c r="D806" s="378"/>
      <c r="E806" s="1131" t="s">
        <v>853</v>
      </c>
      <c r="F806" s="1115">
        <v>-0.22639999999999999</v>
      </c>
      <c r="G806" s="1102"/>
      <c r="H806" s="1116" t="s">
        <v>853</v>
      </c>
      <c r="I806" s="1115">
        <v>6.1600000000000002E-2</v>
      </c>
      <c r="J806" s="1115"/>
      <c r="K806" s="1132"/>
      <c r="L806" s="378"/>
      <c r="M806" s="378"/>
      <c r="N806" s="378"/>
      <c r="O806" s="378"/>
      <c r="P806" s="378"/>
      <c r="Q806" s="378"/>
      <c r="R806" s="378"/>
      <c r="S806" s="378"/>
      <c r="T806" s="378"/>
      <c r="U806" s="378"/>
      <c r="V806" s="378"/>
      <c r="W806" s="378"/>
      <c r="X806" s="378"/>
      <c r="Y806" s="378"/>
      <c r="Z806" s="378"/>
      <c r="AA806" s="378"/>
      <c r="AB806" s="378"/>
      <c r="AC806" s="378"/>
      <c r="AD806" s="378"/>
      <c r="AE806" s="378"/>
      <c r="AF806" s="378"/>
      <c r="AG806" s="378"/>
      <c r="AH806" s="378"/>
      <c r="AI806" s="378"/>
      <c r="AJ806" s="378"/>
      <c r="AK806" s="378"/>
      <c r="AL806" s="378"/>
      <c r="AM806" s="378"/>
      <c r="AN806" s="378"/>
      <c r="AO806" s="378"/>
      <c r="AP806" s="378"/>
      <c r="AQ806" s="378"/>
      <c r="AR806" s="378"/>
      <c r="AS806" s="378"/>
      <c r="AT806" s="378"/>
      <c r="AU806" s="378"/>
    </row>
    <row r="807" spans="1:47" x14ac:dyDescent="0.25">
      <c r="A807" s="378"/>
      <c r="B807" s="1106">
        <v>0.91</v>
      </c>
      <c r="C807" s="1106">
        <v>0.7</v>
      </c>
      <c r="D807" s="378"/>
      <c r="E807" s="1111" t="s">
        <v>101</v>
      </c>
      <c r="F807" s="1111">
        <f>F804+F805*'3 INDICADORES'!C204+F806*'3 INDICADORES'!C204^2</f>
        <v>0.1</v>
      </c>
      <c r="G807" s="1111">
        <f>I804+I805*'3 INDICADORES'!C204+I806*'3 INDICADORES'!C204^2</f>
        <v>0.32129999999999997</v>
      </c>
      <c r="H807" s="1111">
        <f>K804+K805*'3 INDICADORES'!C204</f>
        <v>1.075</v>
      </c>
      <c r="I807" s="1111">
        <f>IF(AND('3 INDICADORES'!C204&gt;0.46,'3 INDICADORES'!C204&lt;1.5),G807,IF('3 INDICADORES'!C204&gt;=1.5,H807,F807))</f>
        <v>0.1</v>
      </c>
      <c r="J807" s="358"/>
      <c r="K807" s="358"/>
      <c r="L807" s="378"/>
      <c r="M807" s="378"/>
      <c r="N807" s="378"/>
      <c r="O807" s="378"/>
      <c r="P807" s="378"/>
      <c r="Q807" s="378"/>
      <c r="R807" s="378"/>
      <c r="S807" s="378"/>
      <c r="T807" s="378"/>
      <c r="U807" s="378"/>
      <c r="V807" s="378"/>
      <c r="W807" s="378"/>
      <c r="X807" s="378"/>
      <c r="Y807" s="378"/>
      <c r="Z807" s="378"/>
      <c r="AA807" s="378"/>
      <c r="AB807" s="378"/>
      <c r="AC807" s="378"/>
      <c r="AD807" s="378"/>
      <c r="AE807" s="378"/>
      <c r="AF807" s="378"/>
      <c r="AG807" s="378"/>
      <c r="AH807" s="378"/>
      <c r="AI807" s="378"/>
      <c r="AJ807" s="378"/>
      <c r="AK807" s="378"/>
      <c r="AL807" s="378"/>
      <c r="AM807" s="378"/>
      <c r="AN807" s="378"/>
      <c r="AO807" s="378"/>
      <c r="AP807" s="378"/>
      <c r="AQ807" s="378"/>
      <c r="AR807" s="378"/>
      <c r="AS807" s="378"/>
      <c r="AT807" s="378"/>
      <c r="AU807" s="378"/>
    </row>
    <row r="808" spans="1:47" x14ac:dyDescent="0.25">
      <c r="A808" s="378"/>
      <c r="B808" s="1106">
        <v>1.5</v>
      </c>
      <c r="C808" s="1106">
        <v>1</v>
      </c>
      <c r="D808" s="378"/>
      <c r="E808" s="3"/>
      <c r="F808" s="3"/>
      <c r="G808" s="3"/>
      <c r="H808" s="3"/>
      <c r="I808" s="3"/>
      <c r="J808" s="364"/>
      <c r="K808" s="364"/>
      <c r="L808" s="378"/>
      <c r="M808" s="378"/>
      <c r="N808" s="378"/>
      <c r="O808" s="378"/>
      <c r="P808" s="378"/>
      <c r="Q808" s="378"/>
      <c r="R808" s="378"/>
      <c r="S808" s="378"/>
      <c r="T808" s="378"/>
      <c r="U808" s="378"/>
      <c r="V808" s="378"/>
      <c r="W808" s="378"/>
      <c r="X808" s="378"/>
      <c r="Y808" s="378"/>
      <c r="Z808" s="378"/>
      <c r="AA808" s="378"/>
      <c r="AB808" s="378"/>
      <c r="AC808" s="378"/>
      <c r="AD808" s="378"/>
      <c r="AE808" s="378"/>
      <c r="AF808" s="378"/>
      <c r="AG808" s="378"/>
      <c r="AH808" s="378"/>
      <c r="AI808" s="378"/>
      <c r="AJ808" s="378"/>
      <c r="AK808" s="378"/>
      <c r="AL808" s="378"/>
      <c r="AM808" s="378"/>
      <c r="AN808" s="378"/>
      <c r="AO808" s="378"/>
      <c r="AP808" s="378"/>
      <c r="AQ808" s="378"/>
      <c r="AR808" s="378"/>
      <c r="AS808" s="378"/>
      <c r="AT808" s="378"/>
      <c r="AU808" s="378"/>
    </row>
    <row r="809" spans="1:47" x14ac:dyDescent="0.25">
      <c r="A809" s="378"/>
      <c r="B809" s="1107">
        <v>7.5</v>
      </c>
      <c r="C809" s="1107">
        <v>0.7</v>
      </c>
      <c r="D809" s="378"/>
      <c r="E809" s="359"/>
      <c r="F809" s="359"/>
      <c r="G809" s="359"/>
      <c r="H809" s="359"/>
      <c r="I809" s="359"/>
      <c r="J809" s="364"/>
      <c r="K809" s="364"/>
      <c r="L809" s="378"/>
      <c r="M809" s="378"/>
      <c r="N809" s="378"/>
      <c r="O809" s="378"/>
      <c r="P809" s="378"/>
      <c r="Q809" s="378"/>
      <c r="R809" s="378"/>
      <c r="S809" s="378"/>
      <c r="T809" s="378"/>
      <c r="U809" s="378"/>
      <c r="V809" s="378"/>
      <c r="W809" s="378"/>
      <c r="X809" s="378"/>
      <c r="Y809" s="378"/>
      <c r="Z809" s="378"/>
      <c r="AA809" s="378"/>
      <c r="AB809" s="378"/>
      <c r="AC809" s="378"/>
      <c r="AD809" s="378"/>
      <c r="AE809" s="378"/>
      <c r="AF809" s="378"/>
      <c r="AG809" s="378"/>
      <c r="AH809" s="378"/>
      <c r="AI809" s="378"/>
      <c r="AJ809" s="378"/>
      <c r="AK809" s="378"/>
      <c r="AL809" s="378"/>
      <c r="AM809" s="378"/>
      <c r="AN809" s="378"/>
      <c r="AO809" s="378"/>
      <c r="AP809" s="378"/>
      <c r="AQ809" s="378"/>
      <c r="AR809" s="378"/>
      <c r="AS809" s="378"/>
      <c r="AT809" s="378"/>
      <c r="AU809" s="378"/>
    </row>
    <row r="810" spans="1:47" x14ac:dyDescent="0.25">
      <c r="A810" s="378"/>
      <c r="B810" s="1977" t="s">
        <v>873</v>
      </c>
      <c r="C810" s="1977"/>
      <c r="D810" s="1977"/>
      <c r="E810" s="1977"/>
      <c r="F810" s="1977"/>
      <c r="G810" s="1977"/>
      <c r="H810" s="378"/>
      <c r="I810" s="378"/>
      <c r="J810" s="378"/>
      <c r="K810" s="378"/>
      <c r="L810" s="378"/>
      <c r="M810" s="378"/>
      <c r="N810" s="378"/>
      <c r="O810" s="378"/>
      <c r="P810" s="378"/>
      <c r="Q810" s="378"/>
      <c r="R810" s="378"/>
      <c r="S810" s="378"/>
      <c r="T810" s="378"/>
      <c r="U810" s="378"/>
      <c r="V810" s="378"/>
      <c r="W810" s="378"/>
      <c r="X810" s="378"/>
      <c r="Y810" s="378"/>
      <c r="Z810" s="378"/>
      <c r="AA810" s="378"/>
      <c r="AB810" s="378"/>
      <c r="AC810" s="378"/>
      <c r="AD810" s="378"/>
      <c r="AE810" s="378"/>
      <c r="AF810" s="378"/>
      <c r="AG810" s="378"/>
      <c r="AH810" s="378"/>
      <c r="AI810" s="378"/>
      <c r="AJ810" s="378"/>
      <c r="AK810" s="378"/>
      <c r="AL810" s="378"/>
      <c r="AM810" s="378"/>
      <c r="AN810" s="378"/>
      <c r="AO810" s="378"/>
      <c r="AP810" s="378"/>
      <c r="AQ810" s="378"/>
      <c r="AR810" s="378"/>
      <c r="AS810" s="378"/>
      <c r="AT810" s="378"/>
      <c r="AU810" s="378"/>
    </row>
    <row r="811" spans="1:47" x14ac:dyDescent="0.25">
      <c r="A811" s="378"/>
      <c r="B811" s="361"/>
      <c r="C811" s="45"/>
      <c r="D811" s="45"/>
      <c r="E811" s="45"/>
      <c r="F811" s="45"/>
      <c r="G811" s="362"/>
      <c r="H811" s="378"/>
      <c r="I811" s="378"/>
      <c r="J811" s="378"/>
      <c r="K811" s="378"/>
      <c r="L811" s="378"/>
      <c r="M811" s="378"/>
      <c r="N811" s="378"/>
      <c r="O811" s="378"/>
      <c r="P811" s="378"/>
      <c r="Q811" s="378"/>
      <c r="R811" s="378"/>
      <c r="S811" s="378"/>
      <c r="T811" s="378"/>
      <c r="U811" s="378"/>
      <c r="V811" s="378"/>
      <c r="W811" s="378"/>
      <c r="X811" s="378"/>
      <c r="Y811" s="378"/>
      <c r="Z811" s="378"/>
      <c r="AA811" s="378"/>
      <c r="AB811" s="378"/>
      <c r="AC811" s="378"/>
      <c r="AD811" s="378"/>
      <c r="AE811" s="378"/>
      <c r="AF811" s="378"/>
      <c r="AG811" s="378"/>
      <c r="AH811" s="378"/>
      <c r="AI811" s="378"/>
      <c r="AJ811" s="378"/>
      <c r="AK811" s="378"/>
      <c r="AL811" s="378"/>
      <c r="AM811" s="378"/>
      <c r="AN811" s="378"/>
      <c r="AO811" s="378"/>
      <c r="AP811" s="378"/>
      <c r="AQ811" s="378"/>
      <c r="AR811" s="378"/>
      <c r="AS811" s="378"/>
      <c r="AT811" s="378"/>
      <c r="AU811" s="378"/>
    </row>
    <row r="812" spans="1:47" x14ac:dyDescent="0.25">
      <c r="A812" s="378"/>
      <c r="B812" s="361"/>
      <c r="C812" s="45"/>
      <c r="D812" s="45"/>
      <c r="E812" s="45"/>
      <c r="F812" s="45"/>
      <c r="G812" s="362"/>
      <c r="H812" s="378"/>
      <c r="I812" s="378"/>
      <c r="J812" s="378"/>
      <c r="K812" s="378"/>
      <c r="L812" s="378"/>
      <c r="M812" s="378"/>
      <c r="N812" s="378"/>
      <c r="O812" s="378"/>
      <c r="P812" s="378"/>
      <c r="Q812" s="378"/>
      <c r="R812" s="378"/>
      <c r="S812" s="378"/>
      <c r="T812" s="378"/>
      <c r="U812" s="378"/>
      <c r="V812" s="378"/>
      <c r="W812" s="378"/>
      <c r="X812" s="378"/>
      <c r="Y812" s="378"/>
      <c r="Z812" s="378"/>
      <c r="AA812" s="378"/>
      <c r="AB812" s="378"/>
      <c r="AC812" s="378"/>
      <c r="AD812" s="378"/>
      <c r="AE812" s="378"/>
      <c r="AF812" s="378"/>
      <c r="AG812" s="378"/>
      <c r="AH812" s="378"/>
      <c r="AI812" s="378"/>
      <c r="AJ812" s="378"/>
      <c r="AK812" s="378"/>
      <c r="AL812" s="378"/>
      <c r="AM812" s="378"/>
      <c r="AN812" s="378"/>
      <c r="AO812" s="378"/>
      <c r="AP812" s="378"/>
      <c r="AQ812" s="378"/>
      <c r="AR812" s="378"/>
      <c r="AS812" s="378"/>
      <c r="AT812" s="378"/>
      <c r="AU812" s="378"/>
    </row>
    <row r="813" spans="1:47" x14ac:dyDescent="0.25">
      <c r="A813" s="378"/>
      <c r="B813" s="361"/>
      <c r="C813" s="45"/>
      <c r="D813" s="45"/>
      <c r="E813" s="45"/>
      <c r="F813" s="45"/>
      <c r="G813" s="362"/>
      <c r="H813" s="378"/>
      <c r="I813" s="378"/>
      <c r="J813" s="378"/>
      <c r="K813" s="378"/>
      <c r="L813" s="378"/>
      <c r="M813" s="378"/>
      <c r="N813" s="378"/>
      <c r="O813" s="378"/>
      <c r="P813" s="378"/>
      <c r="Q813" s="378"/>
      <c r="R813" s="378"/>
      <c r="S813" s="378"/>
      <c r="T813" s="378"/>
      <c r="U813" s="378"/>
      <c r="V813" s="378"/>
      <c r="W813" s="378"/>
      <c r="X813" s="378"/>
      <c r="Y813" s="378"/>
      <c r="Z813" s="378"/>
      <c r="AA813" s="378"/>
      <c r="AB813" s="378"/>
      <c r="AC813" s="378"/>
      <c r="AD813" s="378"/>
      <c r="AE813" s="378"/>
      <c r="AF813" s="378"/>
      <c r="AG813" s="378"/>
      <c r="AH813" s="378"/>
      <c r="AI813" s="378"/>
      <c r="AJ813" s="378"/>
      <c r="AK813" s="378"/>
      <c r="AL813" s="378"/>
      <c r="AM813" s="378"/>
      <c r="AN813" s="378"/>
      <c r="AO813" s="378"/>
      <c r="AP813" s="378"/>
      <c r="AQ813" s="378"/>
      <c r="AR813" s="378"/>
      <c r="AS813" s="378"/>
      <c r="AT813" s="378"/>
      <c r="AU813" s="378"/>
    </row>
    <row r="814" spans="1:47" x14ac:dyDescent="0.25">
      <c r="A814" s="378"/>
      <c r="B814" s="361"/>
      <c r="C814" s="45"/>
      <c r="D814" s="45"/>
      <c r="E814" s="45"/>
      <c r="F814" s="45"/>
      <c r="G814" s="362"/>
      <c r="H814" s="378"/>
      <c r="I814" s="378"/>
      <c r="J814" s="378"/>
      <c r="K814" s="378"/>
      <c r="L814" s="378"/>
      <c r="M814" s="378"/>
      <c r="N814" s="378"/>
      <c r="O814" s="378"/>
      <c r="P814" s="378"/>
      <c r="Q814" s="378"/>
      <c r="R814" s="378"/>
      <c r="S814" s="378"/>
      <c r="T814" s="378"/>
      <c r="U814" s="378"/>
      <c r="V814" s="378"/>
      <c r="W814" s="378"/>
      <c r="X814" s="378"/>
      <c r="Y814" s="378"/>
      <c r="Z814" s="378"/>
      <c r="AA814" s="378"/>
      <c r="AB814" s="378"/>
      <c r="AC814" s="378"/>
      <c r="AD814" s="378"/>
      <c r="AE814" s="378"/>
      <c r="AF814" s="378"/>
      <c r="AG814" s="378"/>
      <c r="AH814" s="378"/>
      <c r="AI814" s="378"/>
      <c r="AJ814" s="378"/>
      <c r="AK814" s="378"/>
      <c r="AL814" s="378"/>
      <c r="AM814" s="378"/>
      <c r="AN814" s="378"/>
      <c r="AO814" s="378"/>
      <c r="AP814" s="378"/>
      <c r="AQ814" s="378"/>
      <c r="AR814" s="378"/>
      <c r="AS814" s="378"/>
      <c r="AT814" s="378"/>
      <c r="AU814" s="378"/>
    </row>
    <row r="815" spans="1:47" x14ac:dyDescent="0.25">
      <c r="A815" s="378"/>
      <c r="B815" s="361"/>
      <c r="C815" s="45"/>
      <c r="D815" s="45"/>
      <c r="E815" s="45"/>
      <c r="F815" s="45"/>
      <c r="G815" s="362"/>
      <c r="H815" s="378"/>
      <c r="I815" s="378"/>
      <c r="J815" s="378"/>
      <c r="K815" s="378"/>
      <c r="L815" s="378"/>
      <c r="M815" s="378"/>
      <c r="N815" s="378"/>
      <c r="O815" s="378"/>
      <c r="P815" s="378"/>
      <c r="Q815" s="378"/>
      <c r="R815" s="378"/>
      <c r="S815" s="378"/>
      <c r="T815" s="378"/>
      <c r="U815" s="378"/>
      <c r="V815" s="378"/>
      <c r="W815" s="378"/>
      <c r="X815" s="378"/>
      <c r="Y815" s="378"/>
      <c r="Z815" s="378"/>
      <c r="AA815" s="378"/>
      <c r="AB815" s="378"/>
      <c r="AC815" s="378"/>
      <c r="AD815" s="378"/>
      <c r="AE815" s="378"/>
      <c r="AF815" s="378"/>
      <c r="AG815" s="378"/>
      <c r="AH815" s="378"/>
      <c r="AI815" s="378"/>
      <c r="AJ815" s="378"/>
      <c r="AK815" s="378"/>
      <c r="AL815" s="378"/>
      <c r="AM815" s="378"/>
      <c r="AN815" s="378"/>
      <c r="AO815" s="378"/>
      <c r="AP815" s="378"/>
      <c r="AQ815" s="378"/>
      <c r="AR815" s="378"/>
      <c r="AS815" s="378"/>
      <c r="AT815" s="378"/>
      <c r="AU815" s="378"/>
    </row>
    <row r="816" spans="1:47" x14ac:dyDescent="0.25">
      <c r="A816" s="378"/>
      <c r="B816" s="361"/>
      <c r="C816" s="45"/>
      <c r="D816" s="45"/>
      <c r="E816" s="45"/>
      <c r="F816" s="45"/>
      <c r="G816" s="362"/>
      <c r="H816" s="378"/>
      <c r="I816" s="378"/>
      <c r="J816" s="378"/>
      <c r="K816" s="378"/>
      <c r="L816" s="378"/>
      <c r="M816" s="378"/>
      <c r="N816" s="378"/>
      <c r="O816" s="378"/>
      <c r="P816" s="378"/>
      <c r="Q816" s="378"/>
      <c r="R816" s="378"/>
      <c r="S816" s="378"/>
      <c r="T816" s="378"/>
      <c r="U816" s="378"/>
      <c r="V816" s="378"/>
      <c r="W816" s="378"/>
      <c r="X816" s="378"/>
      <c r="Y816" s="378"/>
      <c r="Z816" s="378"/>
      <c r="AA816" s="378"/>
      <c r="AB816" s="378"/>
      <c r="AC816" s="378"/>
      <c r="AD816" s="378"/>
      <c r="AE816" s="378"/>
      <c r="AF816" s="378"/>
      <c r="AG816" s="378"/>
      <c r="AH816" s="378"/>
      <c r="AI816" s="378"/>
      <c r="AJ816" s="378"/>
      <c r="AK816" s="378"/>
      <c r="AL816" s="378"/>
      <c r="AM816" s="378"/>
      <c r="AN816" s="378"/>
      <c r="AO816" s="378"/>
      <c r="AP816" s="378"/>
      <c r="AQ816" s="378"/>
      <c r="AR816" s="378"/>
      <c r="AS816" s="378"/>
      <c r="AT816" s="378"/>
      <c r="AU816" s="378"/>
    </row>
    <row r="817" spans="1:47" x14ac:dyDescent="0.25">
      <c r="A817" s="378"/>
      <c r="B817" s="361"/>
      <c r="C817" s="45"/>
      <c r="D817" s="356"/>
      <c r="E817" s="45"/>
      <c r="F817" s="45"/>
      <c r="G817" s="362"/>
      <c r="H817" s="378"/>
      <c r="I817" s="378"/>
      <c r="J817" s="378"/>
      <c r="K817" s="378"/>
      <c r="L817" s="378"/>
      <c r="M817" s="378"/>
      <c r="N817" s="378"/>
      <c r="O817" s="378"/>
      <c r="P817" s="378"/>
      <c r="Q817" s="378"/>
      <c r="R817" s="378"/>
      <c r="S817" s="378"/>
      <c r="T817" s="378"/>
      <c r="U817" s="378"/>
      <c r="V817" s="378"/>
      <c r="W817" s="378"/>
      <c r="X817" s="378"/>
      <c r="Y817" s="378"/>
      <c r="Z817" s="378"/>
      <c r="AA817" s="378"/>
      <c r="AB817" s="378"/>
      <c r="AC817" s="378"/>
      <c r="AD817" s="378"/>
      <c r="AE817" s="378"/>
      <c r="AF817" s="378"/>
      <c r="AG817" s="378"/>
      <c r="AH817" s="378"/>
      <c r="AI817" s="378"/>
      <c r="AJ817" s="378"/>
      <c r="AK817" s="378"/>
      <c r="AL817" s="378"/>
      <c r="AM817" s="378"/>
      <c r="AN817" s="378"/>
      <c r="AO817" s="378"/>
      <c r="AP817" s="378"/>
      <c r="AQ817" s="378"/>
      <c r="AR817" s="378"/>
      <c r="AS817" s="378"/>
      <c r="AT817" s="378"/>
      <c r="AU817" s="378"/>
    </row>
    <row r="818" spans="1:47" ht="18.75" x14ac:dyDescent="0.3">
      <c r="A818" s="751"/>
      <c r="B818" s="1977" t="s">
        <v>874</v>
      </c>
      <c r="C818" s="1977"/>
      <c r="D818" s="378"/>
      <c r="E818" s="2217" t="s">
        <v>875</v>
      </c>
      <c r="F818" s="2217"/>
      <c r="G818" s="2217"/>
      <c r="H818" s="2217"/>
      <c r="I818" s="2217"/>
      <c r="J818" s="2217"/>
      <c r="K818" s="2217"/>
      <c r="L818" s="378"/>
      <c r="M818" s="378"/>
      <c r="N818" s="378"/>
      <c r="O818" s="378"/>
      <c r="P818" s="378"/>
      <c r="Q818" s="378"/>
      <c r="R818" s="378"/>
      <c r="S818" s="378"/>
      <c r="T818" s="378"/>
      <c r="U818" s="378"/>
      <c r="V818" s="378"/>
      <c r="W818" s="378"/>
      <c r="X818" s="378"/>
      <c r="Y818" s="378"/>
      <c r="Z818" s="378"/>
      <c r="AA818" s="378"/>
      <c r="AB818" s="378"/>
      <c r="AC818" s="378"/>
      <c r="AD818" s="378"/>
      <c r="AE818" s="378"/>
      <c r="AF818" s="378"/>
      <c r="AG818" s="378"/>
      <c r="AH818" s="378"/>
      <c r="AI818" s="378"/>
      <c r="AJ818" s="378"/>
      <c r="AK818" s="378"/>
      <c r="AL818" s="378"/>
      <c r="AM818" s="378"/>
      <c r="AN818" s="378"/>
      <c r="AO818" s="378"/>
      <c r="AP818" s="378"/>
      <c r="AQ818" s="378"/>
      <c r="AR818" s="378"/>
      <c r="AS818" s="378"/>
      <c r="AT818" s="378"/>
      <c r="AU818" s="378"/>
    </row>
    <row r="819" spans="1:47" x14ac:dyDescent="0.25">
      <c r="A819" s="378"/>
      <c r="B819" s="1527" t="s">
        <v>847</v>
      </c>
      <c r="C819" s="1527" t="s">
        <v>774</v>
      </c>
      <c r="D819" s="378"/>
      <c r="E819" s="1130" t="s">
        <v>867</v>
      </c>
      <c r="F819" s="1121"/>
      <c r="G819" s="1545"/>
      <c r="H819" s="2148" t="s">
        <v>868</v>
      </c>
      <c r="I819" s="2148"/>
      <c r="J819" s="2224" t="s">
        <v>869</v>
      </c>
      <c r="K819" s="2225"/>
      <c r="L819" s="378"/>
      <c r="M819" s="378"/>
      <c r="N819" s="378"/>
      <c r="O819" s="378"/>
      <c r="P819" s="378"/>
      <c r="Q819" s="378"/>
      <c r="R819" s="378"/>
      <c r="S819" s="378"/>
      <c r="T819" s="378"/>
      <c r="U819" s="378"/>
      <c r="V819" s="378"/>
      <c r="W819" s="378"/>
      <c r="X819" s="378"/>
      <c r="Y819" s="378"/>
      <c r="Z819" s="378"/>
      <c r="AA819" s="378"/>
      <c r="AB819" s="378"/>
      <c r="AC819" s="378"/>
      <c r="AD819" s="378"/>
      <c r="AE819" s="378"/>
      <c r="AF819" s="378"/>
      <c r="AG819" s="378"/>
      <c r="AH819" s="378"/>
      <c r="AI819" s="378"/>
      <c r="AJ819" s="378"/>
      <c r="AK819" s="378"/>
      <c r="AL819" s="378"/>
      <c r="AM819" s="378"/>
      <c r="AN819" s="378"/>
      <c r="AO819" s="378"/>
      <c r="AP819" s="378"/>
      <c r="AQ819" s="378"/>
      <c r="AR819" s="378"/>
      <c r="AS819" s="378"/>
      <c r="AT819" s="378"/>
      <c r="AU819" s="378"/>
    </row>
    <row r="820" spans="1:47" x14ac:dyDescent="0.25">
      <c r="A820" s="378"/>
      <c r="B820" s="1106">
        <v>0</v>
      </c>
      <c r="C820" s="1106">
        <v>0.1</v>
      </c>
      <c r="D820" s="378"/>
      <c r="E820" s="1123" t="s">
        <v>852</v>
      </c>
      <c r="F820" s="461">
        <v>0.1</v>
      </c>
      <c r="G820" s="461"/>
      <c r="H820" s="461" t="s">
        <v>852</v>
      </c>
      <c r="I820" s="461">
        <v>0.20660000000000001</v>
      </c>
      <c r="J820" s="461" t="s">
        <v>852</v>
      </c>
      <c r="K820" s="1099">
        <v>1.075</v>
      </c>
      <c r="L820" s="378"/>
      <c r="M820" s="378"/>
      <c r="N820" s="378"/>
      <c r="O820" s="378"/>
      <c r="P820" s="378"/>
      <c r="Q820" s="378"/>
      <c r="R820" s="378"/>
      <c r="S820" s="378"/>
      <c r="T820" s="378"/>
      <c r="U820" s="378"/>
      <c r="V820" s="378"/>
      <c r="W820" s="378"/>
      <c r="X820" s="378"/>
      <c r="Y820" s="378"/>
      <c r="Z820" s="378"/>
      <c r="AA820" s="378"/>
      <c r="AB820" s="378"/>
      <c r="AC820" s="378"/>
      <c r="AD820" s="378"/>
      <c r="AE820" s="378"/>
      <c r="AF820" s="378"/>
      <c r="AG820" s="378"/>
      <c r="AH820" s="378"/>
      <c r="AI820" s="378"/>
      <c r="AJ820" s="378"/>
      <c r="AK820" s="378"/>
      <c r="AL820" s="378"/>
      <c r="AM820" s="378"/>
      <c r="AN820" s="378"/>
      <c r="AO820" s="378"/>
      <c r="AP820" s="378"/>
      <c r="AQ820" s="378"/>
      <c r="AR820" s="378"/>
      <c r="AS820" s="378"/>
      <c r="AT820" s="378"/>
      <c r="AU820" s="378"/>
    </row>
    <row r="821" spans="1:47" x14ac:dyDescent="0.25">
      <c r="A821" s="378"/>
      <c r="B821" s="1106">
        <v>16</v>
      </c>
      <c r="C821" s="1106">
        <v>0.25</v>
      </c>
      <c r="D821" s="378"/>
      <c r="E821" s="1123" t="s">
        <v>805</v>
      </c>
      <c r="F821" s="461">
        <v>9.1000000000000004E-3</v>
      </c>
      <c r="G821" s="461"/>
      <c r="H821" s="468" t="s">
        <v>805</v>
      </c>
      <c r="I821" s="461">
        <v>7.4000000000000003E-3</v>
      </c>
      <c r="J821" s="461" t="s">
        <v>805</v>
      </c>
      <c r="K821" s="1099">
        <v>-6.2E-4</v>
      </c>
      <c r="L821" s="378"/>
      <c r="M821" s="378"/>
      <c r="N821" s="378"/>
      <c r="O821" s="378"/>
      <c r="P821" s="378"/>
      <c r="Q821" s="378"/>
      <c r="R821" s="378"/>
      <c r="S821" s="378"/>
      <c r="T821" s="378"/>
      <c r="U821" s="378"/>
      <c r="V821" s="378"/>
      <c r="W821" s="378"/>
      <c r="X821" s="378"/>
      <c r="Y821" s="378"/>
      <c r="Z821" s="378"/>
      <c r="AA821" s="378"/>
      <c r="AB821" s="378"/>
      <c r="AC821" s="378"/>
      <c r="AD821" s="378"/>
      <c r="AE821" s="378"/>
      <c r="AF821" s="378"/>
      <c r="AG821" s="378"/>
      <c r="AH821" s="378"/>
      <c r="AI821" s="378"/>
      <c r="AJ821" s="378"/>
      <c r="AK821" s="378"/>
      <c r="AL821" s="378"/>
      <c r="AM821" s="378"/>
      <c r="AN821" s="378"/>
      <c r="AO821" s="378"/>
      <c r="AP821" s="378"/>
      <c r="AQ821" s="378"/>
      <c r="AR821" s="378"/>
      <c r="AS821" s="378"/>
      <c r="AT821" s="378"/>
      <c r="AU821" s="378"/>
    </row>
    <row r="822" spans="1:47" x14ac:dyDescent="0.25">
      <c r="A822" s="378"/>
      <c r="B822" s="1106">
        <v>41</v>
      </c>
      <c r="C822" s="1106">
        <v>0.5</v>
      </c>
      <c r="D822" s="378"/>
      <c r="E822" s="1131" t="s">
        <v>853</v>
      </c>
      <c r="F822" s="1115">
        <v>1.5244E-5</v>
      </c>
      <c r="G822" s="1115"/>
      <c r="H822" s="1116" t="s">
        <v>853</v>
      </c>
      <c r="I822" s="1115">
        <v>-6.8888E-6</v>
      </c>
      <c r="J822" s="1115"/>
      <c r="K822" s="1132"/>
      <c r="L822" s="378"/>
      <c r="M822" s="378"/>
      <c r="N822" s="378"/>
      <c r="O822" s="378"/>
      <c r="P822" s="378"/>
      <c r="Q822" s="378"/>
      <c r="R822" s="378"/>
      <c r="S822" s="378"/>
      <c r="T822" s="378"/>
      <c r="U822" s="378"/>
      <c r="V822" s="378"/>
      <c r="W822" s="378"/>
      <c r="X822" s="378"/>
      <c r="Y822" s="378"/>
      <c r="Z822" s="378"/>
      <c r="AA822" s="378"/>
      <c r="AB822" s="378"/>
      <c r="AC822" s="378"/>
      <c r="AD822" s="378"/>
      <c r="AE822" s="378"/>
      <c r="AF822" s="378"/>
      <c r="AG822" s="378"/>
      <c r="AH822" s="378"/>
      <c r="AI822" s="378"/>
      <c r="AJ822" s="378"/>
      <c r="AK822" s="378"/>
      <c r="AL822" s="378"/>
      <c r="AM822" s="378"/>
      <c r="AN822" s="378"/>
      <c r="AO822" s="378"/>
      <c r="AP822" s="378"/>
      <c r="AQ822" s="378"/>
      <c r="AR822" s="378"/>
      <c r="AS822" s="378"/>
      <c r="AT822" s="378"/>
      <c r="AU822" s="378"/>
    </row>
    <row r="823" spans="1:47" x14ac:dyDescent="0.25">
      <c r="A823" s="378"/>
      <c r="B823" s="1106">
        <v>71</v>
      </c>
      <c r="C823" s="1106">
        <v>0.7</v>
      </c>
      <c r="D823" s="378"/>
      <c r="E823" s="1111" t="s">
        <v>101</v>
      </c>
      <c r="F823" s="1111">
        <f>F820+F821*'3 INDICADORES'!C211+F822*'3 INDICADORES'!C211^2</f>
        <v>0.1</v>
      </c>
      <c r="G823" s="1111">
        <f>I820+I821*'3 INDICADORES'!C211+I822*'3 INDICADORES'!C211^2</f>
        <v>0.20660000000000001</v>
      </c>
      <c r="H823" s="1111">
        <f>K820+K821*'3 INDICADORES'!C211</f>
        <v>1.075</v>
      </c>
      <c r="I823" s="1111">
        <f>IF(AND('3 INDICADORES'!C211&gt;41,'3 INDICADORES'!C211&lt;120),G823,IF('3 INDICADORES'!C211&gt;=120,H823,F823))</f>
        <v>0.1</v>
      </c>
      <c r="J823" s="358"/>
      <c r="K823" s="358"/>
      <c r="L823" s="378"/>
      <c r="M823" s="378"/>
      <c r="N823" s="378"/>
      <c r="O823" s="378"/>
      <c r="P823" s="378"/>
      <c r="Q823" s="378"/>
      <c r="R823" s="378"/>
      <c r="S823" s="378"/>
      <c r="T823" s="378"/>
      <c r="U823" s="378"/>
      <c r="V823" s="378"/>
      <c r="W823" s="378"/>
      <c r="X823" s="378"/>
      <c r="Y823" s="378"/>
      <c r="Z823" s="378"/>
      <c r="AA823" s="378"/>
      <c r="AB823" s="378"/>
      <c r="AC823" s="378"/>
      <c r="AD823" s="378"/>
      <c r="AE823" s="378"/>
      <c r="AF823" s="378"/>
      <c r="AG823" s="378"/>
      <c r="AH823" s="378"/>
      <c r="AI823" s="378"/>
      <c r="AJ823" s="378"/>
      <c r="AK823" s="378"/>
      <c r="AL823" s="378"/>
      <c r="AM823" s="378"/>
      <c r="AN823" s="378"/>
      <c r="AO823" s="378"/>
      <c r="AP823" s="378"/>
      <c r="AQ823" s="378"/>
      <c r="AR823" s="378"/>
      <c r="AS823" s="378"/>
      <c r="AT823" s="378"/>
      <c r="AU823" s="378"/>
    </row>
    <row r="824" spans="1:47" x14ac:dyDescent="0.25">
      <c r="A824" s="378"/>
      <c r="B824" s="1106">
        <v>120</v>
      </c>
      <c r="C824" s="1106">
        <v>1</v>
      </c>
      <c r="D824" s="378"/>
      <c r="E824" s="378"/>
      <c r="F824" s="378"/>
      <c r="G824" s="378"/>
      <c r="H824" s="378"/>
      <c r="I824" s="378"/>
      <c r="J824" s="360"/>
      <c r="K824" s="360"/>
      <c r="L824" s="378"/>
      <c r="M824" s="378"/>
      <c r="N824" s="378"/>
      <c r="O824" s="378"/>
      <c r="P824" s="378"/>
      <c r="Q824" s="378"/>
      <c r="R824" s="378"/>
      <c r="S824" s="378"/>
      <c r="T824" s="378"/>
      <c r="U824" s="378"/>
      <c r="V824" s="378"/>
      <c r="W824" s="378"/>
      <c r="X824" s="378"/>
      <c r="Y824" s="378"/>
      <c r="Z824" s="378"/>
      <c r="AA824" s="378"/>
      <c r="AB824" s="378"/>
      <c r="AC824" s="378"/>
      <c r="AD824" s="378"/>
      <c r="AE824" s="378"/>
      <c r="AF824" s="378"/>
      <c r="AG824" s="378"/>
      <c r="AH824" s="378"/>
      <c r="AI824" s="378"/>
      <c r="AJ824" s="378"/>
      <c r="AK824" s="378"/>
      <c r="AL824" s="378"/>
      <c r="AM824" s="378"/>
      <c r="AN824" s="378"/>
      <c r="AO824" s="378"/>
      <c r="AP824" s="378"/>
      <c r="AQ824" s="378"/>
      <c r="AR824" s="378"/>
      <c r="AS824" s="378"/>
      <c r="AT824" s="378"/>
      <c r="AU824" s="378"/>
    </row>
    <row r="825" spans="1:47" x14ac:dyDescent="0.25">
      <c r="A825" s="378"/>
      <c r="B825" s="1107">
        <v>600</v>
      </c>
      <c r="C825" s="1107">
        <v>0.7</v>
      </c>
      <c r="D825" s="378"/>
      <c r="E825" s="378"/>
      <c r="F825" s="378"/>
      <c r="G825" s="378"/>
      <c r="H825" s="378"/>
      <c r="I825" s="378"/>
      <c r="J825" s="378"/>
      <c r="K825" s="378"/>
      <c r="L825" s="378"/>
      <c r="M825" s="378"/>
      <c r="N825" s="378"/>
      <c r="O825" s="378"/>
      <c r="P825" s="378"/>
      <c r="Q825" s="378"/>
      <c r="R825" s="378"/>
      <c r="S825" s="378"/>
      <c r="T825" s="378"/>
      <c r="U825" s="378"/>
      <c r="V825" s="378"/>
      <c r="W825" s="378"/>
      <c r="X825" s="378"/>
      <c r="Y825" s="378"/>
      <c r="Z825" s="378"/>
      <c r="AA825" s="378"/>
      <c r="AB825" s="378"/>
      <c r="AC825" s="378"/>
      <c r="AD825" s="378"/>
      <c r="AE825" s="378"/>
      <c r="AF825" s="378"/>
      <c r="AG825" s="378"/>
      <c r="AH825" s="378"/>
      <c r="AI825" s="378"/>
      <c r="AJ825" s="378"/>
      <c r="AK825" s="378"/>
      <c r="AL825" s="378"/>
      <c r="AM825" s="378"/>
      <c r="AN825" s="378"/>
      <c r="AO825" s="378"/>
      <c r="AP825" s="378"/>
      <c r="AQ825" s="378"/>
      <c r="AR825" s="378"/>
      <c r="AS825" s="378"/>
      <c r="AT825" s="378"/>
      <c r="AU825" s="378"/>
    </row>
    <row r="826" spans="1:47" x14ac:dyDescent="0.25">
      <c r="A826" s="378"/>
      <c r="B826" s="1977" t="s">
        <v>876</v>
      </c>
      <c r="C826" s="1977"/>
      <c r="D826" s="1977"/>
      <c r="E826" s="1977"/>
      <c r="F826" s="1977"/>
      <c r="G826" s="1977"/>
      <c r="H826" s="378"/>
      <c r="I826" s="378"/>
      <c r="J826" s="378"/>
      <c r="K826" s="378"/>
      <c r="L826" s="378"/>
      <c r="M826" s="378"/>
      <c r="N826" s="378"/>
      <c r="O826" s="378"/>
      <c r="P826" s="378"/>
      <c r="Q826" s="378"/>
      <c r="R826" s="378"/>
      <c r="S826" s="378"/>
      <c r="T826" s="378"/>
      <c r="U826" s="378"/>
      <c r="V826" s="378"/>
      <c r="W826" s="378"/>
      <c r="X826" s="378"/>
      <c r="Y826" s="378"/>
      <c r="Z826" s="378"/>
      <c r="AA826" s="378"/>
      <c r="AB826" s="378"/>
      <c r="AC826" s="378"/>
      <c r="AD826" s="378"/>
      <c r="AE826" s="378"/>
      <c r="AF826" s="378"/>
      <c r="AG826" s="378"/>
      <c r="AH826" s="378"/>
      <c r="AI826" s="378"/>
      <c r="AJ826" s="378"/>
      <c r="AK826" s="378"/>
      <c r="AL826" s="378"/>
      <c r="AM826" s="378"/>
      <c r="AN826" s="378"/>
      <c r="AO826" s="378"/>
      <c r="AP826" s="378"/>
      <c r="AQ826" s="378"/>
      <c r="AR826" s="378"/>
      <c r="AS826" s="378"/>
      <c r="AT826" s="378"/>
      <c r="AU826" s="378"/>
    </row>
    <row r="827" spans="1:47" x14ac:dyDescent="0.25">
      <c r="A827" s="378"/>
      <c r="B827" s="361"/>
      <c r="C827" s="45"/>
      <c r="D827" s="45"/>
      <c r="E827" s="45"/>
      <c r="F827" s="45"/>
      <c r="G827" s="362"/>
      <c r="H827" s="378"/>
      <c r="I827" s="378"/>
      <c r="J827" s="378"/>
      <c r="K827" s="378"/>
      <c r="L827" s="378"/>
      <c r="M827" s="378"/>
      <c r="N827" s="378"/>
      <c r="O827" s="378"/>
      <c r="P827" s="378"/>
      <c r="Q827" s="378"/>
      <c r="R827" s="378"/>
      <c r="S827" s="378"/>
      <c r="T827" s="378"/>
      <c r="U827" s="378"/>
      <c r="V827" s="378"/>
      <c r="W827" s="378"/>
      <c r="X827" s="378"/>
      <c r="Y827" s="378"/>
      <c r="Z827" s="378"/>
      <c r="AA827" s="378"/>
      <c r="AB827" s="378"/>
      <c r="AC827" s="378"/>
      <c r="AD827" s="378"/>
      <c r="AE827" s="378"/>
      <c r="AF827" s="378"/>
      <c r="AG827" s="378"/>
      <c r="AH827" s="378"/>
      <c r="AI827" s="378"/>
      <c r="AJ827" s="378"/>
      <c r="AK827" s="378"/>
      <c r="AL827" s="378"/>
      <c r="AM827" s="378"/>
      <c r="AN827" s="378"/>
      <c r="AO827" s="378"/>
      <c r="AP827" s="378"/>
      <c r="AQ827" s="378"/>
      <c r="AR827" s="378"/>
      <c r="AS827" s="378"/>
      <c r="AT827" s="378"/>
      <c r="AU827" s="378"/>
    </row>
    <row r="828" spans="1:47" x14ac:dyDescent="0.25">
      <c r="A828" s="378"/>
      <c r="B828" s="361"/>
      <c r="C828" s="45"/>
      <c r="D828" s="45"/>
      <c r="E828" s="45"/>
      <c r="F828" s="45"/>
      <c r="G828" s="362"/>
      <c r="H828" s="378"/>
      <c r="I828" s="378"/>
      <c r="J828" s="378"/>
      <c r="K828" s="378"/>
      <c r="L828" s="378"/>
      <c r="M828" s="378"/>
      <c r="N828" s="378"/>
      <c r="O828" s="378"/>
      <c r="P828" s="378"/>
      <c r="Q828" s="378"/>
      <c r="R828" s="378"/>
      <c r="S828" s="378"/>
      <c r="T828" s="378"/>
      <c r="U828" s="378"/>
      <c r="V828" s="378"/>
      <c r="W828" s="378"/>
      <c r="X828" s="378"/>
      <c r="Y828" s="378"/>
      <c r="Z828" s="378"/>
      <c r="AA828" s="378"/>
      <c r="AB828" s="378"/>
      <c r="AC828" s="378"/>
      <c r="AD828" s="378"/>
      <c r="AE828" s="378"/>
      <c r="AF828" s="378"/>
      <c r="AG828" s="378"/>
      <c r="AH828" s="378"/>
      <c r="AI828" s="378"/>
      <c r="AJ828" s="378"/>
      <c r="AK828" s="378"/>
      <c r="AL828" s="378"/>
      <c r="AM828" s="378"/>
      <c r="AN828" s="378"/>
      <c r="AO828" s="378"/>
      <c r="AP828" s="378"/>
      <c r="AQ828" s="378"/>
      <c r="AR828" s="378"/>
      <c r="AS828" s="378"/>
      <c r="AT828" s="378"/>
      <c r="AU828" s="378"/>
    </row>
    <row r="829" spans="1:47" x14ac:dyDescent="0.25">
      <c r="A829" s="378"/>
      <c r="B829" s="361"/>
      <c r="C829" s="45"/>
      <c r="D829" s="45"/>
      <c r="E829" s="45"/>
      <c r="F829" s="45"/>
      <c r="G829" s="362"/>
      <c r="H829" s="378"/>
      <c r="I829" s="378"/>
      <c r="J829" s="378"/>
      <c r="K829" s="378"/>
      <c r="L829" s="378"/>
      <c r="M829" s="378"/>
      <c r="N829" s="378"/>
      <c r="O829" s="378"/>
      <c r="P829" s="378"/>
      <c r="Q829" s="378"/>
      <c r="R829" s="378"/>
      <c r="S829" s="378"/>
      <c r="T829" s="378"/>
      <c r="U829" s="378"/>
      <c r="V829" s="378"/>
      <c r="W829" s="378"/>
      <c r="X829" s="378"/>
      <c r="Y829" s="378"/>
      <c r="Z829" s="378"/>
      <c r="AA829" s="378"/>
      <c r="AB829" s="378"/>
      <c r="AC829" s="378"/>
      <c r="AD829" s="378"/>
      <c r="AE829" s="378"/>
      <c r="AF829" s="378"/>
      <c r="AG829" s="378"/>
      <c r="AH829" s="378"/>
      <c r="AI829" s="378"/>
      <c r="AJ829" s="378"/>
      <c r="AK829" s="378"/>
      <c r="AL829" s="378"/>
      <c r="AM829" s="378"/>
      <c r="AN829" s="378"/>
      <c r="AO829" s="378"/>
      <c r="AP829" s="378"/>
      <c r="AQ829" s="378"/>
      <c r="AR829" s="378"/>
      <c r="AS829" s="378"/>
      <c r="AT829" s="378"/>
      <c r="AU829" s="378"/>
    </row>
    <row r="830" spans="1:47" x14ac:dyDescent="0.25">
      <c r="A830" s="378"/>
      <c r="B830" s="361"/>
      <c r="C830" s="45"/>
      <c r="D830" s="45"/>
      <c r="E830" s="45"/>
      <c r="F830" s="45"/>
      <c r="G830" s="362"/>
      <c r="H830" s="378"/>
      <c r="I830" s="378"/>
      <c r="J830" s="378"/>
      <c r="K830" s="378"/>
      <c r="L830" s="378"/>
      <c r="M830" s="378"/>
      <c r="N830" s="378"/>
      <c r="O830" s="378"/>
      <c r="P830" s="378"/>
      <c r="Q830" s="378"/>
      <c r="R830" s="378"/>
      <c r="S830" s="378"/>
      <c r="T830" s="378"/>
      <c r="U830" s="378"/>
      <c r="V830" s="378"/>
      <c r="W830" s="378"/>
      <c r="X830" s="378"/>
      <c r="Y830" s="378"/>
      <c r="Z830" s="378"/>
      <c r="AA830" s="378"/>
      <c r="AB830" s="378"/>
      <c r="AC830" s="378"/>
      <c r="AD830" s="378"/>
      <c r="AE830" s="378"/>
      <c r="AF830" s="378"/>
      <c r="AG830" s="378"/>
      <c r="AH830" s="378"/>
      <c r="AI830" s="378"/>
      <c r="AJ830" s="378"/>
      <c r="AK830" s="378"/>
      <c r="AL830" s="378"/>
      <c r="AM830" s="378"/>
      <c r="AN830" s="378"/>
      <c r="AO830" s="378"/>
      <c r="AP830" s="378"/>
      <c r="AQ830" s="378"/>
      <c r="AR830" s="378"/>
      <c r="AS830" s="378"/>
      <c r="AT830" s="378"/>
      <c r="AU830" s="378"/>
    </row>
    <row r="831" spans="1:47" x14ac:dyDescent="0.25">
      <c r="A831" s="378"/>
      <c r="B831" s="361"/>
      <c r="C831" s="45"/>
      <c r="D831" s="45"/>
      <c r="E831" s="45"/>
      <c r="F831" s="45"/>
      <c r="G831" s="362"/>
      <c r="H831" s="378"/>
      <c r="I831" s="378"/>
      <c r="J831" s="378"/>
      <c r="K831" s="378"/>
      <c r="L831" s="378"/>
      <c r="M831" s="378"/>
      <c r="N831" s="378"/>
      <c r="O831" s="378"/>
      <c r="P831" s="378"/>
      <c r="Q831" s="378"/>
      <c r="R831" s="378"/>
      <c r="S831" s="378"/>
      <c r="T831" s="378"/>
      <c r="U831" s="378"/>
      <c r="V831" s="378"/>
      <c r="W831" s="378"/>
      <c r="X831" s="378"/>
      <c r="Y831" s="378"/>
      <c r="Z831" s="378"/>
      <c r="AA831" s="378"/>
      <c r="AB831" s="378"/>
      <c r="AC831" s="378"/>
      <c r="AD831" s="378"/>
      <c r="AE831" s="378"/>
      <c r="AF831" s="378"/>
      <c r="AG831" s="378"/>
      <c r="AH831" s="378"/>
      <c r="AI831" s="378"/>
      <c r="AJ831" s="378"/>
      <c r="AK831" s="378"/>
      <c r="AL831" s="378"/>
      <c r="AM831" s="378"/>
      <c r="AN831" s="378"/>
      <c r="AO831" s="378"/>
      <c r="AP831" s="378"/>
      <c r="AQ831" s="378"/>
      <c r="AR831" s="378"/>
      <c r="AS831" s="378"/>
      <c r="AT831" s="378"/>
      <c r="AU831" s="378"/>
    </row>
    <row r="832" spans="1:47" x14ac:dyDescent="0.25">
      <c r="A832" s="378"/>
      <c r="B832" s="361"/>
      <c r="C832" s="45"/>
      <c r="D832" s="45"/>
      <c r="E832" s="45"/>
      <c r="F832" s="45"/>
      <c r="G832" s="362"/>
      <c r="H832" s="378"/>
      <c r="I832" s="378"/>
      <c r="J832" s="378"/>
      <c r="K832" s="378"/>
      <c r="L832" s="378"/>
      <c r="M832" s="378"/>
      <c r="N832" s="378"/>
      <c r="O832" s="378"/>
      <c r="P832" s="378"/>
      <c r="Q832" s="378"/>
      <c r="R832" s="378"/>
      <c r="S832" s="378"/>
      <c r="T832" s="378"/>
      <c r="U832" s="378"/>
      <c r="V832" s="378"/>
      <c r="W832" s="378"/>
      <c r="X832" s="378"/>
      <c r="Y832" s="378"/>
      <c r="Z832" s="378"/>
      <c r="AA832" s="378"/>
      <c r="AB832" s="378"/>
      <c r="AC832" s="378"/>
      <c r="AD832" s="378"/>
      <c r="AE832" s="378"/>
      <c r="AF832" s="378"/>
      <c r="AG832" s="378"/>
      <c r="AH832" s="378"/>
      <c r="AI832" s="378"/>
      <c r="AJ832" s="378"/>
      <c r="AK832" s="378"/>
      <c r="AL832" s="378"/>
      <c r="AM832" s="378"/>
      <c r="AN832" s="378"/>
      <c r="AO832" s="378"/>
      <c r="AP832" s="378"/>
      <c r="AQ832" s="378"/>
      <c r="AR832" s="378"/>
      <c r="AS832" s="378"/>
      <c r="AT832" s="378"/>
      <c r="AU832" s="378"/>
    </row>
    <row r="833" spans="1:47" x14ac:dyDescent="0.25">
      <c r="A833" s="378"/>
      <c r="B833" s="363"/>
      <c r="C833" s="356"/>
      <c r="D833" s="356"/>
      <c r="E833" s="356"/>
      <c r="F833" s="356"/>
      <c r="G833" s="357"/>
      <c r="H833" s="378"/>
      <c r="I833" s="378"/>
      <c r="J833" s="378"/>
      <c r="K833" s="378"/>
      <c r="L833" s="378"/>
      <c r="M833" s="378"/>
      <c r="N833" s="378"/>
      <c r="O833" s="378"/>
      <c r="P833" s="378"/>
      <c r="Q833" s="378"/>
      <c r="R833" s="378"/>
      <c r="S833" s="378"/>
      <c r="T833" s="378"/>
      <c r="U833" s="378"/>
      <c r="V833" s="378"/>
      <c r="W833" s="378"/>
      <c r="X833" s="378"/>
      <c r="Y833" s="378"/>
      <c r="Z833" s="378"/>
      <c r="AA833" s="378"/>
      <c r="AB833" s="378"/>
      <c r="AC833" s="378"/>
      <c r="AD833" s="378"/>
      <c r="AE833" s="378"/>
      <c r="AF833" s="378"/>
      <c r="AG833" s="378"/>
      <c r="AH833" s="378"/>
      <c r="AI833" s="378"/>
      <c r="AJ833" s="378"/>
      <c r="AK833" s="378"/>
      <c r="AL833" s="378"/>
      <c r="AM833" s="378"/>
      <c r="AN833" s="378"/>
      <c r="AO833" s="378"/>
      <c r="AP833" s="378"/>
      <c r="AQ833" s="378"/>
      <c r="AR833" s="378"/>
      <c r="AS833" s="378"/>
      <c r="AT833" s="378"/>
      <c r="AU833" s="378"/>
    </row>
    <row r="834" spans="1:47" x14ac:dyDescent="0.25">
      <c r="A834" s="378"/>
      <c r="B834" s="20"/>
      <c r="C834" s="20"/>
      <c r="D834" s="20"/>
      <c r="E834" s="20"/>
      <c r="F834" s="20"/>
      <c r="G834" s="20"/>
      <c r="H834" s="378"/>
      <c r="I834" s="378"/>
      <c r="J834" s="378"/>
      <c r="K834" s="378"/>
      <c r="L834" s="378"/>
      <c r="M834" s="378"/>
      <c r="N834" s="378"/>
      <c r="O834" s="378"/>
      <c r="P834" s="378"/>
      <c r="Q834" s="378"/>
      <c r="R834" s="378"/>
      <c r="S834" s="378"/>
      <c r="T834" s="378"/>
      <c r="U834" s="378"/>
      <c r="V834" s="378"/>
      <c r="W834" s="378"/>
      <c r="X834" s="378"/>
      <c r="Y834" s="378"/>
      <c r="Z834" s="378"/>
      <c r="AA834" s="378"/>
      <c r="AB834" s="378"/>
      <c r="AC834" s="378"/>
      <c r="AD834" s="378"/>
      <c r="AE834" s="378"/>
      <c r="AF834" s="378"/>
      <c r="AG834" s="378"/>
      <c r="AH834" s="378"/>
      <c r="AI834" s="378"/>
      <c r="AJ834" s="378"/>
      <c r="AK834" s="378"/>
      <c r="AL834" s="378"/>
      <c r="AM834" s="378"/>
      <c r="AN834" s="378"/>
      <c r="AO834" s="378"/>
      <c r="AP834" s="378"/>
      <c r="AQ834" s="378"/>
      <c r="AR834" s="378"/>
      <c r="AS834" s="378"/>
      <c r="AT834" s="378"/>
      <c r="AU834" s="378"/>
    </row>
    <row r="835" spans="1:47" ht="18.75" x14ac:dyDescent="0.3">
      <c r="A835" s="751"/>
      <c r="B835" s="1977" t="s">
        <v>877</v>
      </c>
      <c r="C835" s="1977"/>
      <c r="D835" s="378"/>
      <c r="E835" s="2217" t="s">
        <v>878</v>
      </c>
      <c r="F835" s="2217"/>
      <c r="G835" s="2217"/>
      <c r="H835" s="2217"/>
      <c r="I835" s="2217"/>
      <c r="J835" s="378"/>
      <c r="K835" s="378"/>
      <c r="L835" s="378"/>
      <c r="M835" s="378"/>
      <c r="N835" s="378"/>
      <c r="O835" s="378"/>
      <c r="P835" s="378"/>
      <c r="Q835" s="378"/>
      <c r="R835" s="378"/>
      <c r="S835" s="378"/>
      <c r="T835" s="378"/>
      <c r="U835" s="378"/>
      <c r="V835" s="378"/>
      <c r="W835" s="378"/>
      <c r="X835" s="378"/>
      <c r="Y835" s="378"/>
      <c r="Z835" s="378"/>
      <c r="AA835" s="378"/>
      <c r="AB835" s="378"/>
      <c r="AC835" s="378"/>
      <c r="AD835" s="378"/>
      <c r="AE835" s="378"/>
      <c r="AF835" s="378"/>
      <c r="AG835" s="378"/>
      <c r="AH835" s="378"/>
      <c r="AI835" s="378"/>
      <c r="AJ835" s="378"/>
      <c r="AK835" s="378"/>
      <c r="AL835" s="378"/>
      <c r="AM835" s="378"/>
      <c r="AN835" s="378"/>
      <c r="AO835" s="378"/>
      <c r="AP835" s="378"/>
      <c r="AQ835" s="378"/>
      <c r="AR835" s="378"/>
      <c r="AS835" s="378"/>
      <c r="AT835" s="378"/>
      <c r="AU835" s="378"/>
    </row>
    <row r="836" spans="1:47" x14ac:dyDescent="0.25">
      <c r="A836" s="378"/>
      <c r="B836" s="1527" t="s">
        <v>847</v>
      </c>
      <c r="C836" s="1527" t="s">
        <v>774</v>
      </c>
      <c r="D836" s="378"/>
      <c r="E836" s="1133" t="s">
        <v>867</v>
      </c>
      <c r="F836" s="1121"/>
      <c r="G836" s="1544"/>
      <c r="H836" s="1543" t="s">
        <v>868</v>
      </c>
      <c r="I836" s="1546"/>
      <c r="J836" s="378"/>
      <c r="K836" s="378"/>
      <c r="L836" s="378"/>
      <c r="M836" s="378"/>
      <c r="N836" s="378"/>
      <c r="O836" s="378"/>
      <c r="P836" s="378"/>
      <c r="Q836" s="378"/>
      <c r="R836" s="378"/>
      <c r="S836" s="378"/>
      <c r="T836" s="378"/>
      <c r="U836" s="378"/>
      <c r="V836" s="378"/>
      <c r="W836" s="378"/>
      <c r="X836" s="378"/>
      <c r="Y836" s="378"/>
      <c r="Z836" s="378"/>
      <c r="AA836" s="378"/>
      <c r="AB836" s="378"/>
      <c r="AC836" s="378"/>
      <c r="AD836" s="378"/>
      <c r="AE836" s="378"/>
      <c r="AF836" s="378"/>
      <c r="AG836" s="378"/>
      <c r="AH836" s="378"/>
      <c r="AI836" s="378"/>
      <c r="AJ836" s="378"/>
      <c r="AK836" s="378"/>
      <c r="AL836" s="378"/>
      <c r="AM836" s="378"/>
      <c r="AN836" s="378"/>
      <c r="AO836" s="378"/>
      <c r="AP836" s="378"/>
      <c r="AQ836" s="378"/>
      <c r="AR836" s="378"/>
      <c r="AS836" s="378"/>
      <c r="AT836" s="378"/>
      <c r="AU836" s="378"/>
    </row>
    <row r="837" spans="1:47" x14ac:dyDescent="0.25">
      <c r="A837" s="378"/>
      <c r="B837" s="1106">
        <v>5.0999999999999996</v>
      </c>
      <c r="C837" s="1106">
        <v>0.3</v>
      </c>
      <c r="D837" s="378"/>
      <c r="E837" s="1123" t="s">
        <v>852</v>
      </c>
      <c r="F837" s="473">
        <v>-19.100000000000001</v>
      </c>
      <c r="G837" s="461"/>
      <c r="H837" s="1039" t="s">
        <v>852</v>
      </c>
      <c r="I837" s="1134">
        <v>-42.5</v>
      </c>
      <c r="J837" s="378"/>
      <c r="K837" s="378"/>
      <c r="L837" s="378"/>
      <c r="M837" s="378"/>
      <c r="N837" s="378"/>
      <c r="O837" s="378"/>
      <c r="P837" s="378"/>
      <c r="Q837" s="378"/>
      <c r="R837" s="378"/>
      <c r="S837" s="378"/>
      <c r="T837" s="378"/>
      <c r="U837" s="378"/>
      <c r="V837" s="378"/>
      <c r="W837" s="378"/>
      <c r="X837" s="378"/>
      <c r="Y837" s="378"/>
      <c r="Z837" s="378"/>
      <c r="AA837" s="378"/>
      <c r="AB837" s="378"/>
      <c r="AC837" s="378"/>
      <c r="AD837" s="378"/>
      <c r="AE837" s="378"/>
      <c r="AF837" s="378"/>
      <c r="AG837" s="378"/>
      <c r="AH837" s="378"/>
      <c r="AI837" s="378"/>
      <c r="AJ837" s="378"/>
      <c r="AK837" s="378"/>
      <c r="AL837" s="378"/>
      <c r="AM837" s="378"/>
      <c r="AN837" s="378"/>
      <c r="AO837" s="378"/>
      <c r="AP837" s="378"/>
      <c r="AQ837" s="378"/>
      <c r="AR837" s="378"/>
      <c r="AS837" s="378"/>
      <c r="AT837" s="378"/>
      <c r="AU837" s="378"/>
    </row>
    <row r="838" spans="1:47" x14ac:dyDescent="0.25">
      <c r="A838" s="378"/>
      <c r="B838" s="1106">
        <v>5.2</v>
      </c>
      <c r="C838" s="1106">
        <v>0.4</v>
      </c>
      <c r="D838" s="378"/>
      <c r="E838" s="1123" t="s">
        <v>805</v>
      </c>
      <c r="F838" s="473">
        <v>6.35</v>
      </c>
      <c r="G838" s="461"/>
      <c r="H838" s="468" t="s">
        <v>805</v>
      </c>
      <c r="I838" s="1134">
        <v>14.75</v>
      </c>
      <c r="J838" s="378"/>
      <c r="K838" s="378"/>
      <c r="L838" s="378"/>
      <c r="M838" s="378"/>
      <c r="N838" s="378"/>
      <c r="O838" s="378"/>
      <c r="P838" s="378"/>
      <c r="Q838" s="378"/>
      <c r="R838" s="378"/>
      <c r="S838" s="378"/>
      <c r="T838" s="378"/>
      <c r="U838" s="378"/>
      <c r="V838" s="378"/>
      <c r="W838" s="378"/>
      <c r="X838" s="378"/>
      <c r="Y838" s="378"/>
      <c r="Z838" s="378"/>
      <c r="AA838" s="378"/>
      <c r="AB838" s="378"/>
      <c r="AC838" s="378"/>
      <c r="AD838" s="378"/>
      <c r="AE838" s="378"/>
      <c r="AF838" s="378"/>
      <c r="AG838" s="378"/>
      <c r="AH838" s="378"/>
      <c r="AI838" s="378"/>
      <c r="AJ838" s="378"/>
      <c r="AK838" s="378"/>
      <c r="AL838" s="378"/>
      <c r="AM838" s="378"/>
      <c r="AN838" s="378"/>
      <c r="AO838" s="378"/>
      <c r="AP838" s="378"/>
      <c r="AQ838" s="378"/>
      <c r="AR838" s="378"/>
      <c r="AS838" s="378"/>
      <c r="AT838" s="378"/>
      <c r="AU838" s="378"/>
    </row>
    <row r="839" spans="1:47" x14ac:dyDescent="0.25">
      <c r="A839" s="378"/>
      <c r="B839" s="1106">
        <v>5.5</v>
      </c>
      <c r="C839" s="1106">
        <v>0.7</v>
      </c>
      <c r="D839" s="378"/>
      <c r="E839" s="1131" t="s">
        <v>853</v>
      </c>
      <c r="F839" s="1135">
        <v>-0.5</v>
      </c>
      <c r="G839" s="1115"/>
      <c r="H839" s="1116" t="s">
        <v>853</v>
      </c>
      <c r="I839" s="1136">
        <v>-1.25</v>
      </c>
      <c r="J839" s="378"/>
      <c r="K839" s="378"/>
      <c r="L839" s="378"/>
      <c r="M839" s="378"/>
      <c r="N839" s="378"/>
      <c r="O839" s="378"/>
      <c r="P839" s="378"/>
      <c r="Q839" s="378"/>
      <c r="R839" s="378"/>
      <c r="S839" s="378"/>
      <c r="T839" s="378"/>
      <c r="U839" s="378"/>
      <c r="V839" s="378"/>
      <c r="W839" s="378"/>
      <c r="X839" s="378"/>
      <c r="Y839" s="378"/>
      <c r="Z839" s="378"/>
      <c r="AA839" s="378"/>
      <c r="AB839" s="378"/>
      <c r="AC839" s="378"/>
      <c r="AD839" s="378"/>
      <c r="AE839" s="378"/>
      <c r="AF839" s="378"/>
      <c r="AG839" s="378"/>
      <c r="AH839" s="378"/>
      <c r="AI839" s="378"/>
      <c r="AJ839" s="378"/>
      <c r="AK839" s="378"/>
      <c r="AL839" s="378"/>
      <c r="AM839" s="378"/>
      <c r="AN839" s="378"/>
      <c r="AO839" s="378"/>
      <c r="AP839" s="378"/>
      <c r="AQ839" s="378"/>
      <c r="AR839" s="378"/>
      <c r="AS839" s="378"/>
      <c r="AT839" s="378"/>
      <c r="AU839" s="378"/>
    </row>
    <row r="840" spans="1:47" x14ac:dyDescent="0.25">
      <c r="A840" s="378"/>
      <c r="B840" s="1106">
        <v>6</v>
      </c>
      <c r="C840" s="1106">
        <v>1</v>
      </c>
      <c r="D840" s="378"/>
      <c r="E840" s="1111" t="s">
        <v>101</v>
      </c>
      <c r="F840" s="1137">
        <f>-4.8+(1*'3 INDICADORES'!C218)</f>
        <v>-4.8</v>
      </c>
      <c r="G840" s="1111">
        <f>F837+F838*'3 INDICADORES'!C218+F839*'3 INDICADORES'!C218^2</f>
        <v>-19.100000000000001</v>
      </c>
      <c r="H840" s="1111">
        <f>I837+I838*'3 INDICADORES'!C218+I839*'3 INDICADORES'!C218^2</f>
        <v>-42.5</v>
      </c>
      <c r="I840" s="1137">
        <f>IF('3 INDICADORES'!C218&gt;=6.6,J840,IF(AND('3 INDICADORES'!C218&gt;=6,'3 INDICADORES'!C218&lt;6.6),H840,IF(AND('3 INDICADORES'!C218&gt;5.2,'3 INDICADORES'!C218&lt;6),G840,F840)))</f>
        <v>-4.8</v>
      </c>
      <c r="J840" s="1137">
        <f>7+(-1*'3 INDICADORES'!C218)</f>
        <v>7</v>
      </c>
      <c r="K840" s="378"/>
      <c r="L840" s="378"/>
      <c r="M840" s="378"/>
      <c r="N840" s="378"/>
      <c r="O840" s="378"/>
      <c r="P840" s="378"/>
      <c r="Q840" s="378"/>
      <c r="R840" s="378"/>
      <c r="S840" s="378"/>
      <c r="T840" s="378"/>
      <c r="U840" s="378"/>
      <c r="V840" s="378"/>
      <c r="W840" s="378"/>
      <c r="X840" s="378"/>
      <c r="Y840" s="378"/>
      <c r="Z840" s="378"/>
      <c r="AA840" s="378"/>
      <c r="AB840" s="378"/>
      <c r="AC840" s="378"/>
      <c r="AD840" s="378"/>
      <c r="AE840" s="378"/>
      <c r="AF840" s="378"/>
      <c r="AG840" s="378"/>
      <c r="AH840" s="378"/>
      <c r="AI840" s="378"/>
      <c r="AJ840" s="378"/>
      <c r="AK840" s="378"/>
      <c r="AL840" s="378"/>
      <c r="AM840" s="378"/>
      <c r="AN840" s="378"/>
      <c r="AO840" s="378"/>
      <c r="AP840" s="378"/>
      <c r="AQ840" s="378"/>
      <c r="AR840" s="378"/>
      <c r="AS840" s="378"/>
      <c r="AT840" s="378"/>
      <c r="AU840" s="378"/>
    </row>
    <row r="841" spans="1:47" x14ac:dyDescent="0.25">
      <c r="A841" s="378"/>
      <c r="B841" s="1107">
        <v>6.4</v>
      </c>
      <c r="C841" s="1107">
        <v>0.7</v>
      </c>
      <c r="D841" s="378"/>
      <c r="E841" s="359"/>
      <c r="F841" s="532"/>
      <c r="G841" s="359"/>
      <c r="H841" s="359"/>
      <c r="I841" s="359"/>
      <c r="J841" s="378"/>
      <c r="K841" s="378"/>
      <c r="L841" s="378"/>
      <c r="M841" s="378"/>
      <c r="N841" s="378"/>
      <c r="O841" s="378"/>
      <c r="P841" s="378"/>
      <c r="Q841" s="378"/>
      <c r="R841" s="378"/>
      <c r="S841" s="378"/>
      <c r="T841" s="378"/>
      <c r="U841" s="378"/>
      <c r="V841" s="378"/>
      <c r="W841" s="378"/>
      <c r="X841" s="378"/>
      <c r="Y841" s="378"/>
      <c r="Z841" s="378"/>
      <c r="AA841" s="378"/>
      <c r="AB841" s="378"/>
      <c r="AC841" s="378"/>
      <c r="AD841" s="378"/>
      <c r="AE841" s="378"/>
      <c r="AF841" s="378"/>
      <c r="AG841" s="378"/>
      <c r="AH841" s="378"/>
      <c r="AI841" s="378"/>
      <c r="AJ841" s="378"/>
      <c r="AK841" s="378"/>
      <c r="AL841" s="378"/>
      <c r="AM841" s="378"/>
      <c r="AN841" s="378"/>
      <c r="AO841" s="378"/>
      <c r="AP841" s="378"/>
      <c r="AQ841" s="378"/>
      <c r="AR841" s="378"/>
      <c r="AS841" s="378"/>
      <c r="AT841" s="378"/>
      <c r="AU841" s="378"/>
    </row>
    <row r="842" spans="1:47" x14ac:dyDescent="0.25">
      <c r="A842" s="378"/>
      <c r="B842" s="1977" t="s">
        <v>879</v>
      </c>
      <c r="C842" s="1977"/>
      <c r="D842" s="1977"/>
      <c r="E842" s="1977"/>
      <c r="F842" s="1977"/>
      <c r="G842" s="1977"/>
      <c r="H842" s="378"/>
      <c r="I842" s="378"/>
      <c r="J842" s="378"/>
      <c r="K842" s="378"/>
      <c r="L842" s="378"/>
      <c r="M842" s="378"/>
      <c r="N842" s="378"/>
      <c r="O842" s="378"/>
      <c r="P842" s="378"/>
      <c r="Q842" s="378"/>
      <c r="R842" s="378"/>
      <c r="S842" s="378"/>
      <c r="T842" s="378"/>
      <c r="U842" s="378"/>
      <c r="V842" s="378"/>
      <c r="W842" s="378"/>
      <c r="X842" s="378"/>
      <c r="Y842" s="378"/>
      <c r="Z842" s="378"/>
      <c r="AA842" s="378"/>
      <c r="AB842" s="378"/>
      <c r="AC842" s="378"/>
      <c r="AD842" s="378"/>
      <c r="AE842" s="378"/>
      <c r="AF842" s="378"/>
      <c r="AG842" s="378"/>
      <c r="AH842" s="378"/>
      <c r="AI842" s="378"/>
      <c r="AJ842" s="378"/>
      <c r="AK842" s="378"/>
      <c r="AL842" s="378"/>
      <c r="AM842" s="378"/>
      <c r="AN842" s="378"/>
      <c r="AO842" s="378"/>
      <c r="AP842" s="378"/>
      <c r="AQ842" s="378"/>
      <c r="AR842" s="378"/>
      <c r="AS842" s="378"/>
      <c r="AT842" s="378"/>
      <c r="AU842" s="378"/>
    </row>
    <row r="843" spans="1:47" x14ac:dyDescent="0.25">
      <c r="A843" s="378"/>
      <c r="B843" s="361"/>
      <c r="C843" s="45"/>
      <c r="D843" s="45"/>
      <c r="E843" s="45"/>
      <c r="F843" s="45"/>
      <c r="G843" s="362"/>
      <c r="H843" s="378"/>
      <c r="I843" s="378"/>
      <c r="J843" s="378"/>
      <c r="K843" s="378"/>
      <c r="L843" s="378"/>
      <c r="M843" s="378"/>
      <c r="N843" s="378"/>
      <c r="O843" s="378"/>
      <c r="P843" s="378"/>
      <c r="Q843" s="378"/>
      <c r="R843" s="378"/>
      <c r="S843" s="378"/>
      <c r="T843" s="378"/>
      <c r="U843" s="378"/>
      <c r="V843" s="378"/>
      <c r="W843" s="378"/>
      <c r="X843" s="378"/>
      <c r="Y843" s="378"/>
      <c r="Z843" s="378"/>
      <c r="AA843" s="378"/>
      <c r="AB843" s="378"/>
      <c r="AC843" s="378"/>
      <c r="AD843" s="378"/>
      <c r="AE843" s="378"/>
      <c r="AF843" s="378"/>
      <c r="AG843" s="378"/>
      <c r="AH843" s="378"/>
      <c r="AI843" s="378"/>
      <c r="AJ843" s="378"/>
      <c r="AK843" s="378"/>
      <c r="AL843" s="378"/>
      <c r="AM843" s="378"/>
      <c r="AN843" s="378"/>
      <c r="AO843" s="378"/>
      <c r="AP843" s="378"/>
      <c r="AQ843" s="378"/>
      <c r="AR843" s="378"/>
      <c r="AS843" s="378"/>
      <c r="AT843" s="378"/>
      <c r="AU843" s="378"/>
    </row>
    <row r="844" spans="1:47" x14ac:dyDescent="0.25">
      <c r="A844" s="378"/>
      <c r="B844" s="361"/>
      <c r="C844" s="45"/>
      <c r="D844" s="45"/>
      <c r="E844" s="45"/>
      <c r="F844" s="45"/>
      <c r="G844" s="362"/>
      <c r="H844" s="378"/>
      <c r="I844" s="378"/>
      <c r="J844" s="378"/>
      <c r="K844" s="378"/>
      <c r="L844" s="378"/>
      <c r="M844" s="378"/>
      <c r="N844" s="378"/>
      <c r="O844" s="378"/>
      <c r="P844" s="378"/>
      <c r="Q844" s="378"/>
      <c r="R844" s="378"/>
      <c r="S844" s="378"/>
      <c r="T844" s="378"/>
      <c r="U844" s="378"/>
      <c r="V844" s="378"/>
      <c r="W844" s="378"/>
      <c r="X844" s="378"/>
      <c r="Y844" s="378"/>
      <c r="Z844" s="378"/>
      <c r="AA844" s="378"/>
      <c r="AB844" s="378"/>
      <c r="AC844" s="378"/>
      <c r="AD844" s="378"/>
      <c r="AE844" s="378"/>
      <c r="AF844" s="378"/>
      <c r="AG844" s="378"/>
      <c r="AH844" s="378"/>
      <c r="AI844" s="378"/>
      <c r="AJ844" s="378"/>
      <c r="AK844" s="378"/>
      <c r="AL844" s="378"/>
      <c r="AM844" s="378"/>
      <c r="AN844" s="378"/>
      <c r="AO844" s="378"/>
      <c r="AP844" s="378"/>
      <c r="AQ844" s="378"/>
      <c r="AR844" s="378"/>
      <c r="AS844" s="378"/>
      <c r="AT844" s="378"/>
      <c r="AU844" s="378"/>
    </row>
    <row r="845" spans="1:47" x14ac:dyDescent="0.25">
      <c r="A845" s="378"/>
      <c r="B845" s="361"/>
      <c r="C845" s="45"/>
      <c r="D845" s="45"/>
      <c r="E845" s="45"/>
      <c r="F845" s="45"/>
      <c r="G845" s="362"/>
      <c r="H845" s="378"/>
      <c r="I845" s="378"/>
      <c r="J845" s="378"/>
      <c r="K845" s="378"/>
      <c r="L845" s="378"/>
      <c r="M845" s="378"/>
      <c r="N845" s="378"/>
      <c r="O845" s="378"/>
      <c r="P845" s="378"/>
      <c r="Q845" s="378"/>
      <c r="R845" s="378"/>
      <c r="S845" s="378"/>
      <c r="T845" s="378"/>
      <c r="U845" s="378"/>
      <c r="V845" s="378"/>
      <c r="W845" s="378"/>
      <c r="X845" s="378"/>
      <c r="Y845" s="378"/>
      <c r="Z845" s="378"/>
      <c r="AA845" s="378"/>
      <c r="AB845" s="378"/>
      <c r="AC845" s="378"/>
      <c r="AD845" s="378"/>
      <c r="AE845" s="378"/>
      <c r="AF845" s="378"/>
      <c r="AG845" s="378"/>
      <c r="AH845" s="378"/>
      <c r="AI845" s="378"/>
      <c r="AJ845" s="378"/>
      <c r="AK845" s="378"/>
      <c r="AL845" s="378"/>
      <c r="AM845" s="378"/>
      <c r="AN845" s="378"/>
      <c r="AO845" s="378"/>
      <c r="AP845" s="378"/>
      <c r="AQ845" s="378"/>
      <c r="AR845" s="378"/>
      <c r="AS845" s="378"/>
      <c r="AT845" s="378"/>
      <c r="AU845" s="378"/>
    </row>
    <row r="846" spans="1:47" x14ac:dyDescent="0.25">
      <c r="A846" s="378"/>
      <c r="B846" s="361"/>
      <c r="C846" s="45"/>
      <c r="D846" s="45"/>
      <c r="E846" s="45"/>
      <c r="F846" s="45"/>
      <c r="G846" s="362"/>
      <c r="H846" s="378"/>
      <c r="I846" s="378"/>
      <c r="J846" s="378"/>
      <c r="K846" s="378"/>
      <c r="L846" s="378"/>
      <c r="M846" s="378"/>
      <c r="N846" s="378"/>
      <c r="O846" s="378"/>
      <c r="P846" s="378"/>
      <c r="Q846" s="378"/>
      <c r="R846" s="378"/>
      <c r="S846" s="378"/>
      <c r="T846" s="378"/>
      <c r="U846" s="378"/>
      <c r="V846" s="378"/>
      <c r="W846" s="378"/>
      <c r="X846" s="378"/>
      <c r="Y846" s="378"/>
      <c r="Z846" s="378"/>
      <c r="AA846" s="378"/>
      <c r="AB846" s="378"/>
      <c r="AC846" s="378"/>
      <c r="AD846" s="378"/>
      <c r="AE846" s="378"/>
      <c r="AF846" s="378"/>
      <c r="AG846" s="378"/>
      <c r="AH846" s="378"/>
      <c r="AI846" s="378"/>
      <c r="AJ846" s="378"/>
      <c r="AK846" s="378"/>
      <c r="AL846" s="378"/>
      <c r="AM846" s="378"/>
      <c r="AN846" s="378"/>
      <c r="AO846" s="378"/>
      <c r="AP846" s="378"/>
      <c r="AQ846" s="378"/>
      <c r="AR846" s="378"/>
      <c r="AS846" s="378"/>
      <c r="AT846" s="378"/>
      <c r="AU846" s="378"/>
    </row>
    <row r="847" spans="1:47" x14ac:dyDescent="0.25">
      <c r="A847" s="378"/>
      <c r="B847" s="361"/>
      <c r="C847" s="45"/>
      <c r="D847" s="45"/>
      <c r="E847" s="45"/>
      <c r="F847" s="45"/>
      <c r="G847" s="362"/>
      <c r="H847" s="378"/>
      <c r="I847" s="378"/>
      <c r="J847" s="378"/>
      <c r="K847" s="378"/>
      <c r="L847" s="378"/>
      <c r="M847" s="378"/>
      <c r="N847" s="378"/>
      <c r="O847" s="378"/>
      <c r="P847" s="378"/>
      <c r="Q847" s="378"/>
      <c r="R847" s="378"/>
      <c r="S847" s="378"/>
      <c r="T847" s="378"/>
      <c r="U847" s="378"/>
      <c r="V847" s="378"/>
      <c r="W847" s="378"/>
      <c r="X847" s="378"/>
      <c r="Y847" s="378"/>
      <c r="Z847" s="378"/>
      <c r="AA847" s="378"/>
      <c r="AB847" s="378"/>
      <c r="AC847" s="378"/>
      <c r="AD847" s="378"/>
      <c r="AE847" s="378"/>
      <c r="AF847" s="378"/>
      <c r="AG847" s="378"/>
      <c r="AH847" s="378"/>
      <c r="AI847" s="378"/>
      <c r="AJ847" s="378"/>
      <c r="AK847" s="378"/>
      <c r="AL847" s="378"/>
      <c r="AM847" s="378"/>
      <c r="AN847" s="378"/>
      <c r="AO847" s="378"/>
      <c r="AP847" s="378"/>
      <c r="AQ847" s="378"/>
      <c r="AR847" s="378"/>
      <c r="AS847" s="378"/>
      <c r="AT847" s="378"/>
      <c r="AU847" s="378"/>
    </row>
    <row r="848" spans="1:47" x14ac:dyDescent="0.25">
      <c r="A848" s="378"/>
      <c r="B848" s="361"/>
      <c r="C848" s="45"/>
      <c r="D848" s="45"/>
      <c r="E848" s="45"/>
      <c r="F848" s="45"/>
      <c r="G848" s="362"/>
      <c r="H848" s="378"/>
      <c r="I848" s="378"/>
      <c r="J848" s="378"/>
      <c r="K848" s="378"/>
      <c r="L848" s="378"/>
      <c r="M848" s="378"/>
      <c r="N848" s="378"/>
      <c r="O848" s="378"/>
      <c r="P848" s="378"/>
      <c r="Q848" s="378"/>
      <c r="R848" s="378"/>
      <c r="S848" s="378"/>
      <c r="T848" s="378"/>
      <c r="U848" s="378"/>
      <c r="V848" s="378"/>
      <c r="W848" s="378"/>
      <c r="X848" s="378"/>
      <c r="Y848" s="378"/>
      <c r="Z848" s="378"/>
      <c r="AA848" s="378"/>
      <c r="AB848" s="378"/>
      <c r="AC848" s="378"/>
      <c r="AD848" s="378"/>
      <c r="AE848" s="378"/>
      <c r="AF848" s="378"/>
      <c r="AG848" s="378"/>
      <c r="AH848" s="378"/>
      <c r="AI848" s="378"/>
      <c r="AJ848" s="378"/>
      <c r="AK848" s="378"/>
      <c r="AL848" s="378"/>
      <c r="AM848" s="378"/>
      <c r="AN848" s="378"/>
      <c r="AO848" s="378"/>
      <c r="AP848" s="378"/>
      <c r="AQ848" s="378"/>
      <c r="AR848" s="378"/>
      <c r="AS848" s="378"/>
      <c r="AT848" s="378"/>
      <c r="AU848" s="378"/>
    </row>
    <row r="849" spans="1:47" x14ac:dyDescent="0.25">
      <c r="A849" s="378"/>
      <c r="B849" s="363"/>
      <c r="C849" s="356"/>
      <c r="D849" s="356"/>
      <c r="E849" s="356"/>
      <c r="F849" s="356"/>
      <c r="G849" s="357"/>
      <c r="H849" s="378"/>
      <c r="I849" s="378"/>
      <c r="J849" s="378"/>
      <c r="K849" s="378"/>
      <c r="L849" s="378"/>
      <c r="M849" s="378"/>
      <c r="N849" s="378"/>
      <c r="O849" s="378"/>
      <c r="P849" s="378"/>
      <c r="Q849" s="378"/>
      <c r="R849" s="378"/>
      <c r="S849" s="378"/>
      <c r="T849" s="378"/>
      <c r="U849" s="378"/>
      <c r="V849" s="378"/>
      <c r="W849" s="378"/>
      <c r="X849" s="378"/>
      <c r="Y849" s="378"/>
      <c r="Z849" s="378"/>
      <c r="AA849" s="378"/>
      <c r="AB849" s="378"/>
      <c r="AC849" s="378"/>
      <c r="AD849" s="378"/>
      <c r="AE849" s="378"/>
      <c r="AF849" s="378"/>
      <c r="AG849" s="378"/>
      <c r="AH849" s="378"/>
      <c r="AI849" s="378"/>
      <c r="AJ849" s="378"/>
      <c r="AK849" s="378"/>
      <c r="AL849" s="378"/>
      <c r="AM849" s="378"/>
      <c r="AN849" s="378"/>
      <c r="AO849" s="378"/>
      <c r="AP849" s="378"/>
      <c r="AQ849" s="378"/>
      <c r="AR849" s="378"/>
      <c r="AS849" s="378"/>
      <c r="AT849" s="378"/>
      <c r="AU849" s="378"/>
    </row>
    <row r="850" spans="1:47" x14ac:dyDescent="0.25">
      <c r="A850" s="378"/>
      <c r="B850" s="378"/>
      <c r="C850" s="378"/>
      <c r="D850" s="378"/>
      <c r="E850" s="378"/>
      <c r="F850" s="378"/>
      <c r="G850" s="378"/>
      <c r="H850" s="378"/>
      <c r="I850" s="378"/>
      <c r="J850" s="378"/>
      <c r="K850" s="378"/>
      <c r="L850" s="378"/>
      <c r="M850" s="378"/>
      <c r="N850" s="378"/>
      <c r="O850" s="378"/>
      <c r="P850" s="378"/>
      <c r="Q850" s="378"/>
      <c r="R850" s="378"/>
      <c r="S850" s="378"/>
      <c r="T850" s="378"/>
      <c r="U850" s="378"/>
      <c r="V850" s="378"/>
      <c r="W850" s="378"/>
      <c r="X850" s="378"/>
      <c r="Y850" s="378"/>
      <c r="Z850" s="378"/>
      <c r="AA850" s="378"/>
      <c r="AB850" s="378"/>
      <c r="AC850" s="378"/>
      <c r="AD850" s="378"/>
      <c r="AE850" s="378"/>
      <c r="AF850" s="378"/>
      <c r="AG850" s="378"/>
      <c r="AH850" s="378"/>
      <c r="AI850" s="378"/>
      <c r="AJ850" s="378"/>
      <c r="AK850" s="378"/>
      <c r="AL850" s="378"/>
      <c r="AM850" s="378"/>
      <c r="AN850" s="378"/>
      <c r="AO850" s="378"/>
      <c r="AP850" s="378"/>
      <c r="AQ850" s="378"/>
      <c r="AR850" s="378"/>
      <c r="AS850" s="378"/>
      <c r="AT850" s="378"/>
      <c r="AU850" s="378"/>
    </row>
    <row r="851" spans="1:47" ht="18.75" x14ac:dyDescent="0.3">
      <c r="A851" s="751"/>
      <c r="B851" s="1977" t="s">
        <v>880</v>
      </c>
      <c r="C851" s="1977"/>
      <c r="D851" s="378"/>
      <c r="E851" s="1978" t="s">
        <v>881</v>
      </c>
      <c r="F851" s="1979"/>
      <c r="G851" s="1979"/>
      <c r="H851" s="1979"/>
      <c r="I851" s="1980"/>
      <c r="J851" s="378"/>
      <c r="K851" s="378"/>
      <c r="L851" s="378"/>
      <c r="M851" s="378"/>
      <c r="N851" s="378"/>
      <c r="O851" s="378"/>
      <c r="P851" s="378"/>
      <c r="Q851" s="378"/>
      <c r="R851" s="378"/>
      <c r="S851" s="378"/>
      <c r="T851" s="378"/>
      <c r="U851" s="378"/>
      <c r="V851" s="378"/>
      <c r="W851" s="378"/>
      <c r="X851" s="378"/>
      <c r="Y851" s="378"/>
      <c r="Z851" s="378"/>
      <c r="AA851" s="378"/>
      <c r="AB851" s="378"/>
      <c r="AC851" s="378"/>
      <c r="AD851" s="378"/>
      <c r="AE851" s="378"/>
      <c r="AF851" s="378"/>
      <c r="AG851" s="378"/>
      <c r="AH851" s="378"/>
      <c r="AI851" s="378"/>
      <c r="AJ851" s="378"/>
      <c r="AK851" s="378"/>
      <c r="AL851" s="378"/>
      <c r="AM851" s="378"/>
      <c r="AN851" s="378"/>
      <c r="AO851" s="378"/>
      <c r="AP851" s="378"/>
      <c r="AQ851" s="378"/>
      <c r="AR851" s="378"/>
      <c r="AS851" s="378"/>
      <c r="AT851" s="378"/>
      <c r="AU851" s="378"/>
    </row>
    <row r="852" spans="1:47" x14ac:dyDescent="0.25">
      <c r="A852" s="378"/>
      <c r="B852" s="1527" t="s">
        <v>847</v>
      </c>
      <c r="C852" s="1527" t="s">
        <v>774</v>
      </c>
      <c r="D852" s="378"/>
      <c r="E852" s="1130" t="s">
        <v>867</v>
      </c>
      <c r="F852" s="1121"/>
      <c r="G852" s="1545"/>
      <c r="H852" s="1545" t="s">
        <v>868</v>
      </c>
      <c r="I852" s="1546"/>
      <c r="J852" s="378"/>
      <c r="K852" s="378"/>
      <c r="L852" s="378"/>
      <c r="M852" s="378"/>
      <c r="N852" s="378"/>
      <c r="O852" s="378"/>
      <c r="P852" s="378"/>
      <c r="Q852" s="378"/>
      <c r="R852" s="378"/>
      <c r="S852" s="378"/>
      <c r="T852" s="378"/>
      <c r="U852" s="378"/>
      <c r="V852" s="378"/>
      <c r="W852" s="378"/>
      <c r="X852" s="378"/>
      <c r="Y852" s="378"/>
      <c r="Z852" s="378"/>
      <c r="AA852" s="378"/>
      <c r="AB852" s="378"/>
      <c r="AC852" s="378"/>
      <c r="AD852" s="378"/>
      <c r="AE852" s="378"/>
      <c r="AF852" s="378"/>
      <c r="AG852" s="378"/>
      <c r="AH852" s="378"/>
      <c r="AI852" s="378"/>
      <c r="AJ852" s="378"/>
      <c r="AK852" s="378"/>
      <c r="AL852" s="378"/>
      <c r="AM852" s="378"/>
      <c r="AN852" s="378"/>
      <c r="AO852" s="378"/>
      <c r="AP852" s="378"/>
      <c r="AQ852" s="378"/>
      <c r="AR852" s="378"/>
      <c r="AS852" s="378"/>
      <c r="AT852" s="378"/>
      <c r="AU852" s="378"/>
    </row>
    <row r="853" spans="1:47" x14ac:dyDescent="0.25">
      <c r="A853" s="378"/>
      <c r="B853" s="1106">
        <v>0</v>
      </c>
      <c r="C853" s="1106">
        <v>0.7</v>
      </c>
      <c r="D853" s="378"/>
      <c r="E853" s="1123" t="s">
        <v>852</v>
      </c>
      <c r="F853" s="461">
        <v>0.7</v>
      </c>
      <c r="G853" s="461"/>
      <c r="H853" s="1039" t="s">
        <v>852</v>
      </c>
      <c r="I853" s="1099">
        <v>0.84060000000000001</v>
      </c>
      <c r="J853" s="378"/>
      <c r="K853" s="378"/>
      <c r="L853" s="378"/>
      <c r="M853" s="378"/>
      <c r="N853" s="378"/>
      <c r="O853" s="378"/>
      <c r="P853" s="378"/>
      <c r="Q853" s="378"/>
      <c r="R853" s="378"/>
      <c r="S853" s="378"/>
      <c r="T853" s="378"/>
      <c r="U853" s="378"/>
      <c r="V853" s="378"/>
      <c r="W853" s="378"/>
      <c r="X853" s="378"/>
      <c r="Y853" s="378"/>
      <c r="Z853" s="378"/>
      <c r="AA853" s="378"/>
      <c r="AB853" s="378"/>
      <c r="AC853" s="378"/>
      <c r="AD853" s="378"/>
      <c r="AE853" s="378"/>
      <c r="AF853" s="378"/>
      <c r="AG853" s="378"/>
      <c r="AH853" s="378"/>
      <c r="AI853" s="378"/>
      <c r="AJ853" s="378"/>
      <c r="AK853" s="378"/>
      <c r="AL853" s="378"/>
      <c r="AM853" s="378"/>
      <c r="AN853" s="378"/>
      <c r="AO853" s="378"/>
      <c r="AP853" s="378"/>
      <c r="AQ853" s="378"/>
      <c r="AR853" s="378"/>
      <c r="AS853" s="378"/>
      <c r="AT853" s="378"/>
      <c r="AU853" s="378"/>
    </row>
    <row r="854" spans="1:47" x14ac:dyDescent="0.25">
      <c r="A854" s="378"/>
      <c r="B854" s="1106">
        <v>0.21</v>
      </c>
      <c r="C854" s="1106">
        <v>0.6</v>
      </c>
      <c r="D854" s="378"/>
      <c r="E854" s="1123" t="s">
        <v>805</v>
      </c>
      <c r="F854" s="461">
        <v>-0.53500000000000003</v>
      </c>
      <c r="G854" s="461"/>
      <c r="H854" s="468" t="s">
        <v>805</v>
      </c>
      <c r="I854" s="1099">
        <v>-0.75249999999999995</v>
      </c>
      <c r="J854" s="378"/>
      <c r="K854" s="378"/>
      <c r="L854" s="378"/>
      <c r="M854" s="378"/>
      <c r="N854" s="378"/>
      <c r="O854" s="378"/>
      <c r="P854" s="378"/>
      <c r="Q854" s="378"/>
      <c r="R854" s="378"/>
      <c r="S854" s="378"/>
      <c r="T854" s="378"/>
      <c r="U854" s="378"/>
      <c r="V854" s="378"/>
      <c r="W854" s="378"/>
      <c r="X854" s="378"/>
      <c r="Y854" s="378"/>
      <c r="Z854" s="378"/>
      <c r="AA854" s="378"/>
      <c r="AB854" s="378"/>
      <c r="AC854" s="378"/>
      <c r="AD854" s="378"/>
      <c r="AE854" s="378"/>
      <c r="AF854" s="378"/>
      <c r="AG854" s="378"/>
      <c r="AH854" s="378"/>
      <c r="AI854" s="378"/>
      <c r="AJ854" s="378"/>
      <c r="AK854" s="378"/>
      <c r="AL854" s="378"/>
      <c r="AM854" s="378"/>
      <c r="AN854" s="378"/>
      <c r="AO854" s="378"/>
      <c r="AP854" s="378"/>
      <c r="AQ854" s="378"/>
      <c r="AR854" s="378"/>
      <c r="AS854" s="378"/>
      <c r="AT854" s="378"/>
      <c r="AU854" s="378"/>
    </row>
    <row r="855" spans="1:47" x14ac:dyDescent="0.25">
      <c r="A855" s="378"/>
      <c r="B855" s="1106">
        <v>0.51</v>
      </c>
      <c r="C855" s="1106">
        <v>0.5</v>
      </c>
      <c r="D855" s="378"/>
      <c r="E855" s="1131" t="s">
        <v>853</v>
      </c>
      <c r="F855" s="1115">
        <v>0.28010000000000002</v>
      </c>
      <c r="G855" s="1115"/>
      <c r="H855" s="1116" t="s">
        <v>853</v>
      </c>
      <c r="I855" s="1138">
        <v>0.1661</v>
      </c>
      <c r="J855" s="378"/>
      <c r="K855" s="378"/>
      <c r="L855" s="378"/>
      <c r="M855" s="378"/>
      <c r="N855" s="378"/>
      <c r="O855" s="378"/>
      <c r="P855" s="378"/>
      <c r="Q855" s="378"/>
      <c r="R855" s="378"/>
      <c r="S855" s="378"/>
      <c r="T855" s="378"/>
      <c r="U855" s="378"/>
      <c r="V855" s="378"/>
      <c r="W855" s="378"/>
      <c r="X855" s="378"/>
      <c r="Y855" s="378"/>
      <c r="Z855" s="378"/>
      <c r="AA855" s="378"/>
      <c r="AB855" s="378"/>
      <c r="AC855" s="378"/>
      <c r="AD855" s="378"/>
      <c r="AE855" s="378"/>
      <c r="AF855" s="378"/>
      <c r="AG855" s="378"/>
      <c r="AH855" s="378"/>
      <c r="AI855" s="378"/>
      <c r="AJ855" s="378"/>
      <c r="AK855" s="378"/>
      <c r="AL855" s="378"/>
      <c r="AM855" s="378"/>
      <c r="AN855" s="378"/>
      <c r="AO855" s="378"/>
      <c r="AP855" s="378"/>
      <c r="AQ855" s="378"/>
      <c r="AR855" s="378"/>
      <c r="AS855" s="378"/>
      <c r="AT855" s="378"/>
      <c r="AU855" s="378"/>
    </row>
    <row r="856" spans="1:47" x14ac:dyDescent="0.25">
      <c r="A856" s="378"/>
      <c r="B856" s="1106">
        <v>1.01</v>
      </c>
      <c r="C856" s="1106">
        <v>0.25</v>
      </c>
      <c r="D856" s="378"/>
      <c r="E856" s="1111" t="s">
        <v>101</v>
      </c>
      <c r="F856" s="1111">
        <f>F853+F854*'3 INDICADORES'!C225+F855*'3 INDICADORES'!C225^2</f>
        <v>0.7</v>
      </c>
      <c r="G856" s="1111">
        <f>I853+I854*'3 INDICADORES'!C225+I855*'3 INDICADORES'!C225^2</f>
        <v>0.84060000000000001</v>
      </c>
      <c r="H856" s="1111">
        <f>IF('3 INDICADORES'!C225&gt;=0.51,G856,F856)</f>
        <v>0.7</v>
      </c>
      <c r="I856" s="45"/>
      <c r="J856" s="378"/>
      <c r="K856" s="378"/>
      <c r="L856" s="378"/>
      <c r="M856" s="378"/>
      <c r="N856" s="378"/>
      <c r="O856" s="378"/>
      <c r="P856" s="378"/>
      <c r="Q856" s="378"/>
      <c r="R856" s="378"/>
      <c r="S856" s="378"/>
      <c r="T856" s="378"/>
      <c r="U856" s="378"/>
      <c r="V856" s="378"/>
      <c r="W856" s="378"/>
      <c r="X856" s="378"/>
      <c r="Y856" s="378"/>
      <c r="Z856" s="378"/>
      <c r="AA856" s="378"/>
      <c r="AB856" s="378"/>
      <c r="AC856" s="378"/>
      <c r="AD856" s="378"/>
      <c r="AE856" s="378"/>
      <c r="AF856" s="378"/>
      <c r="AG856" s="378"/>
      <c r="AH856" s="378"/>
      <c r="AI856" s="378"/>
      <c r="AJ856" s="378"/>
      <c r="AK856" s="378"/>
      <c r="AL856" s="378"/>
      <c r="AM856" s="378"/>
      <c r="AN856" s="378"/>
      <c r="AO856" s="378"/>
      <c r="AP856" s="378"/>
      <c r="AQ856" s="378"/>
      <c r="AR856" s="378"/>
      <c r="AS856" s="378"/>
      <c r="AT856" s="378"/>
      <c r="AU856" s="378"/>
    </row>
    <row r="857" spans="1:47" x14ac:dyDescent="0.25">
      <c r="A857" s="378"/>
      <c r="B857" s="1106">
        <v>2</v>
      </c>
      <c r="C857" s="1106">
        <v>0</v>
      </c>
      <c r="D857" s="378"/>
      <c r="E857" s="378"/>
      <c r="F857" s="378"/>
      <c r="G857" s="378"/>
      <c r="H857" s="378"/>
      <c r="I857" s="378"/>
      <c r="J857" s="378"/>
      <c r="K857" s="378"/>
      <c r="L857" s="378"/>
      <c r="M857" s="378"/>
      <c r="N857" s="378"/>
      <c r="O857" s="378"/>
      <c r="P857" s="378"/>
      <c r="Q857" s="378"/>
      <c r="R857" s="378"/>
      <c r="S857" s="378"/>
      <c r="T857" s="378"/>
      <c r="U857" s="378"/>
      <c r="V857" s="378"/>
      <c r="W857" s="378"/>
      <c r="X857" s="378"/>
      <c r="Y857" s="378"/>
      <c r="Z857" s="378"/>
      <c r="AA857" s="378"/>
      <c r="AB857" s="378"/>
      <c r="AC857" s="378"/>
      <c r="AD857" s="378"/>
      <c r="AE857" s="378"/>
      <c r="AF857" s="378"/>
      <c r="AG857" s="378"/>
      <c r="AH857" s="378"/>
      <c r="AI857" s="378"/>
      <c r="AJ857" s="378"/>
      <c r="AK857" s="378"/>
      <c r="AL857" s="378"/>
      <c r="AM857" s="378"/>
      <c r="AN857" s="378"/>
      <c r="AO857" s="378"/>
      <c r="AP857" s="378"/>
      <c r="AQ857" s="378"/>
      <c r="AR857" s="378"/>
      <c r="AS857" s="378"/>
      <c r="AT857" s="378"/>
      <c r="AU857" s="378"/>
    </row>
    <row r="858" spans="1:47" x14ac:dyDescent="0.25">
      <c r="A858" s="378"/>
      <c r="B858" s="378"/>
      <c r="C858" s="378"/>
      <c r="D858" s="378"/>
      <c r="E858" s="378"/>
      <c r="F858" s="378"/>
      <c r="G858" s="378"/>
      <c r="H858" s="378"/>
      <c r="I858" s="378"/>
      <c r="J858" s="378"/>
      <c r="K858" s="378"/>
      <c r="L858" s="378"/>
      <c r="M858" s="378"/>
      <c r="N858" s="378"/>
      <c r="O858" s="378"/>
      <c r="P858" s="378"/>
      <c r="Q858" s="378"/>
      <c r="R858" s="378"/>
      <c r="S858" s="378"/>
      <c r="T858" s="378"/>
      <c r="U858" s="378"/>
      <c r="V858" s="378"/>
      <c r="W858" s="378"/>
      <c r="X858" s="378"/>
      <c r="Y858" s="378"/>
      <c r="Z858" s="378"/>
      <c r="AA858" s="378"/>
      <c r="AB858" s="378"/>
      <c r="AC858" s="378"/>
      <c r="AD858" s="378"/>
      <c r="AE858" s="378"/>
      <c r="AF858" s="378"/>
      <c r="AG858" s="378"/>
      <c r="AH858" s="378"/>
      <c r="AI858" s="378"/>
      <c r="AJ858" s="378"/>
      <c r="AK858" s="378"/>
      <c r="AL858" s="378"/>
      <c r="AM858" s="378"/>
      <c r="AN858" s="378"/>
      <c r="AO858" s="378"/>
      <c r="AP858" s="378"/>
      <c r="AQ858" s="378"/>
      <c r="AR858" s="378"/>
      <c r="AS858" s="378"/>
      <c r="AT858" s="378"/>
      <c r="AU858" s="378"/>
    </row>
    <row r="859" spans="1:47" x14ac:dyDescent="0.25">
      <c r="A859" s="378"/>
      <c r="B859" s="1977" t="s">
        <v>882</v>
      </c>
      <c r="C859" s="1977"/>
      <c r="D859" s="1977"/>
      <c r="E859" s="1977"/>
      <c r="F859" s="1977"/>
      <c r="G859" s="1977"/>
      <c r="H859" s="378"/>
      <c r="I859" s="378"/>
      <c r="J859" s="378"/>
      <c r="K859" s="378"/>
      <c r="L859" s="378"/>
      <c r="M859" s="378"/>
      <c r="N859" s="378"/>
      <c r="O859" s="378"/>
      <c r="P859" s="378"/>
      <c r="Q859" s="378"/>
      <c r="R859" s="378"/>
      <c r="S859" s="378"/>
      <c r="T859" s="378"/>
      <c r="U859" s="378"/>
      <c r="V859" s="378"/>
      <c r="W859" s="378"/>
      <c r="X859" s="378"/>
      <c r="Y859" s="378"/>
      <c r="Z859" s="378"/>
      <c r="AA859" s="378"/>
      <c r="AB859" s="378"/>
      <c r="AC859" s="378"/>
      <c r="AD859" s="378"/>
      <c r="AE859" s="378"/>
      <c r="AF859" s="378"/>
      <c r="AG859" s="378"/>
      <c r="AH859" s="378"/>
      <c r="AI859" s="378"/>
      <c r="AJ859" s="378"/>
      <c r="AK859" s="378"/>
      <c r="AL859" s="378"/>
      <c r="AM859" s="378"/>
      <c r="AN859" s="378"/>
      <c r="AO859" s="378"/>
      <c r="AP859" s="378"/>
      <c r="AQ859" s="378"/>
      <c r="AR859" s="378"/>
      <c r="AS859" s="378"/>
      <c r="AT859" s="378"/>
      <c r="AU859" s="378"/>
    </row>
    <row r="860" spans="1:47" x14ac:dyDescent="0.25">
      <c r="A860" s="378"/>
      <c r="B860" s="361"/>
      <c r="C860" s="45"/>
      <c r="D860" s="45"/>
      <c r="E860" s="45"/>
      <c r="F860" s="45"/>
      <c r="G860" s="362"/>
      <c r="H860" s="378"/>
      <c r="I860" s="378"/>
      <c r="J860" s="378"/>
      <c r="K860" s="378"/>
      <c r="L860" s="378"/>
      <c r="M860" s="378"/>
      <c r="N860" s="378"/>
      <c r="O860" s="378"/>
      <c r="P860" s="378"/>
      <c r="Q860" s="378"/>
      <c r="R860" s="378"/>
      <c r="S860" s="378"/>
      <c r="T860" s="378"/>
      <c r="U860" s="378"/>
      <c r="V860" s="378"/>
      <c r="W860" s="378"/>
      <c r="X860" s="378"/>
      <c r="Y860" s="378"/>
      <c r="Z860" s="378"/>
      <c r="AA860" s="378"/>
      <c r="AB860" s="378"/>
      <c r="AC860" s="378"/>
      <c r="AD860" s="378"/>
      <c r="AE860" s="378"/>
      <c r="AF860" s="378"/>
      <c r="AG860" s="378"/>
      <c r="AH860" s="378"/>
      <c r="AI860" s="378"/>
      <c r="AJ860" s="378"/>
      <c r="AK860" s="378"/>
      <c r="AL860" s="378"/>
      <c r="AM860" s="378"/>
      <c r="AN860" s="378"/>
      <c r="AO860" s="378"/>
      <c r="AP860" s="378"/>
      <c r="AQ860" s="378"/>
      <c r="AR860" s="378"/>
      <c r="AS860" s="378"/>
      <c r="AT860" s="378"/>
      <c r="AU860" s="378"/>
    </row>
    <row r="861" spans="1:47" x14ac:dyDescent="0.25">
      <c r="A861" s="378"/>
      <c r="B861" s="361"/>
      <c r="C861" s="45"/>
      <c r="D861" s="45"/>
      <c r="E861" s="45"/>
      <c r="F861" s="45"/>
      <c r="G861" s="362"/>
      <c r="H861" s="378"/>
      <c r="I861" s="378"/>
      <c r="J861" s="378"/>
      <c r="K861" s="378"/>
      <c r="L861" s="378"/>
      <c r="M861" s="378"/>
      <c r="N861" s="378"/>
      <c r="O861" s="378"/>
      <c r="P861" s="378"/>
      <c r="Q861" s="378"/>
      <c r="R861" s="378"/>
      <c r="S861" s="378"/>
      <c r="T861" s="378"/>
      <c r="U861" s="378"/>
      <c r="V861" s="378"/>
      <c r="W861" s="378"/>
      <c r="X861" s="378"/>
      <c r="Y861" s="378"/>
      <c r="Z861" s="378"/>
      <c r="AA861" s="378"/>
      <c r="AB861" s="378"/>
      <c r="AC861" s="378"/>
      <c r="AD861" s="378"/>
      <c r="AE861" s="378"/>
      <c r="AF861" s="378"/>
      <c r="AG861" s="378"/>
      <c r="AH861" s="378"/>
      <c r="AI861" s="378"/>
      <c r="AJ861" s="378"/>
      <c r="AK861" s="378"/>
      <c r="AL861" s="378"/>
      <c r="AM861" s="378"/>
      <c r="AN861" s="378"/>
      <c r="AO861" s="378"/>
      <c r="AP861" s="378"/>
      <c r="AQ861" s="378"/>
      <c r="AR861" s="378"/>
      <c r="AS861" s="378"/>
      <c r="AT861" s="378"/>
      <c r="AU861" s="378"/>
    </row>
    <row r="862" spans="1:47" x14ac:dyDescent="0.25">
      <c r="A862" s="378"/>
      <c r="B862" s="361"/>
      <c r="C862" s="45"/>
      <c r="D862" s="45"/>
      <c r="E862" s="45"/>
      <c r="F862" s="45"/>
      <c r="G862" s="362"/>
      <c r="H862" s="378"/>
      <c r="I862" s="378"/>
      <c r="J862" s="378"/>
      <c r="K862" s="378"/>
      <c r="L862" s="378"/>
      <c r="M862" s="378"/>
      <c r="N862" s="378"/>
      <c r="O862" s="378"/>
      <c r="P862" s="378"/>
      <c r="Q862" s="378"/>
      <c r="R862" s="378"/>
      <c r="S862" s="378"/>
      <c r="T862" s="378"/>
      <c r="U862" s="378"/>
      <c r="V862" s="378"/>
      <c r="W862" s="378"/>
      <c r="X862" s="378"/>
      <c r="Y862" s="378"/>
      <c r="Z862" s="378"/>
      <c r="AA862" s="378"/>
      <c r="AB862" s="378"/>
      <c r="AC862" s="378"/>
      <c r="AD862" s="378"/>
      <c r="AE862" s="378"/>
      <c r="AF862" s="378"/>
      <c r="AG862" s="378"/>
      <c r="AH862" s="378"/>
      <c r="AI862" s="378"/>
      <c r="AJ862" s="378"/>
      <c r="AK862" s="378"/>
      <c r="AL862" s="378"/>
      <c r="AM862" s="378"/>
      <c r="AN862" s="378"/>
      <c r="AO862" s="378"/>
      <c r="AP862" s="378"/>
      <c r="AQ862" s="378"/>
      <c r="AR862" s="378"/>
      <c r="AS862" s="378"/>
      <c r="AT862" s="378"/>
      <c r="AU862" s="378"/>
    </row>
    <row r="863" spans="1:47" x14ac:dyDescent="0.25">
      <c r="A863" s="378"/>
      <c r="B863" s="361"/>
      <c r="C863" s="45"/>
      <c r="D863" s="45"/>
      <c r="E863" s="45"/>
      <c r="F863" s="45"/>
      <c r="G863" s="362"/>
      <c r="H863" s="378"/>
      <c r="I863" s="378"/>
      <c r="J863" s="378"/>
      <c r="K863" s="378"/>
      <c r="L863" s="378"/>
      <c r="M863" s="378"/>
      <c r="N863" s="378"/>
      <c r="O863" s="378"/>
      <c r="P863" s="378"/>
      <c r="Q863" s="378"/>
      <c r="R863" s="378"/>
      <c r="S863" s="378"/>
      <c r="T863" s="378"/>
      <c r="U863" s="378"/>
      <c r="V863" s="378"/>
      <c r="W863" s="378"/>
      <c r="X863" s="378"/>
      <c r="Y863" s="378"/>
      <c r="Z863" s="378"/>
      <c r="AA863" s="378"/>
      <c r="AB863" s="378"/>
      <c r="AC863" s="378"/>
      <c r="AD863" s="378"/>
      <c r="AE863" s="378"/>
      <c r="AF863" s="378"/>
      <c r="AG863" s="378"/>
      <c r="AH863" s="378"/>
      <c r="AI863" s="378"/>
      <c r="AJ863" s="378"/>
      <c r="AK863" s="378"/>
      <c r="AL863" s="378"/>
      <c r="AM863" s="378"/>
      <c r="AN863" s="378"/>
      <c r="AO863" s="378"/>
      <c r="AP863" s="378"/>
      <c r="AQ863" s="378"/>
      <c r="AR863" s="378"/>
      <c r="AS863" s="378"/>
      <c r="AT863" s="378"/>
      <c r="AU863" s="378"/>
    </row>
    <row r="864" spans="1:47" x14ac:dyDescent="0.25">
      <c r="A864" s="378"/>
      <c r="B864" s="361"/>
      <c r="C864" s="45"/>
      <c r="D864" s="45"/>
      <c r="E864" s="45"/>
      <c r="F864" s="45"/>
      <c r="G864" s="362"/>
      <c r="H864" s="378"/>
      <c r="I864" s="378"/>
      <c r="J864" s="378"/>
      <c r="K864" s="378"/>
      <c r="L864" s="378"/>
      <c r="M864" s="378"/>
      <c r="N864" s="378"/>
      <c r="O864" s="378"/>
      <c r="P864" s="378"/>
      <c r="Q864" s="378"/>
      <c r="R864" s="378"/>
      <c r="S864" s="378"/>
      <c r="T864" s="378"/>
      <c r="U864" s="378"/>
      <c r="V864" s="378"/>
      <c r="W864" s="378"/>
      <c r="X864" s="378"/>
      <c r="Y864" s="378"/>
      <c r="Z864" s="378"/>
      <c r="AA864" s="378"/>
      <c r="AB864" s="378"/>
      <c r="AC864" s="378"/>
      <c r="AD864" s="378"/>
      <c r="AE864" s="378"/>
      <c r="AF864" s="378"/>
      <c r="AG864" s="378"/>
      <c r="AH864" s="378"/>
      <c r="AI864" s="378"/>
      <c r="AJ864" s="378"/>
      <c r="AK864" s="378"/>
      <c r="AL864" s="378"/>
      <c r="AM864" s="378"/>
      <c r="AN864" s="378"/>
      <c r="AO864" s="378"/>
      <c r="AP864" s="378"/>
      <c r="AQ864" s="378"/>
      <c r="AR864" s="378"/>
      <c r="AS864" s="378"/>
      <c r="AT864" s="378"/>
      <c r="AU864" s="378"/>
    </row>
    <row r="865" spans="1:47" x14ac:dyDescent="0.25">
      <c r="A865" s="378"/>
      <c r="B865" s="361"/>
      <c r="C865" s="45"/>
      <c r="D865" s="45"/>
      <c r="E865" s="45"/>
      <c r="F865" s="45"/>
      <c r="G865" s="362"/>
      <c r="H865" s="378"/>
      <c r="I865" s="378"/>
      <c r="J865" s="378"/>
      <c r="K865" s="378"/>
      <c r="L865" s="378"/>
      <c r="M865" s="378"/>
      <c r="N865" s="378"/>
      <c r="O865" s="378"/>
      <c r="P865" s="378"/>
      <c r="Q865" s="378"/>
      <c r="R865" s="378"/>
      <c r="S865" s="378"/>
      <c r="T865" s="378"/>
      <c r="U865" s="378"/>
      <c r="V865" s="378"/>
      <c r="W865" s="378"/>
      <c r="X865" s="378"/>
      <c r="Y865" s="378"/>
      <c r="Z865" s="378"/>
      <c r="AA865" s="378"/>
      <c r="AB865" s="378"/>
      <c r="AC865" s="378"/>
      <c r="AD865" s="378"/>
      <c r="AE865" s="378"/>
      <c r="AF865" s="378"/>
      <c r="AG865" s="378"/>
      <c r="AH865" s="378"/>
      <c r="AI865" s="378"/>
      <c r="AJ865" s="378"/>
      <c r="AK865" s="378"/>
      <c r="AL865" s="378"/>
      <c r="AM865" s="378"/>
      <c r="AN865" s="378"/>
      <c r="AO865" s="378"/>
      <c r="AP865" s="378"/>
      <c r="AQ865" s="378"/>
      <c r="AR865" s="378"/>
      <c r="AS865" s="378"/>
      <c r="AT865" s="378"/>
      <c r="AU865" s="378"/>
    </row>
    <row r="866" spans="1:47" x14ac:dyDescent="0.25">
      <c r="A866" s="378"/>
      <c r="B866" s="363"/>
      <c r="C866" s="356"/>
      <c r="D866" s="356"/>
      <c r="E866" s="356"/>
      <c r="F866" s="356"/>
      <c r="G866" s="357"/>
      <c r="H866" s="378"/>
      <c r="I866" s="378"/>
      <c r="J866" s="378"/>
      <c r="K866" s="378"/>
      <c r="L866" s="378"/>
      <c r="M866" s="378"/>
      <c r="N866" s="378"/>
      <c r="O866" s="378"/>
      <c r="P866" s="378"/>
      <c r="Q866" s="378"/>
      <c r="R866" s="378"/>
      <c r="S866" s="378"/>
      <c r="T866" s="378"/>
      <c r="U866" s="378"/>
      <c r="V866" s="378"/>
      <c r="W866" s="378"/>
      <c r="X866" s="378"/>
      <c r="Y866" s="378"/>
      <c r="Z866" s="378"/>
      <c r="AA866" s="378"/>
      <c r="AB866" s="378"/>
      <c r="AC866" s="378"/>
      <c r="AD866" s="378"/>
      <c r="AE866" s="378"/>
      <c r="AF866" s="378"/>
      <c r="AG866" s="378"/>
      <c r="AH866" s="378"/>
      <c r="AI866" s="378"/>
      <c r="AJ866" s="378"/>
      <c r="AK866" s="378"/>
      <c r="AL866" s="378"/>
      <c r="AM866" s="378"/>
      <c r="AN866" s="378"/>
      <c r="AO866" s="378"/>
      <c r="AP866" s="378"/>
      <c r="AQ866" s="378"/>
      <c r="AR866" s="378"/>
      <c r="AS866" s="378"/>
      <c r="AT866" s="378"/>
      <c r="AU866" s="378"/>
    </row>
    <row r="867" spans="1:47" x14ac:dyDescent="0.25">
      <c r="A867" s="378"/>
      <c r="B867" s="378"/>
      <c r="C867" s="378"/>
      <c r="D867" s="378"/>
      <c r="E867" s="378"/>
      <c r="F867" s="378"/>
      <c r="G867" s="378"/>
      <c r="H867" s="378"/>
      <c r="I867" s="378"/>
      <c r="J867" s="378"/>
      <c r="K867" s="378"/>
      <c r="L867" s="378"/>
      <c r="M867" s="378"/>
      <c r="N867" s="378"/>
      <c r="O867" s="378"/>
      <c r="P867" s="378"/>
      <c r="Q867" s="378"/>
      <c r="R867" s="378"/>
      <c r="S867" s="378"/>
      <c r="T867" s="378"/>
      <c r="U867" s="378"/>
      <c r="V867" s="378"/>
      <c r="W867" s="378"/>
      <c r="X867" s="378"/>
      <c r="Y867" s="378"/>
      <c r="Z867" s="378"/>
      <c r="AA867" s="378"/>
      <c r="AB867" s="378"/>
      <c r="AC867" s="378"/>
      <c r="AD867" s="378"/>
      <c r="AE867" s="378"/>
      <c r="AF867" s="378"/>
      <c r="AG867" s="378"/>
      <c r="AH867" s="378"/>
      <c r="AI867" s="378"/>
      <c r="AJ867" s="378"/>
      <c r="AK867" s="378"/>
      <c r="AL867" s="378"/>
      <c r="AM867" s="378"/>
      <c r="AN867" s="378"/>
      <c r="AO867" s="378"/>
      <c r="AP867" s="378"/>
      <c r="AQ867" s="378"/>
      <c r="AR867" s="378"/>
      <c r="AS867" s="378"/>
      <c r="AT867" s="378"/>
      <c r="AU867" s="378"/>
    </row>
    <row r="868" spans="1:47" ht="18.75" x14ac:dyDescent="0.3">
      <c r="A868" s="751"/>
      <c r="B868" s="1977" t="s">
        <v>883</v>
      </c>
      <c r="C868" s="1977"/>
      <c r="D868" s="378"/>
      <c r="E868" s="1978" t="s">
        <v>884</v>
      </c>
      <c r="F868" s="1979"/>
      <c r="G868" s="1979"/>
      <c r="H868" s="1979"/>
      <c r="I868" s="1980"/>
      <c r="J868" s="378"/>
      <c r="K868" s="378"/>
      <c r="L868" s="378"/>
      <c r="M868" s="378"/>
      <c r="N868" s="378"/>
      <c r="O868" s="378"/>
      <c r="P868" s="378"/>
      <c r="Q868" s="378"/>
      <c r="R868" s="378"/>
      <c r="S868" s="378"/>
      <c r="T868" s="378"/>
      <c r="U868" s="378"/>
      <c r="V868" s="378"/>
      <c r="W868" s="378"/>
      <c r="X868" s="378"/>
      <c r="Y868" s="378"/>
      <c r="Z868" s="378"/>
      <c r="AA868" s="378"/>
      <c r="AB868" s="378"/>
      <c r="AC868" s="378"/>
      <c r="AD868" s="378"/>
      <c r="AE868" s="378"/>
      <c r="AF868" s="378"/>
      <c r="AG868" s="378"/>
      <c r="AH868" s="378"/>
      <c r="AI868" s="378"/>
      <c r="AJ868" s="378"/>
      <c r="AK868" s="378"/>
      <c r="AL868" s="378"/>
      <c r="AM868" s="378"/>
      <c r="AN868" s="378"/>
      <c r="AO868" s="378"/>
      <c r="AP868" s="378"/>
      <c r="AQ868" s="378"/>
      <c r="AR868" s="378"/>
      <c r="AS868" s="378"/>
      <c r="AT868" s="378"/>
      <c r="AU868" s="378"/>
    </row>
    <row r="869" spans="1:47" x14ac:dyDescent="0.25">
      <c r="A869" s="378"/>
      <c r="B869" s="1527" t="s">
        <v>847</v>
      </c>
      <c r="C869" s="1527" t="s">
        <v>774</v>
      </c>
      <c r="D869" s="378"/>
      <c r="E869" s="1130" t="s">
        <v>867</v>
      </c>
      <c r="F869" s="1121"/>
      <c r="G869" s="1545"/>
      <c r="H869" s="1545" t="s">
        <v>868</v>
      </c>
      <c r="I869" s="1546"/>
      <c r="J869" s="378"/>
      <c r="K869" s="378"/>
      <c r="L869" s="378"/>
      <c r="M869" s="378"/>
      <c r="N869" s="378"/>
      <c r="O869" s="378"/>
      <c r="P869" s="378"/>
      <c r="Q869" s="378"/>
      <c r="R869" s="378"/>
      <c r="S869" s="378"/>
      <c r="T869" s="378"/>
      <c r="U869" s="378"/>
      <c r="V869" s="378"/>
      <c r="W869" s="378"/>
      <c r="X869" s="378"/>
      <c r="Y869" s="378"/>
      <c r="Z869" s="378"/>
      <c r="AA869" s="378"/>
      <c r="AB869" s="378"/>
      <c r="AC869" s="378"/>
      <c r="AD869" s="378"/>
      <c r="AE869" s="378"/>
      <c r="AF869" s="378"/>
      <c r="AG869" s="378"/>
      <c r="AH869" s="378"/>
      <c r="AI869" s="378"/>
      <c r="AJ869" s="378"/>
      <c r="AK869" s="378"/>
      <c r="AL869" s="378"/>
      <c r="AM869" s="378"/>
      <c r="AN869" s="378"/>
      <c r="AO869" s="378"/>
      <c r="AP869" s="378"/>
      <c r="AQ869" s="378"/>
      <c r="AR869" s="378"/>
      <c r="AS869" s="378"/>
      <c r="AT869" s="378"/>
      <c r="AU869" s="378"/>
    </row>
    <row r="870" spans="1:47" x14ac:dyDescent="0.25">
      <c r="A870" s="378"/>
      <c r="B870" s="1106">
        <v>0</v>
      </c>
      <c r="C870" s="1106">
        <v>0.1</v>
      </c>
      <c r="D870" s="378"/>
      <c r="E870" s="1123" t="s">
        <v>852</v>
      </c>
      <c r="F870" s="461">
        <v>0.30199999999999999</v>
      </c>
      <c r="G870" s="461"/>
      <c r="H870" s="1039" t="s">
        <v>852</v>
      </c>
      <c r="I870" s="1099">
        <v>0.1</v>
      </c>
      <c r="J870" s="378"/>
      <c r="K870" s="378"/>
      <c r="L870" s="378"/>
      <c r="M870" s="378"/>
      <c r="N870" s="378"/>
      <c r="O870" s="378"/>
      <c r="P870" s="378"/>
      <c r="Q870" s="378"/>
      <c r="R870" s="378"/>
      <c r="S870" s="378"/>
      <c r="T870" s="378"/>
      <c r="U870" s="378"/>
      <c r="V870" s="378"/>
      <c r="W870" s="378"/>
      <c r="X870" s="378"/>
      <c r="Y870" s="378"/>
      <c r="Z870" s="378"/>
      <c r="AA870" s="378"/>
      <c r="AB870" s="378"/>
      <c r="AC870" s="378"/>
      <c r="AD870" s="378"/>
      <c r="AE870" s="378"/>
      <c r="AF870" s="378"/>
      <c r="AG870" s="378"/>
      <c r="AH870" s="378"/>
      <c r="AI870" s="378"/>
      <c r="AJ870" s="378"/>
      <c r="AK870" s="378"/>
      <c r="AL870" s="378"/>
      <c r="AM870" s="378"/>
      <c r="AN870" s="378"/>
      <c r="AO870" s="378"/>
      <c r="AP870" s="378"/>
      <c r="AQ870" s="378"/>
      <c r="AR870" s="378"/>
      <c r="AS870" s="378"/>
      <c r="AT870" s="378"/>
      <c r="AU870" s="378"/>
    </row>
    <row r="871" spans="1:47" x14ac:dyDescent="0.25">
      <c r="A871" s="378"/>
      <c r="B871" s="1106">
        <v>0.81</v>
      </c>
      <c r="C871" s="1106">
        <v>0.25</v>
      </c>
      <c r="D871" s="378"/>
      <c r="E871" s="1123" t="s">
        <v>805</v>
      </c>
      <c r="F871" s="461">
        <v>8.5099999999999995E-2</v>
      </c>
      <c r="G871" s="461"/>
      <c r="H871" s="468" t="s">
        <v>805</v>
      </c>
      <c r="I871" s="1099">
        <v>0.19170000000000001</v>
      </c>
      <c r="J871" s="378"/>
      <c r="K871" s="378"/>
      <c r="L871" s="378"/>
      <c r="M871" s="378"/>
      <c r="N871" s="378"/>
      <c r="O871" s="378"/>
      <c r="P871" s="378"/>
      <c r="Q871" s="378"/>
      <c r="R871" s="378"/>
      <c r="S871" s="378"/>
      <c r="T871" s="378"/>
      <c r="U871" s="378"/>
      <c r="V871" s="378"/>
      <c r="W871" s="378"/>
      <c r="X871" s="378"/>
      <c r="Y871" s="378"/>
      <c r="Z871" s="378"/>
      <c r="AA871" s="378"/>
      <c r="AB871" s="378"/>
      <c r="AC871" s="378"/>
      <c r="AD871" s="378"/>
      <c r="AE871" s="378"/>
      <c r="AF871" s="378"/>
      <c r="AG871" s="378"/>
      <c r="AH871" s="378"/>
      <c r="AI871" s="378"/>
      <c r="AJ871" s="378"/>
      <c r="AK871" s="378"/>
      <c r="AL871" s="378"/>
      <c r="AM871" s="378"/>
      <c r="AN871" s="378"/>
      <c r="AO871" s="378"/>
      <c r="AP871" s="378"/>
      <c r="AQ871" s="378"/>
      <c r="AR871" s="378"/>
      <c r="AS871" s="378"/>
      <c r="AT871" s="378"/>
      <c r="AU871" s="378"/>
    </row>
    <row r="872" spans="1:47" x14ac:dyDescent="0.25">
      <c r="A872" s="378"/>
      <c r="B872" s="1106">
        <v>2.31</v>
      </c>
      <c r="C872" s="1106">
        <v>0.5</v>
      </c>
      <c r="D872" s="378"/>
      <c r="E872" s="1131" t="s">
        <v>853</v>
      </c>
      <c r="F872" s="1115">
        <v>2.9999999999999997E-4</v>
      </c>
      <c r="G872" s="1115"/>
      <c r="H872" s="1116" t="s">
        <v>853</v>
      </c>
      <c r="I872" s="1138">
        <v>-8.0000000000000002E-3</v>
      </c>
      <c r="J872" s="378"/>
      <c r="K872" s="378"/>
      <c r="L872" s="378"/>
      <c r="M872" s="378"/>
      <c r="N872" s="378"/>
      <c r="O872" s="378"/>
      <c r="P872" s="378"/>
      <c r="Q872" s="378"/>
      <c r="R872" s="378"/>
      <c r="S872" s="378"/>
      <c r="T872" s="378"/>
      <c r="U872" s="378"/>
      <c r="V872" s="378"/>
      <c r="W872" s="378"/>
      <c r="X872" s="378"/>
      <c r="Y872" s="378"/>
      <c r="Z872" s="378"/>
      <c r="AA872" s="378"/>
      <c r="AB872" s="378"/>
      <c r="AC872" s="378"/>
      <c r="AD872" s="378"/>
      <c r="AE872" s="378"/>
      <c r="AF872" s="378"/>
      <c r="AG872" s="378"/>
      <c r="AH872" s="378"/>
      <c r="AI872" s="378"/>
      <c r="AJ872" s="378"/>
      <c r="AK872" s="378"/>
      <c r="AL872" s="378"/>
      <c r="AM872" s="378"/>
      <c r="AN872" s="378"/>
      <c r="AO872" s="378"/>
      <c r="AP872" s="378"/>
      <c r="AQ872" s="378"/>
      <c r="AR872" s="378"/>
      <c r="AS872" s="378"/>
      <c r="AT872" s="378"/>
      <c r="AU872" s="378"/>
    </row>
    <row r="873" spans="1:47" x14ac:dyDescent="0.25">
      <c r="A873" s="378"/>
      <c r="B873" s="1106">
        <v>4.6100000000000003</v>
      </c>
      <c r="C873" s="1106">
        <v>0.7</v>
      </c>
      <c r="D873" s="378"/>
      <c r="E873" s="1111" t="s">
        <v>101</v>
      </c>
      <c r="F873" s="1111">
        <f>F870+F871*'3 INDICADORES'!C232+F872*'3 INDICADORES'!C232^2</f>
        <v>0.30199999999999999</v>
      </c>
      <c r="G873" s="1111">
        <f>I870+I871*'3 INDICADORES'!C232+I872*'3 INDICADORES'!C232^2</f>
        <v>0.1</v>
      </c>
      <c r="H873" s="1111">
        <f>IF('3 INDICADORES'!C232&lt;=2.31,G873,F873)</f>
        <v>0.1</v>
      </c>
      <c r="I873" s="45"/>
      <c r="J873" s="378"/>
      <c r="K873" s="378"/>
      <c r="L873" s="378"/>
      <c r="M873" s="378"/>
      <c r="N873" s="378"/>
      <c r="O873" s="378"/>
      <c r="P873" s="378"/>
      <c r="Q873" s="378"/>
      <c r="R873" s="378"/>
      <c r="S873" s="378"/>
      <c r="T873" s="378"/>
      <c r="U873" s="378"/>
      <c r="V873" s="378"/>
      <c r="W873" s="378"/>
      <c r="X873" s="378"/>
      <c r="Y873" s="378"/>
      <c r="Z873" s="378"/>
      <c r="AA873" s="378"/>
      <c r="AB873" s="378"/>
      <c r="AC873" s="378"/>
      <c r="AD873" s="378"/>
      <c r="AE873" s="378"/>
      <c r="AF873" s="378"/>
      <c r="AG873" s="378"/>
      <c r="AH873" s="378"/>
      <c r="AI873" s="378"/>
      <c r="AJ873" s="378"/>
      <c r="AK873" s="378"/>
      <c r="AL873" s="378"/>
      <c r="AM873" s="378"/>
      <c r="AN873" s="378"/>
      <c r="AO873" s="378"/>
      <c r="AP873" s="378"/>
      <c r="AQ873" s="378"/>
      <c r="AR873" s="378"/>
      <c r="AS873" s="378"/>
      <c r="AT873" s="378"/>
      <c r="AU873" s="378"/>
    </row>
    <row r="874" spans="1:47" x14ac:dyDescent="0.25">
      <c r="A874" s="378"/>
      <c r="B874" s="1106">
        <v>8</v>
      </c>
      <c r="C874" s="1106">
        <v>1</v>
      </c>
      <c r="D874" s="378"/>
      <c r="E874" s="378"/>
      <c r="F874" s="378"/>
      <c r="G874" s="378"/>
      <c r="H874" s="378"/>
      <c r="I874" s="378"/>
      <c r="J874" s="378"/>
      <c r="K874" s="378"/>
      <c r="L874" s="378"/>
      <c r="M874" s="378"/>
      <c r="N874" s="378"/>
      <c r="O874" s="378"/>
      <c r="P874" s="378"/>
      <c r="Q874" s="378"/>
      <c r="R874" s="378"/>
      <c r="S874" s="378"/>
      <c r="T874" s="378"/>
      <c r="U874" s="378"/>
      <c r="V874" s="378"/>
      <c r="W874" s="378"/>
      <c r="X874" s="378"/>
      <c r="Y874" s="378"/>
      <c r="Z874" s="378"/>
      <c r="AA874" s="378"/>
      <c r="AB874" s="378"/>
      <c r="AC874" s="378"/>
      <c r="AD874" s="378"/>
      <c r="AE874" s="378"/>
      <c r="AF874" s="378"/>
      <c r="AG874" s="378"/>
      <c r="AH874" s="378"/>
      <c r="AI874" s="378"/>
      <c r="AJ874" s="378"/>
      <c r="AK874" s="378"/>
      <c r="AL874" s="378"/>
      <c r="AM874" s="378"/>
      <c r="AN874" s="378"/>
      <c r="AO874" s="378"/>
      <c r="AP874" s="378"/>
      <c r="AQ874" s="378"/>
      <c r="AR874" s="378"/>
      <c r="AS874" s="378"/>
      <c r="AT874" s="378"/>
      <c r="AU874" s="378"/>
    </row>
    <row r="875" spans="1:47" x14ac:dyDescent="0.25">
      <c r="A875" s="378"/>
      <c r="B875" s="378"/>
      <c r="C875" s="378"/>
      <c r="D875" s="378"/>
      <c r="E875" s="378"/>
      <c r="F875" s="378"/>
      <c r="G875" s="378"/>
      <c r="H875" s="378"/>
      <c r="I875" s="378"/>
      <c r="J875" s="378"/>
      <c r="K875" s="378"/>
      <c r="L875" s="378"/>
      <c r="M875" s="378"/>
      <c r="N875" s="378"/>
      <c r="O875" s="378"/>
      <c r="P875" s="378"/>
      <c r="Q875" s="378"/>
      <c r="R875" s="378"/>
      <c r="S875" s="378"/>
      <c r="T875" s="378"/>
      <c r="U875" s="378"/>
      <c r="V875" s="378"/>
      <c r="W875" s="378"/>
      <c r="X875" s="378"/>
      <c r="Y875" s="378"/>
      <c r="Z875" s="378"/>
      <c r="AA875" s="378"/>
      <c r="AB875" s="378"/>
      <c r="AC875" s="378"/>
      <c r="AD875" s="378"/>
      <c r="AE875" s="378"/>
      <c r="AF875" s="378"/>
      <c r="AG875" s="378"/>
      <c r="AH875" s="378"/>
      <c r="AI875" s="378"/>
      <c r="AJ875" s="378"/>
      <c r="AK875" s="378"/>
      <c r="AL875" s="378"/>
      <c r="AM875" s="378"/>
      <c r="AN875" s="378"/>
      <c r="AO875" s="378"/>
      <c r="AP875" s="378"/>
      <c r="AQ875" s="378"/>
      <c r="AR875" s="378"/>
      <c r="AS875" s="378"/>
      <c r="AT875" s="378"/>
      <c r="AU875" s="378"/>
    </row>
    <row r="876" spans="1:47" x14ac:dyDescent="0.25">
      <c r="A876" s="378"/>
      <c r="B876" s="1977" t="s">
        <v>885</v>
      </c>
      <c r="C876" s="1977"/>
      <c r="D876" s="1977"/>
      <c r="E876" s="1977"/>
      <c r="F876" s="1977"/>
      <c r="G876" s="1977"/>
      <c r="H876" s="378"/>
      <c r="I876" s="378"/>
      <c r="J876" s="378"/>
      <c r="K876" s="378"/>
      <c r="L876" s="378"/>
      <c r="M876" s="378"/>
      <c r="N876" s="378"/>
      <c r="O876" s="378"/>
      <c r="P876" s="378"/>
      <c r="Q876" s="378"/>
      <c r="R876" s="378"/>
      <c r="S876" s="378"/>
      <c r="T876" s="378"/>
      <c r="U876" s="378"/>
      <c r="V876" s="378"/>
      <c r="W876" s="378"/>
      <c r="X876" s="378"/>
      <c r="Y876" s="378"/>
      <c r="Z876" s="378"/>
      <c r="AA876" s="378"/>
      <c r="AB876" s="378"/>
      <c r="AC876" s="378"/>
      <c r="AD876" s="378"/>
      <c r="AE876" s="378"/>
      <c r="AF876" s="378"/>
      <c r="AG876" s="378"/>
      <c r="AH876" s="378"/>
      <c r="AI876" s="378"/>
      <c r="AJ876" s="378"/>
      <c r="AK876" s="378"/>
      <c r="AL876" s="378"/>
      <c r="AM876" s="378"/>
      <c r="AN876" s="378"/>
      <c r="AO876" s="378"/>
      <c r="AP876" s="378"/>
      <c r="AQ876" s="378"/>
      <c r="AR876" s="378"/>
      <c r="AS876" s="378"/>
      <c r="AT876" s="378"/>
      <c r="AU876" s="378"/>
    </row>
    <row r="877" spans="1:47" x14ac:dyDescent="0.25">
      <c r="A877" s="378"/>
      <c r="B877" s="361"/>
      <c r="C877" s="45"/>
      <c r="D877" s="45"/>
      <c r="E877" s="45"/>
      <c r="F877" s="45"/>
      <c r="G877" s="362"/>
      <c r="H877" s="378"/>
      <c r="I877" s="378"/>
      <c r="J877" s="378"/>
      <c r="K877" s="378"/>
      <c r="L877" s="378"/>
      <c r="M877" s="378"/>
      <c r="N877" s="378"/>
      <c r="O877" s="378"/>
      <c r="P877" s="378"/>
      <c r="Q877" s="378"/>
      <c r="R877" s="378"/>
      <c r="S877" s="378"/>
      <c r="T877" s="378"/>
      <c r="U877" s="378"/>
      <c r="V877" s="378"/>
      <c r="W877" s="378"/>
      <c r="X877" s="378"/>
      <c r="Y877" s="378"/>
      <c r="Z877" s="378"/>
      <c r="AA877" s="378"/>
      <c r="AB877" s="378"/>
      <c r="AC877" s="378"/>
      <c r="AD877" s="378"/>
      <c r="AE877" s="378"/>
      <c r="AF877" s="378"/>
      <c r="AG877" s="378"/>
      <c r="AH877" s="378"/>
      <c r="AI877" s="378"/>
      <c r="AJ877" s="378"/>
      <c r="AK877" s="378"/>
      <c r="AL877" s="378"/>
      <c r="AM877" s="378"/>
      <c r="AN877" s="378"/>
      <c r="AO877" s="378"/>
      <c r="AP877" s="378"/>
      <c r="AQ877" s="378"/>
      <c r="AR877" s="378"/>
      <c r="AS877" s="378"/>
      <c r="AT877" s="378"/>
      <c r="AU877" s="378"/>
    </row>
    <row r="878" spans="1:47" x14ac:dyDescent="0.25">
      <c r="A878" s="378"/>
      <c r="B878" s="361"/>
      <c r="C878" s="45"/>
      <c r="D878" s="45"/>
      <c r="E878" s="45"/>
      <c r="F878" s="45"/>
      <c r="G878" s="362"/>
      <c r="H878" s="378"/>
      <c r="I878" s="378"/>
      <c r="J878" s="378"/>
      <c r="K878" s="378"/>
      <c r="L878" s="378"/>
      <c r="M878" s="378"/>
      <c r="N878" s="378"/>
      <c r="O878" s="378"/>
      <c r="P878" s="378"/>
      <c r="Q878" s="378"/>
      <c r="R878" s="378"/>
      <c r="S878" s="378"/>
      <c r="T878" s="378"/>
      <c r="U878" s="378"/>
      <c r="V878" s="378"/>
      <c r="W878" s="378"/>
      <c r="X878" s="378"/>
      <c r="Y878" s="378"/>
      <c r="Z878" s="378"/>
      <c r="AA878" s="378"/>
      <c r="AB878" s="378"/>
      <c r="AC878" s="378"/>
      <c r="AD878" s="378"/>
      <c r="AE878" s="378"/>
      <c r="AF878" s="378"/>
      <c r="AG878" s="378"/>
      <c r="AH878" s="378"/>
      <c r="AI878" s="378"/>
      <c r="AJ878" s="378"/>
      <c r="AK878" s="378"/>
      <c r="AL878" s="378"/>
      <c r="AM878" s="378"/>
      <c r="AN878" s="378"/>
      <c r="AO878" s="378"/>
      <c r="AP878" s="378"/>
      <c r="AQ878" s="378"/>
      <c r="AR878" s="378"/>
      <c r="AS878" s="378"/>
      <c r="AT878" s="378"/>
      <c r="AU878" s="378"/>
    </row>
    <row r="879" spans="1:47" x14ac:dyDescent="0.25">
      <c r="A879" s="378"/>
      <c r="B879" s="361"/>
      <c r="C879" s="45"/>
      <c r="D879" s="45"/>
      <c r="E879" s="45"/>
      <c r="F879" s="45"/>
      <c r="G879" s="362"/>
      <c r="H879" s="378"/>
      <c r="I879" s="378"/>
      <c r="J879" s="378"/>
      <c r="K879" s="378"/>
      <c r="L879" s="378"/>
      <c r="M879" s="378"/>
      <c r="N879" s="378"/>
      <c r="O879" s="378"/>
      <c r="P879" s="378"/>
      <c r="Q879" s="378"/>
      <c r="R879" s="378"/>
      <c r="S879" s="378"/>
      <c r="T879" s="378"/>
      <c r="U879" s="378"/>
      <c r="V879" s="378"/>
      <c r="W879" s="378"/>
      <c r="X879" s="378"/>
      <c r="Y879" s="378"/>
      <c r="Z879" s="378"/>
      <c r="AA879" s="378"/>
      <c r="AB879" s="378"/>
      <c r="AC879" s="378"/>
      <c r="AD879" s="378"/>
      <c r="AE879" s="378"/>
      <c r="AF879" s="378"/>
      <c r="AG879" s="378"/>
      <c r="AH879" s="378"/>
      <c r="AI879" s="378"/>
      <c r="AJ879" s="378"/>
      <c r="AK879" s="378"/>
      <c r="AL879" s="378"/>
      <c r="AM879" s="378"/>
      <c r="AN879" s="378"/>
      <c r="AO879" s="378"/>
      <c r="AP879" s="378"/>
      <c r="AQ879" s="378"/>
      <c r="AR879" s="378"/>
      <c r="AS879" s="378"/>
      <c r="AT879" s="378"/>
      <c r="AU879" s="378"/>
    </row>
    <row r="880" spans="1:47" x14ac:dyDescent="0.25">
      <c r="A880" s="378"/>
      <c r="B880" s="361"/>
      <c r="C880" s="45"/>
      <c r="D880" s="45"/>
      <c r="E880" s="45"/>
      <c r="F880" s="45"/>
      <c r="G880" s="362"/>
      <c r="H880" s="378"/>
      <c r="I880" s="378"/>
      <c r="J880" s="378"/>
      <c r="K880" s="378"/>
      <c r="L880" s="378"/>
      <c r="M880" s="378"/>
      <c r="N880" s="378"/>
      <c r="O880" s="378"/>
      <c r="P880" s="378"/>
      <c r="Q880" s="378"/>
      <c r="R880" s="378"/>
      <c r="S880" s="378"/>
      <c r="T880" s="378"/>
      <c r="U880" s="378"/>
      <c r="V880" s="378"/>
      <c r="W880" s="378"/>
      <c r="X880" s="378"/>
      <c r="Y880" s="378"/>
      <c r="Z880" s="378"/>
      <c r="AA880" s="378"/>
      <c r="AB880" s="378"/>
      <c r="AC880" s="378"/>
      <c r="AD880" s="378"/>
      <c r="AE880" s="378"/>
      <c r="AF880" s="378"/>
      <c r="AG880" s="378"/>
      <c r="AH880" s="378"/>
      <c r="AI880" s="378"/>
      <c r="AJ880" s="378"/>
      <c r="AK880" s="378"/>
      <c r="AL880" s="378"/>
      <c r="AM880" s="378"/>
      <c r="AN880" s="378"/>
      <c r="AO880" s="378"/>
      <c r="AP880" s="378"/>
      <c r="AQ880" s="378"/>
      <c r="AR880" s="378"/>
      <c r="AS880" s="378"/>
      <c r="AT880" s="378"/>
      <c r="AU880" s="378"/>
    </row>
    <row r="881" spans="1:47" x14ac:dyDescent="0.25">
      <c r="A881" s="378"/>
      <c r="B881" s="361"/>
      <c r="C881" s="45"/>
      <c r="D881" s="45"/>
      <c r="E881" s="45"/>
      <c r="F881" s="45"/>
      <c r="G881" s="362"/>
      <c r="H881" s="378"/>
      <c r="I881" s="378"/>
      <c r="J881" s="378"/>
      <c r="K881" s="378"/>
      <c r="L881" s="378"/>
      <c r="M881" s="378"/>
      <c r="N881" s="378"/>
      <c r="O881" s="378"/>
      <c r="P881" s="378"/>
      <c r="Q881" s="378"/>
      <c r="R881" s="378"/>
      <c r="S881" s="378"/>
      <c r="T881" s="378"/>
      <c r="U881" s="378"/>
      <c r="V881" s="378"/>
      <c r="W881" s="378"/>
      <c r="X881" s="378"/>
      <c r="Y881" s="378"/>
      <c r="Z881" s="378"/>
      <c r="AA881" s="378"/>
      <c r="AB881" s="378"/>
      <c r="AC881" s="378"/>
      <c r="AD881" s="378"/>
      <c r="AE881" s="378"/>
      <c r="AF881" s="378"/>
      <c r="AG881" s="378"/>
      <c r="AH881" s="378"/>
      <c r="AI881" s="378"/>
      <c r="AJ881" s="378"/>
      <c r="AK881" s="378"/>
      <c r="AL881" s="378"/>
      <c r="AM881" s="378"/>
      <c r="AN881" s="378"/>
      <c r="AO881" s="378"/>
      <c r="AP881" s="378"/>
      <c r="AQ881" s="378"/>
      <c r="AR881" s="378"/>
      <c r="AS881" s="378"/>
      <c r="AT881" s="378"/>
      <c r="AU881" s="378"/>
    </row>
    <row r="882" spans="1:47" x14ac:dyDescent="0.25">
      <c r="A882" s="378"/>
      <c r="B882" s="361"/>
      <c r="C882" s="45"/>
      <c r="D882" s="45"/>
      <c r="E882" s="45"/>
      <c r="F882" s="45"/>
      <c r="G882" s="362"/>
      <c r="H882" s="378"/>
      <c r="I882" s="378"/>
      <c r="J882" s="378"/>
      <c r="K882" s="378"/>
      <c r="L882" s="378"/>
      <c r="M882" s="378"/>
      <c r="N882" s="378"/>
      <c r="O882" s="378"/>
      <c r="P882" s="378"/>
      <c r="Q882" s="378"/>
      <c r="R882" s="378"/>
      <c r="S882" s="378"/>
      <c r="T882" s="378"/>
      <c r="U882" s="378"/>
      <c r="V882" s="378"/>
      <c r="W882" s="378"/>
      <c r="X882" s="378"/>
      <c r="Y882" s="378"/>
      <c r="Z882" s="378"/>
      <c r="AA882" s="378"/>
      <c r="AB882" s="378"/>
      <c r="AC882" s="378"/>
      <c r="AD882" s="378"/>
      <c r="AE882" s="378"/>
      <c r="AF882" s="378"/>
      <c r="AG882" s="378"/>
      <c r="AH882" s="378"/>
      <c r="AI882" s="378"/>
      <c r="AJ882" s="378"/>
      <c r="AK882" s="378"/>
      <c r="AL882" s="378"/>
      <c r="AM882" s="378"/>
      <c r="AN882" s="378"/>
      <c r="AO882" s="378"/>
      <c r="AP882" s="378"/>
      <c r="AQ882" s="378"/>
      <c r="AR882" s="378"/>
      <c r="AS882" s="378"/>
      <c r="AT882" s="378"/>
      <c r="AU882" s="378"/>
    </row>
    <row r="883" spans="1:47" x14ac:dyDescent="0.25">
      <c r="A883" s="378"/>
      <c r="B883" s="363"/>
      <c r="C883" s="356"/>
      <c r="D883" s="356"/>
      <c r="E883" s="356"/>
      <c r="F883" s="356"/>
      <c r="G883" s="357"/>
      <c r="H883" s="378"/>
      <c r="I883" s="378"/>
      <c r="J883" s="378"/>
      <c r="K883" s="378"/>
      <c r="L883" s="378"/>
      <c r="M883" s="378"/>
      <c r="N883" s="378"/>
      <c r="O883" s="378"/>
      <c r="P883" s="378"/>
      <c r="Q883" s="378"/>
      <c r="R883" s="378"/>
      <c r="S883" s="378"/>
      <c r="T883" s="378"/>
      <c r="U883" s="378"/>
      <c r="V883" s="378"/>
      <c r="W883" s="378"/>
      <c r="X883" s="378"/>
      <c r="Y883" s="378"/>
      <c r="Z883" s="378"/>
      <c r="AA883" s="378"/>
      <c r="AB883" s="378"/>
      <c r="AC883" s="378"/>
      <c r="AD883" s="378"/>
      <c r="AE883" s="378"/>
      <c r="AF883" s="378"/>
      <c r="AG883" s="378"/>
      <c r="AH883" s="378"/>
      <c r="AI883" s="378"/>
      <c r="AJ883" s="378"/>
      <c r="AK883" s="378"/>
      <c r="AL883" s="378"/>
      <c r="AM883" s="378"/>
      <c r="AN883" s="378"/>
      <c r="AO883" s="378"/>
      <c r="AP883" s="378"/>
      <c r="AQ883" s="378"/>
      <c r="AR883" s="378"/>
      <c r="AS883" s="378"/>
      <c r="AT883" s="378"/>
      <c r="AU883" s="378"/>
    </row>
    <row r="884" spans="1:47" x14ac:dyDescent="0.25">
      <c r="A884" s="378"/>
      <c r="B884" s="378"/>
      <c r="C884" s="378"/>
      <c r="D884" s="378"/>
      <c r="E884" s="378"/>
      <c r="F884" s="378"/>
      <c r="G884" s="378"/>
      <c r="H884" s="378"/>
      <c r="I884" s="378"/>
      <c r="J884" s="378"/>
      <c r="K884" s="378"/>
      <c r="L884" s="378"/>
      <c r="M884" s="378"/>
      <c r="N884" s="378"/>
      <c r="O884" s="378"/>
      <c r="P884" s="378"/>
      <c r="Q884" s="378"/>
      <c r="R884" s="378"/>
      <c r="S884" s="378"/>
      <c r="T884" s="378"/>
      <c r="U884" s="378"/>
      <c r="V884" s="378"/>
      <c r="W884" s="378"/>
      <c r="X884" s="378"/>
      <c r="Y884" s="378"/>
      <c r="Z884" s="378"/>
      <c r="AA884" s="378"/>
      <c r="AB884" s="378"/>
      <c r="AC884" s="378"/>
      <c r="AD884" s="378"/>
      <c r="AE884" s="378"/>
      <c r="AF884" s="378"/>
      <c r="AG884" s="378"/>
      <c r="AH884" s="378"/>
      <c r="AI884" s="378"/>
      <c r="AJ884" s="378"/>
      <c r="AK884" s="378"/>
      <c r="AL884" s="378"/>
      <c r="AM884" s="378"/>
      <c r="AN884" s="378"/>
      <c r="AO884" s="378"/>
      <c r="AP884" s="378"/>
      <c r="AQ884" s="378"/>
      <c r="AR884" s="378"/>
      <c r="AS884" s="378"/>
      <c r="AT884" s="378"/>
      <c r="AU884" s="378"/>
    </row>
    <row r="885" spans="1:47" ht="15.75" x14ac:dyDescent="0.25">
      <c r="A885" s="752"/>
      <c r="B885" s="1977" t="s">
        <v>886</v>
      </c>
      <c r="C885" s="1977"/>
      <c r="D885" s="378"/>
      <c r="E885" s="1977" t="s">
        <v>887</v>
      </c>
      <c r="F885" s="1977"/>
      <c r="G885" s="1977"/>
      <c r="H885" s="1977"/>
      <c r="I885" s="1977"/>
      <c r="J885" s="378"/>
      <c r="K885" s="378"/>
      <c r="L885" s="378"/>
      <c r="M885" s="378"/>
      <c r="N885" s="378"/>
      <c r="O885" s="378"/>
      <c r="P885" s="378"/>
      <c r="Q885" s="378"/>
      <c r="R885" s="378"/>
      <c r="S885" s="378"/>
      <c r="T885" s="378"/>
      <c r="U885" s="378"/>
      <c r="V885" s="378"/>
      <c r="W885" s="378"/>
      <c r="X885" s="378"/>
      <c r="Y885" s="378"/>
      <c r="Z885" s="378"/>
      <c r="AA885" s="378"/>
      <c r="AB885" s="378"/>
      <c r="AC885" s="378"/>
      <c r="AD885" s="378"/>
      <c r="AE885" s="378"/>
      <c r="AF885" s="378"/>
      <c r="AG885" s="378"/>
      <c r="AH885" s="378"/>
      <c r="AI885" s="378"/>
      <c r="AJ885" s="378"/>
      <c r="AK885" s="378"/>
      <c r="AL885" s="378"/>
      <c r="AM885" s="378"/>
      <c r="AN885" s="378"/>
      <c r="AO885" s="378"/>
      <c r="AP885" s="378"/>
      <c r="AQ885" s="378"/>
      <c r="AR885" s="378"/>
      <c r="AS885" s="378"/>
      <c r="AT885" s="378"/>
      <c r="AU885" s="378"/>
    </row>
    <row r="886" spans="1:47" x14ac:dyDescent="0.25">
      <c r="A886" s="378"/>
      <c r="B886" s="1528" t="s">
        <v>847</v>
      </c>
      <c r="C886" s="1528" t="s">
        <v>774</v>
      </c>
      <c r="D886" s="378"/>
      <c r="E886" s="2216" t="s">
        <v>888</v>
      </c>
      <c r="F886" s="2143"/>
      <c r="G886" s="2245" t="s">
        <v>889</v>
      </c>
      <c r="H886" s="2245"/>
      <c r="I886" s="2246"/>
      <c r="J886" s="378"/>
      <c r="K886" s="378"/>
      <c r="L886" s="378"/>
      <c r="M886" s="378"/>
      <c r="N886" s="378"/>
      <c r="O886" s="378"/>
      <c r="P886" s="378"/>
      <c r="Q886" s="378"/>
      <c r="R886" s="378"/>
      <c r="S886" s="378"/>
      <c r="T886" s="378"/>
      <c r="U886" s="378"/>
      <c r="V886" s="378"/>
      <c r="W886" s="378"/>
      <c r="X886" s="378"/>
      <c r="Y886" s="378"/>
      <c r="Z886" s="378"/>
      <c r="AA886" s="378"/>
      <c r="AB886" s="378"/>
      <c r="AC886" s="378"/>
      <c r="AD886" s="378"/>
      <c r="AE886" s="378"/>
      <c r="AF886" s="378"/>
      <c r="AG886" s="378"/>
      <c r="AH886" s="378"/>
      <c r="AI886" s="378"/>
      <c r="AJ886" s="378"/>
      <c r="AK886" s="378"/>
      <c r="AL886" s="378"/>
      <c r="AM886" s="378"/>
      <c r="AN886" s="378"/>
      <c r="AO886" s="378"/>
      <c r="AP886" s="378"/>
      <c r="AQ886" s="378"/>
      <c r="AR886" s="378"/>
      <c r="AS886" s="378"/>
      <c r="AT886" s="378"/>
      <c r="AU886" s="378"/>
    </row>
    <row r="887" spans="1:47" x14ac:dyDescent="0.25">
      <c r="A887" s="378"/>
      <c r="B887" s="1106">
        <v>0</v>
      </c>
      <c r="C887" s="1106">
        <v>0.1</v>
      </c>
      <c r="D887" s="378"/>
      <c r="E887" s="1123" t="s">
        <v>852</v>
      </c>
      <c r="F887" s="461">
        <v>0.3</v>
      </c>
      <c r="G887" s="461"/>
      <c r="H887" s="461" t="s">
        <v>852</v>
      </c>
      <c r="I887" s="1099">
        <v>0.1</v>
      </c>
      <c r="J887" s="378"/>
      <c r="K887" s="378"/>
      <c r="L887" s="378"/>
      <c r="M887" s="378"/>
      <c r="N887" s="378"/>
      <c r="O887" s="378"/>
      <c r="P887" s="378"/>
      <c r="Q887" s="378"/>
      <c r="R887" s="378"/>
      <c r="S887" s="378"/>
      <c r="T887" s="378"/>
      <c r="U887" s="378"/>
      <c r="V887" s="378"/>
      <c r="W887" s="378"/>
      <c r="X887" s="378"/>
      <c r="Y887" s="378"/>
      <c r="Z887" s="378"/>
      <c r="AA887" s="378"/>
      <c r="AB887" s="378"/>
      <c r="AC887" s="378"/>
      <c r="AD887" s="378"/>
      <c r="AE887" s="378"/>
      <c r="AF887" s="378"/>
      <c r="AG887" s="378"/>
      <c r="AH887" s="378"/>
      <c r="AI887" s="378"/>
      <c r="AJ887" s="378"/>
      <c r="AK887" s="378"/>
      <c r="AL887" s="378"/>
      <c r="AM887" s="378"/>
      <c r="AN887" s="378"/>
      <c r="AO887" s="378"/>
      <c r="AP887" s="378"/>
      <c r="AQ887" s="378"/>
      <c r="AR887" s="378"/>
      <c r="AS887" s="378"/>
      <c r="AT887" s="378"/>
      <c r="AU887" s="378"/>
    </row>
    <row r="888" spans="1:47" x14ac:dyDescent="0.25">
      <c r="A888" s="378"/>
      <c r="B888" s="1106">
        <v>15</v>
      </c>
      <c r="C888" s="1106">
        <v>0.25</v>
      </c>
      <c r="D888" s="378"/>
      <c r="E888" s="1123" t="s">
        <v>805</v>
      </c>
      <c r="F888" s="461">
        <v>6.7000000000000002E-3</v>
      </c>
      <c r="G888" s="461"/>
      <c r="H888" s="461" t="s">
        <v>805</v>
      </c>
      <c r="I888" s="1099">
        <v>6.7000000000000002E-3</v>
      </c>
      <c r="J888" s="378"/>
      <c r="K888" s="378"/>
      <c r="L888" s="378"/>
      <c r="M888" s="378"/>
      <c r="N888" s="378"/>
      <c r="O888" s="378"/>
      <c r="P888" s="378"/>
      <c r="Q888" s="378"/>
      <c r="R888" s="378"/>
      <c r="S888" s="378"/>
      <c r="T888" s="378"/>
      <c r="U888" s="378"/>
      <c r="V888" s="378"/>
      <c r="W888" s="378"/>
      <c r="X888" s="378"/>
      <c r="Y888" s="378"/>
      <c r="Z888" s="378"/>
      <c r="AA888" s="378"/>
      <c r="AB888" s="378"/>
      <c r="AC888" s="378"/>
      <c r="AD888" s="378"/>
      <c r="AE888" s="378"/>
      <c r="AF888" s="378"/>
      <c r="AG888" s="378"/>
      <c r="AH888" s="378"/>
      <c r="AI888" s="378"/>
      <c r="AJ888" s="378"/>
      <c r="AK888" s="378"/>
      <c r="AL888" s="378"/>
      <c r="AM888" s="378"/>
      <c r="AN888" s="378"/>
      <c r="AO888" s="378"/>
      <c r="AP888" s="378"/>
      <c r="AQ888" s="378"/>
      <c r="AR888" s="378"/>
      <c r="AS888" s="378"/>
      <c r="AT888" s="378"/>
      <c r="AU888" s="378"/>
    </row>
    <row r="889" spans="1:47" x14ac:dyDescent="0.25">
      <c r="A889" s="378"/>
      <c r="B889" s="1106">
        <v>30</v>
      </c>
      <c r="C889" s="1106">
        <v>0.5</v>
      </c>
      <c r="D889" s="378"/>
      <c r="E889" s="1131"/>
      <c r="F889" s="1115"/>
      <c r="G889" s="1115"/>
      <c r="H889" s="1116" t="s">
        <v>853</v>
      </c>
      <c r="I889" s="1138">
        <v>2.0000000000000001E-4</v>
      </c>
      <c r="J889" s="378"/>
      <c r="K889" s="378"/>
      <c r="L889" s="378"/>
      <c r="M889" s="378"/>
      <c r="N889" s="378"/>
      <c r="O889" s="378"/>
      <c r="P889" s="378"/>
      <c r="Q889" s="378"/>
      <c r="R889" s="378"/>
      <c r="S889" s="378"/>
      <c r="T889" s="378"/>
      <c r="U889" s="378"/>
      <c r="V889" s="378"/>
      <c r="W889" s="378"/>
      <c r="X889" s="378"/>
      <c r="Y889" s="378"/>
      <c r="Z889" s="378"/>
      <c r="AA889" s="378"/>
      <c r="AB889" s="378"/>
      <c r="AC889" s="378"/>
      <c r="AD889" s="378"/>
      <c r="AE889" s="378"/>
      <c r="AF889" s="378"/>
      <c r="AG889" s="378"/>
      <c r="AH889" s="378"/>
      <c r="AI889" s="378"/>
      <c r="AJ889" s="378"/>
      <c r="AK889" s="378"/>
      <c r="AL889" s="378"/>
      <c r="AM889" s="378"/>
      <c r="AN889" s="378"/>
      <c r="AO889" s="378"/>
      <c r="AP889" s="378"/>
      <c r="AQ889" s="378"/>
      <c r="AR889" s="378"/>
      <c r="AS889" s="378"/>
      <c r="AT889" s="378"/>
      <c r="AU889" s="378"/>
    </row>
    <row r="890" spans="1:47" x14ac:dyDescent="0.25">
      <c r="A890" s="378"/>
      <c r="B890" s="1106">
        <v>60</v>
      </c>
      <c r="C890" s="1106">
        <v>0.7</v>
      </c>
      <c r="D890" s="378"/>
      <c r="E890" s="1111" t="s">
        <v>101</v>
      </c>
      <c r="F890" s="1111">
        <f>F887+F888*'3 INDICADORES'!C239</f>
        <v>0.3</v>
      </c>
      <c r="G890" s="1111">
        <f>I887+I888*'3 INDICADORES'!C239+I889*'3 INDICADORES'!C239^2</f>
        <v>0.1</v>
      </c>
      <c r="H890" s="1139">
        <f>IF('3 INDICADORES'!C239&lt;30,G890,F890)</f>
        <v>0.1</v>
      </c>
      <c r="I890" s="532"/>
      <c r="J890" s="378"/>
      <c r="K890" s="378"/>
      <c r="L890" s="378"/>
      <c r="M890" s="378"/>
      <c r="N890" s="378"/>
      <c r="O890" s="378"/>
      <c r="P890" s="378"/>
      <c r="Q890" s="378"/>
      <c r="R890" s="378"/>
      <c r="S890" s="378"/>
      <c r="T890" s="378"/>
      <c r="U890" s="378"/>
      <c r="V890" s="378"/>
      <c r="W890" s="378"/>
      <c r="X890" s="378"/>
      <c r="Y890" s="378"/>
      <c r="Z890" s="378"/>
      <c r="AA890" s="378"/>
      <c r="AB890" s="378"/>
      <c r="AC890" s="378"/>
      <c r="AD890" s="378"/>
      <c r="AE890" s="378"/>
      <c r="AF890" s="378"/>
      <c r="AG890" s="378"/>
      <c r="AH890" s="378"/>
      <c r="AI890" s="378"/>
      <c r="AJ890" s="378"/>
      <c r="AK890" s="378"/>
      <c r="AL890" s="378"/>
      <c r="AM890" s="378"/>
      <c r="AN890" s="378"/>
      <c r="AO890" s="378"/>
      <c r="AP890" s="378"/>
      <c r="AQ890" s="378"/>
      <c r="AR890" s="378"/>
      <c r="AS890" s="378"/>
      <c r="AT890" s="378"/>
      <c r="AU890" s="378"/>
    </row>
    <row r="891" spans="1:47" x14ac:dyDescent="0.25">
      <c r="A891" s="378"/>
      <c r="B891" s="1106">
        <v>61</v>
      </c>
      <c r="C891" s="1106">
        <v>1</v>
      </c>
      <c r="D891" s="378"/>
      <c r="E891" s="378"/>
      <c r="F891" s="378"/>
      <c r="G891" s="378"/>
      <c r="H891" s="378"/>
      <c r="I891" s="378"/>
      <c r="J891" s="378"/>
      <c r="K891" s="378"/>
      <c r="L891" s="378"/>
      <c r="M891" s="378"/>
      <c r="N891" s="378"/>
      <c r="O891" s="378"/>
      <c r="P891" s="378"/>
      <c r="Q891" s="378"/>
      <c r="R891" s="378"/>
      <c r="S891" s="378"/>
      <c r="T891" s="378"/>
      <c r="U891" s="378"/>
      <c r="V891" s="378"/>
      <c r="W891" s="378"/>
      <c r="X891" s="378"/>
      <c r="Y891" s="378"/>
      <c r="Z891" s="378"/>
      <c r="AA891" s="378"/>
      <c r="AB891" s="378"/>
      <c r="AC891" s="378"/>
      <c r="AD891" s="378"/>
      <c r="AE891" s="378"/>
      <c r="AF891" s="378"/>
      <c r="AG891" s="378"/>
      <c r="AH891" s="378"/>
      <c r="AI891" s="378"/>
      <c r="AJ891" s="378"/>
      <c r="AK891" s="378"/>
      <c r="AL891" s="378"/>
      <c r="AM891" s="378"/>
      <c r="AN891" s="378"/>
      <c r="AO891" s="378"/>
      <c r="AP891" s="378"/>
      <c r="AQ891" s="378"/>
      <c r="AR891" s="378"/>
      <c r="AS891" s="378"/>
      <c r="AT891" s="378"/>
      <c r="AU891" s="378"/>
    </row>
    <row r="892" spans="1:47" x14ac:dyDescent="0.25">
      <c r="A892" s="378"/>
      <c r="B892" s="378"/>
      <c r="C892" s="378"/>
      <c r="D892" s="378"/>
      <c r="E892" s="378"/>
      <c r="F892" s="378"/>
      <c r="G892" s="378"/>
      <c r="H892" s="378"/>
      <c r="I892" s="378"/>
      <c r="J892" s="378"/>
      <c r="K892" s="378"/>
      <c r="L892" s="378"/>
      <c r="M892" s="378"/>
      <c r="N892" s="378"/>
      <c r="O892" s="378"/>
      <c r="P892" s="378"/>
      <c r="Q892" s="378"/>
      <c r="R892" s="378"/>
      <c r="S892" s="378"/>
      <c r="T892" s="378"/>
      <c r="U892" s="378"/>
      <c r="V892" s="378"/>
      <c r="W892" s="378"/>
      <c r="X892" s="378"/>
      <c r="Y892" s="378"/>
      <c r="Z892" s="378"/>
      <c r="AA892" s="378"/>
      <c r="AB892" s="378"/>
      <c r="AC892" s="378"/>
      <c r="AD892" s="378"/>
      <c r="AE892" s="378"/>
      <c r="AF892" s="378"/>
      <c r="AG892" s="378"/>
      <c r="AH892" s="378"/>
      <c r="AI892" s="378"/>
      <c r="AJ892" s="378"/>
      <c r="AK892" s="378"/>
      <c r="AL892" s="378"/>
      <c r="AM892" s="378"/>
      <c r="AN892" s="378"/>
      <c r="AO892" s="378"/>
      <c r="AP892" s="378"/>
      <c r="AQ892" s="378"/>
      <c r="AR892" s="378"/>
      <c r="AS892" s="378"/>
      <c r="AT892" s="378"/>
      <c r="AU892" s="378"/>
    </row>
    <row r="893" spans="1:47" x14ac:dyDescent="0.25">
      <c r="A893" s="378"/>
      <c r="B893" s="1977" t="s">
        <v>890</v>
      </c>
      <c r="C893" s="1977"/>
      <c r="D893" s="1977"/>
      <c r="E893" s="1977"/>
      <c r="F893" s="1977"/>
      <c r="G893" s="1977"/>
      <c r="H893" s="378"/>
      <c r="I893" s="378"/>
      <c r="J893" s="378"/>
      <c r="K893" s="378"/>
      <c r="L893" s="378"/>
      <c r="M893" s="378"/>
      <c r="N893" s="378"/>
      <c r="O893" s="378"/>
      <c r="P893" s="378"/>
      <c r="Q893" s="378"/>
      <c r="R893" s="378"/>
      <c r="S893" s="378"/>
      <c r="T893" s="378"/>
      <c r="U893" s="378"/>
      <c r="V893" s="378"/>
      <c r="W893" s="378"/>
      <c r="X893" s="378"/>
      <c r="Y893" s="378"/>
      <c r="Z893" s="378"/>
      <c r="AA893" s="378"/>
      <c r="AB893" s="378"/>
      <c r="AC893" s="378"/>
      <c r="AD893" s="378"/>
      <c r="AE893" s="378"/>
      <c r="AF893" s="378"/>
      <c r="AG893" s="378"/>
      <c r="AH893" s="378"/>
      <c r="AI893" s="378"/>
      <c r="AJ893" s="378"/>
      <c r="AK893" s="378"/>
      <c r="AL893" s="378"/>
      <c r="AM893" s="378"/>
      <c r="AN893" s="378"/>
      <c r="AO893" s="378"/>
      <c r="AP893" s="378"/>
      <c r="AQ893" s="378"/>
      <c r="AR893" s="378"/>
      <c r="AS893" s="378"/>
      <c r="AT893" s="378"/>
      <c r="AU893" s="378"/>
    </row>
    <row r="894" spans="1:47" x14ac:dyDescent="0.25">
      <c r="A894" s="378"/>
      <c r="B894" s="194"/>
      <c r="C894" s="38"/>
      <c r="D894" s="38"/>
      <c r="E894" s="38"/>
      <c r="F894" s="38"/>
      <c r="G894" s="195"/>
      <c r="H894" s="378"/>
      <c r="I894" s="378"/>
      <c r="J894" s="378"/>
      <c r="K894" s="378"/>
      <c r="L894" s="378"/>
      <c r="M894" s="378"/>
      <c r="N894" s="378"/>
      <c r="O894" s="378"/>
      <c r="P894" s="378"/>
      <c r="Q894" s="378"/>
      <c r="R894" s="378"/>
      <c r="S894" s="378"/>
      <c r="T894" s="378"/>
      <c r="U894" s="378"/>
      <c r="V894" s="378"/>
      <c r="W894" s="378"/>
      <c r="X894" s="378"/>
      <c r="Y894" s="378"/>
      <c r="Z894" s="378"/>
      <c r="AA894" s="378"/>
      <c r="AB894" s="378"/>
      <c r="AC894" s="378"/>
      <c r="AD894" s="378"/>
      <c r="AE894" s="378"/>
      <c r="AF894" s="378"/>
      <c r="AG894" s="378"/>
      <c r="AH894" s="378"/>
      <c r="AI894" s="378"/>
      <c r="AJ894" s="378"/>
      <c r="AK894" s="378"/>
      <c r="AL894" s="378"/>
      <c r="AM894" s="378"/>
      <c r="AN894" s="378"/>
      <c r="AO894" s="378"/>
      <c r="AP894" s="378"/>
      <c r="AQ894" s="378"/>
      <c r="AR894" s="378"/>
      <c r="AS894" s="378"/>
      <c r="AT894" s="378"/>
      <c r="AU894" s="378"/>
    </row>
    <row r="895" spans="1:47" x14ac:dyDescent="0.25">
      <c r="A895" s="378"/>
      <c r="B895" s="194"/>
      <c r="C895" s="38"/>
      <c r="D895" s="38"/>
      <c r="E895" s="38"/>
      <c r="F895" s="38"/>
      <c r="G895" s="195"/>
      <c r="H895" s="378"/>
      <c r="I895" s="378"/>
      <c r="J895" s="378"/>
      <c r="K895" s="378"/>
      <c r="L895" s="378"/>
      <c r="M895" s="378"/>
      <c r="N895" s="378"/>
      <c r="O895" s="378"/>
      <c r="P895" s="378"/>
      <c r="Q895" s="378"/>
      <c r="R895" s="378"/>
      <c r="S895" s="378"/>
      <c r="T895" s="378"/>
      <c r="U895" s="378"/>
      <c r="V895" s="378"/>
      <c r="W895" s="378"/>
      <c r="X895" s="378"/>
      <c r="Y895" s="378"/>
      <c r="Z895" s="378"/>
      <c r="AA895" s="378"/>
      <c r="AB895" s="378"/>
      <c r="AC895" s="378"/>
      <c r="AD895" s="378"/>
      <c r="AE895" s="378"/>
      <c r="AF895" s="378"/>
      <c r="AG895" s="378"/>
      <c r="AH895" s="378"/>
      <c r="AI895" s="378"/>
      <c r="AJ895" s="378"/>
      <c r="AK895" s="378"/>
      <c r="AL895" s="378"/>
      <c r="AM895" s="378"/>
      <c r="AN895" s="378"/>
      <c r="AO895" s="378"/>
      <c r="AP895" s="378"/>
      <c r="AQ895" s="378"/>
      <c r="AR895" s="378"/>
      <c r="AS895" s="378"/>
      <c r="AT895" s="378"/>
      <c r="AU895" s="378"/>
    </row>
    <row r="896" spans="1:47" x14ac:dyDescent="0.25">
      <c r="A896" s="378"/>
      <c r="B896" s="194"/>
      <c r="C896" s="38"/>
      <c r="D896" s="38"/>
      <c r="E896" s="38"/>
      <c r="F896" s="38"/>
      <c r="G896" s="195"/>
      <c r="H896" s="378"/>
      <c r="I896" s="378"/>
      <c r="J896" s="378"/>
      <c r="K896" s="378"/>
      <c r="L896" s="378"/>
      <c r="M896" s="378"/>
      <c r="N896" s="378"/>
      <c r="O896" s="378"/>
      <c r="P896" s="378"/>
      <c r="Q896" s="378"/>
      <c r="R896" s="378"/>
      <c r="S896" s="378"/>
      <c r="T896" s="378"/>
      <c r="U896" s="378"/>
      <c r="V896" s="378"/>
      <c r="W896" s="378"/>
      <c r="X896" s="378"/>
      <c r="Y896" s="378"/>
      <c r="Z896" s="378"/>
      <c r="AA896" s="378"/>
      <c r="AB896" s="378"/>
      <c r="AC896" s="378"/>
      <c r="AD896" s="378"/>
      <c r="AE896" s="378"/>
      <c r="AF896" s="378"/>
      <c r="AG896" s="378"/>
      <c r="AH896" s="378"/>
      <c r="AI896" s="378"/>
      <c r="AJ896" s="378"/>
      <c r="AK896" s="378"/>
      <c r="AL896" s="378"/>
      <c r="AM896" s="378"/>
      <c r="AN896" s="378"/>
      <c r="AO896" s="378"/>
      <c r="AP896" s="378"/>
      <c r="AQ896" s="378"/>
      <c r="AR896" s="378"/>
      <c r="AS896" s="378"/>
      <c r="AT896" s="378"/>
      <c r="AU896" s="378"/>
    </row>
    <row r="897" spans="1:47" x14ac:dyDescent="0.25">
      <c r="A897" s="378"/>
      <c r="B897" s="194"/>
      <c r="C897" s="38"/>
      <c r="D897" s="38"/>
      <c r="E897" s="38"/>
      <c r="F897" s="38"/>
      <c r="G897" s="195"/>
      <c r="H897" s="378"/>
      <c r="I897" s="378"/>
      <c r="J897" s="378"/>
      <c r="K897" s="378"/>
      <c r="L897" s="378"/>
      <c r="M897" s="378"/>
      <c r="N897" s="378"/>
      <c r="O897" s="378"/>
      <c r="P897" s="378"/>
      <c r="Q897" s="378"/>
      <c r="R897" s="378"/>
      <c r="S897" s="378"/>
      <c r="T897" s="378"/>
      <c r="U897" s="378"/>
      <c r="V897" s="378"/>
      <c r="W897" s="378"/>
      <c r="X897" s="378"/>
      <c r="Y897" s="378"/>
      <c r="Z897" s="378"/>
      <c r="AA897" s="378"/>
      <c r="AB897" s="378"/>
      <c r="AC897" s="378"/>
      <c r="AD897" s="378"/>
      <c r="AE897" s="378"/>
      <c r="AF897" s="378"/>
      <c r="AG897" s="378"/>
      <c r="AH897" s="378"/>
      <c r="AI897" s="378"/>
      <c r="AJ897" s="378"/>
      <c r="AK897" s="378"/>
      <c r="AL897" s="378"/>
      <c r="AM897" s="378"/>
      <c r="AN897" s="378"/>
      <c r="AO897" s="378"/>
      <c r="AP897" s="378"/>
      <c r="AQ897" s="378"/>
      <c r="AR897" s="378"/>
      <c r="AS897" s="378"/>
      <c r="AT897" s="378"/>
      <c r="AU897" s="378"/>
    </row>
    <row r="898" spans="1:47" x14ac:dyDescent="0.25">
      <c r="A898" s="378"/>
      <c r="B898" s="194"/>
      <c r="C898" s="38"/>
      <c r="D898" s="38"/>
      <c r="E898" s="38"/>
      <c r="F898" s="38"/>
      <c r="G898" s="195"/>
      <c r="H898" s="378"/>
      <c r="I898" s="378"/>
      <c r="J898" s="378"/>
      <c r="K898" s="378"/>
      <c r="L898" s="378"/>
      <c r="M898" s="378"/>
      <c r="N898" s="378"/>
      <c r="O898" s="378"/>
      <c r="P898" s="378"/>
      <c r="Q898" s="378"/>
      <c r="R898" s="378"/>
      <c r="S898" s="378"/>
      <c r="T898" s="378"/>
      <c r="U898" s="378"/>
      <c r="V898" s="378"/>
      <c r="W898" s="378"/>
      <c r="X898" s="378"/>
      <c r="Y898" s="378"/>
      <c r="Z898" s="378"/>
      <c r="AA898" s="378"/>
      <c r="AB898" s="378"/>
      <c r="AC898" s="378"/>
      <c r="AD898" s="378"/>
      <c r="AE898" s="378"/>
      <c r="AF898" s="378"/>
      <c r="AG898" s="378"/>
      <c r="AH898" s="378"/>
      <c r="AI898" s="378"/>
      <c r="AJ898" s="378"/>
      <c r="AK898" s="378"/>
      <c r="AL898" s="378"/>
      <c r="AM898" s="378"/>
      <c r="AN898" s="378"/>
      <c r="AO898" s="378"/>
      <c r="AP898" s="378"/>
      <c r="AQ898" s="378"/>
      <c r="AR898" s="378"/>
      <c r="AS898" s="378"/>
      <c r="AT898" s="378"/>
      <c r="AU898" s="378"/>
    </row>
    <row r="899" spans="1:47" x14ac:dyDescent="0.25">
      <c r="A899" s="378"/>
      <c r="B899" s="194"/>
      <c r="C899" s="38"/>
      <c r="D899" s="38"/>
      <c r="E899" s="38"/>
      <c r="F899" s="38"/>
      <c r="G899" s="195"/>
      <c r="H899" s="378"/>
      <c r="I899" s="378"/>
      <c r="J899" s="378"/>
      <c r="K899" s="378"/>
      <c r="L899" s="378"/>
      <c r="M899" s="378"/>
      <c r="N899" s="378"/>
      <c r="O899" s="378"/>
      <c r="P899" s="378"/>
      <c r="Q899" s="378"/>
      <c r="R899" s="378"/>
      <c r="S899" s="378"/>
      <c r="T899" s="378"/>
      <c r="U899" s="378"/>
      <c r="V899" s="378"/>
      <c r="W899" s="378"/>
      <c r="X899" s="378"/>
      <c r="Y899" s="378"/>
      <c r="Z899" s="378"/>
      <c r="AA899" s="378"/>
      <c r="AB899" s="378"/>
      <c r="AC899" s="378"/>
      <c r="AD899" s="378"/>
      <c r="AE899" s="378"/>
      <c r="AF899" s="378"/>
      <c r="AG899" s="378"/>
      <c r="AH899" s="378"/>
      <c r="AI899" s="378"/>
      <c r="AJ899" s="378"/>
      <c r="AK899" s="378"/>
      <c r="AL899" s="378"/>
      <c r="AM899" s="378"/>
      <c r="AN899" s="378"/>
      <c r="AO899" s="378"/>
      <c r="AP899" s="378"/>
      <c r="AQ899" s="378"/>
      <c r="AR899" s="378"/>
      <c r="AS899" s="378"/>
      <c r="AT899" s="378"/>
      <c r="AU899" s="378"/>
    </row>
    <row r="900" spans="1:47" x14ac:dyDescent="0.25">
      <c r="A900" s="378"/>
      <c r="B900" s="202"/>
      <c r="C900" s="184"/>
      <c r="D900" s="184"/>
      <c r="E900" s="184"/>
      <c r="F900" s="184"/>
      <c r="G900" s="185"/>
      <c r="H900" s="378"/>
      <c r="I900" s="378"/>
      <c r="J900" s="378"/>
      <c r="K900" s="378"/>
      <c r="L900" s="378"/>
      <c r="M900" s="378"/>
      <c r="N900" s="378"/>
      <c r="O900" s="378"/>
      <c r="P900" s="378"/>
      <c r="Q900" s="378"/>
      <c r="R900" s="378"/>
      <c r="S900" s="378"/>
      <c r="T900" s="378"/>
      <c r="U900" s="378"/>
      <c r="V900" s="378"/>
      <c r="W900" s="378"/>
      <c r="X900" s="378"/>
      <c r="Y900" s="378"/>
      <c r="Z900" s="378"/>
      <c r="AA900" s="378"/>
      <c r="AB900" s="378"/>
      <c r="AC900" s="378"/>
      <c r="AD900" s="378"/>
      <c r="AE900" s="378"/>
      <c r="AF900" s="378"/>
      <c r="AG900" s="378"/>
      <c r="AH900" s="378"/>
      <c r="AI900" s="378"/>
      <c r="AJ900" s="378"/>
      <c r="AK900" s="378"/>
      <c r="AL900" s="378"/>
      <c r="AM900" s="378"/>
      <c r="AN900" s="378"/>
      <c r="AO900" s="378"/>
      <c r="AP900" s="378"/>
      <c r="AQ900" s="378"/>
      <c r="AR900" s="378"/>
      <c r="AS900" s="378"/>
      <c r="AT900" s="378"/>
      <c r="AU900" s="378"/>
    </row>
    <row r="901" spans="1:47" x14ac:dyDescent="0.25">
      <c r="A901" s="378"/>
      <c r="B901" s="378"/>
      <c r="C901" s="378"/>
      <c r="D901" s="378"/>
      <c r="E901" s="378"/>
      <c r="F901" s="378"/>
      <c r="G901" s="378"/>
      <c r="H901" s="378"/>
      <c r="I901" s="378"/>
      <c r="J901" s="378"/>
      <c r="K901" s="378"/>
      <c r="L901" s="378"/>
      <c r="M901" s="378"/>
      <c r="N901" s="378"/>
      <c r="O901" s="378"/>
      <c r="P901" s="378"/>
      <c r="Q901" s="378"/>
      <c r="R901" s="378"/>
      <c r="S901" s="378"/>
      <c r="T901" s="378"/>
      <c r="U901" s="378"/>
      <c r="V901" s="378"/>
      <c r="W901" s="378"/>
      <c r="X901" s="378"/>
      <c r="Y901" s="378"/>
      <c r="Z901" s="378"/>
      <c r="AA901" s="378"/>
      <c r="AB901" s="378"/>
      <c r="AC901" s="378"/>
      <c r="AD901" s="378"/>
      <c r="AE901" s="378"/>
      <c r="AF901" s="378"/>
      <c r="AG901" s="378"/>
      <c r="AH901" s="378"/>
      <c r="AI901" s="378"/>
      <c r="AJ901" s="378"/>
      <c r="AK901" s="378"/>
      <c r="AL901" s="378"/>
      <c r="AM901" s="378"/>
      <c r="AN901" s="378"/>
      <c r="AO901" s="378"/>
      <c r="AP901" s="378"/>
      <c r="AQ901" s="378"/>
      <c r="AR901" s="378"/>
      <c r="AS901" s="378"/>
      <c r="AT901" s="378"/>
      <c r="AU901" s="378"/>
    </row>
    <row r="902" spans="1:47" s="18" customFormat="1" x14ac:dyDescent="0.25">
      <c r="A902" s="378"/>
      <c r="B902" s="1977" t="s">
        <v>891</v>
      </c>
      <c r="C902" s="1977"/>
      <c r="D902" s="1977"/>
      <c r="E902" s="378"/>
      <c r="F902" s="378"/>
      <c r="G902" s="378"/>
      <c r="H902" s="378"/>
      <c r="I902" s="378"/>
      <c r="J902" s="378"/>
      <c r="K902" s="378"/>
      <c r="L902" s="378"/>
      <c r="M902" s="378"/>
      <c r="N902" s="378"/>
      <c r="O902" s="378"/>
      <c r="P902" s="378"/>
      <c r="Q902" s="378"/>
      <c r="R902" s="378"/>
      <c r="S902" s="378"/>
      <c r="T902" s="378"/>
      <c r="U902" s="378"/>
      <c r="V902" s="378"/>
      <c r="W902" s="378"/>
      <c r="X902" s="378"/>
      <c r="Y902" s="378"/>
      <c r="Z902" s="378"/>
      <c r="AA902" s="378"/>
      <c r="AB902" s="378"/>
      <c r="AC902" s="378"/>
      <c r="AD902" s="378"/>
      <c r="AE902" s="378"/>
      <c r="AF902" s="378"/>
      <c r="AG902" s="378"/>
      <c r="AH902" s="378"/>
      <c r="AI902" s="378"/>
      <c r="AJ902" s="378"/>
      <c r="AK902" s="378"/>
      <c r="AL902" s="378"/>
      <c r="AM902" s="378"/>
      <c r="AN902" s="378"/>
      <c r="AO902" s="378"/>
      <c r="AP902" s="378"/>
      <c r="AQ902" s="378"/>
      <c r="AR902" s="378"/>
      <c r="AS902" s="378"/>
      <c r="AT902" s="378"/>
      <c r="AU902" s="378"/>
    </row>
    <row r="903" spans="1:47" s="18" customFormat="1" ht="15" customHeight="1" x14ac:dyDescent="0.25">
      <c r="A903" s="378"/>
      <c r="B903" s="2215" t="s">
        <v>892</v>
      </c>
      <c r="C903" s="2215"/>
      <c r="D903" s="2215"/>
      <c r="E903" s="378"/>
      <c r="F903" s="378"/>
      <c r="G903" s="378"/>
      <c r="H903" s="378"/>
      <c r="I903" s="378"/>
      <c r="J903" s="378"/>
      <c r="K903" s="378"/>
      <c r="L903" s="378"/>
      <c r="M903" s="378"/>
      <c r="N903" s="378"/>
      <c r="O903" s="378"/>
      <c r="P903" s="378"/>
      <c r="Q903" s="378"/>
      <c r="R903" s="378"/>
      <c r="S903" s="378"/>
      <c r="T903" s="378"/>
      <c r="U903" s="378"/>
      <c r="V903" s="378"/>
      <c r="W903" s="378"/>
      <c r="X903" s="378"/>
      <c r="Y903" s="378"/>
      <c r="Z903" s="378"/>
      <c r="AA903" s="378"/>
      <c r="AB903" s="378"/>
      <c r="AC903" s="378"/>
      <c r="AD903" s="378"/>
      <c r="AE903" s="378"/>
      <c r="AF903" s="378"/>
      <c r="AG903" s="378"/>
      <c r="AH903" s="378"/>
      <c r="AI903" s="378"/>
      <c r="AJ903" s="378"/>
      <c r="AK903" s="378"/>
      <c r="AL903" s="378"/>
      <c r="AM903" s="378"/>
      <c r="AN903" s="378"/>
      <c r="AO903" s="378"/>
      <c r="AP903" s="378"/>
      <c r="AQ903" s="378"/>
      <c r="AR903" s="378"/>
      <c r="AS903" s="378"/>
      <c r="AT903" s="378"/>
      <c r="AU903" s="378"/>
    </row>
    <row r="904" spans="1:47" s="18" customFormat="1" x14ac:dyDescent="0.25">
      <c r="A904" s="378"/>
      <c r="B904" s="2215"/>
      <c r="C904" s="2215"/>
      <c r="D904" s="2215"/>
      <c r="E904" s="378"/>
      <c r="F904" s="378"/>
      <c r="G904" s="378"/>
      <c r="H904" s="378"/>
      <c r="I904" s="378"/>
      <c r="J904" s="378"/>
      <c r="K904" s="378"/>
      <c r="L904" s="378"/>
      <c r="M904" s="378"/>
      <c r="N904" s="378"/>
      <c r="O904" s="378"/>
      <c r="P904" s="378"/>
      <c r="Q904" s="378"/>
      <c r="R904" s="378"/>
      <c r="S904" s="378"/>
      <c r="T904" s="378"/>
      <c r="U904" s="378"/>
      <c r="V904" s="378"/>
      <c r="W904" s="378"/>
      <c r="X904" s="378"/>
      <c r="Y904" s="378"/>
      <c r="Z904" s="378"/>
      <c r="AA904" s="378"/>
      <c r="AB904" s="378"/>
      <c r="AC904" s="378"/>
      <c r="AD904" s="378"/>
      <c r="AE904" s="378"/>
      <c r="AF904" s="378"/>
      <c r="AG904" s="378"/>
      <c r="AH904" s="378"/>
      <c r="AI904" s="378"/>
      <c r="AJ904" s="378"/>
      <c r="AK904" s="378"/>
      <c r="AL904" s="378"/>
      <c r="AM904" s="378"/>
      <c r="AN904" s="378"/>
      <c r="AO904" s="378"/>
      <c r="AP904" s="378"/>
      <c r="AQ904" s="378"/>
      <c r="AR904" s="378"/>
      <c r="AS904" s="378"/>
      <c r="AT904" s="378"/>
      <c r="AU904" s="378"/>
    </row>
    <row r="905" spans="1:47" s="18" customFormat="1" x14ac:dyDescent="0.25">
      <c r="A905" s="378"/>
      <c r="B905" s="2215"/>
      <c r="C905" s="2215"/>
      <c r="D905" s="2215"/>
      <c r="E905" s="378"/>
      <c r="F905" s="378"/>
      <c r="G905" s="378"/>
      <c r="H905" s="378"/>
      <c r="I905" s="378"/>
      <c r="J905" s="378"/>
      <c r="K905" s="378"/>
      <c r="L905" s="378"/>
      <c r="M905" s="378"/>
      <c r="N905" s="378"/>
      <c r="O905" s="378"/>
      <c r="P905" s="378"/>
      <c r="Q905" s="378"/>
      <c r="R905" s="378"/>
      <c r="S905" s="378"/>
      <c r="T905" s="378"/>
      <c r="U905" s="378"/>
      <c r="V905" s="378"/>
      <c r="W905" s="378"/>
      <c r="X905" s="378"/>
      <c r="Y905" s="378"/>
      <c r="Z905" s="378"/>
      <c r="AA905" s="378"/>
      <c r="AB905" s="378"/>
      <c r="AC905" s="378"/>
      <c r="AD905" s="378"/>
      <c r="AE905" s="378"/>
      <c r="AF905" s="378"/>
      <c r="AG905" s="378"/>
      <c r="AH905" s="378"/>
      <c r="AI905" s="378"/>
      <c r="AJ905" s="378"/>
      <c r="AK905" s="378"/>
      <c r="AL905" s="378"/>
      <c r="AM905" s="378"/>
      <c r="AN905" s="378"/>
      <c r="AO905" s="378"/>
      <c r="AP905" s="378"/>
      <c r="AQ905" s="378"/>
      <c r="AR905" s="378"/>
      <c r="AS905" s="378"/>
      <c r="AT905" s="378"/>
      <c r="AU905" s="378"/>
    </row>
    <row r="906" spans="1:47" s="18" customFormat="1" x14ac:dyDescent="0.25">
      <c r="A906" s="378"/>
      <c r="B906" s="378"/>
      <c r="C906" s="378"/>
      <c r="D906" s="378"/>
      <c r="E906" s="378"/>
      <c r="F906" s="378"/>
      <c r="G906" s="378"/>
      <c r="H906" s="378"/>
      <c r="I906" s="378"/>
      <c r="J906" s="378"/>
      <c r="K906" s="378"/>
      <c r="L906" s="378"/>
      <c r="M906" s="378"/>
      <c r="N906" s="378"/>
      <c r="O906" s="378"/>
      <c r="P906" s="378"/>
      <c r="Q906" s="378"/>
      <c r="R906" s="378"/>
      <c r="S906" s="378"/>
      <c r="T906" s="378"/>
      <c r="U906" s="378"/>
      <c r="V906" s="378"/>
      <c r="W906" s="378"/>
      <c r="X906" s="378"/>
      <c r="Y906" s="378"/>
      <c r="Z906" s="378"/>
      <c r="AA906" s="378"/>
      <c r="AB906" s="378"/>
      <c r="AC906" s="378"/>
      <c r="AD906" s="378"/>
      <c r="AE906" s="378"/>
      <c r="AF906" s="378"/>
      <c r="AG906" s="378"/>
      <c r="AH906" s="378"/>
      <c r="AI906" s="378"/>
      <c r="AJ906" s="378"/>
      <c r="AK906" s="378"/>
      <c r="AL906" s="378"/>
      <c r="AM906" s="378"/>
      <c r="AN906" s="378"/>
      <c r="AO906" s="378"/>
      <c r="AP906" s="378"/>
      <c r="AQ906" s="378"/>
      <c r="AR906" s="378"/>
      <c r="AS906" s="378"/>
      <c r="AT906" s="378"/>
      <c r="AU906" s="378"/>
    </row>
    <row r="907" spans="1:47" x14ac:dyDescent="0.25">
      <c r="A907" s="378"/>
      <c r="B907" s="378"/>
      <c r="C907" s="378"/>
      <c r="D907" s="378"/>
      <c r="E907" s="378"/>
      <c r="F907" s="378"/>
      <c r="G907" s="378"/>
      <c r="H907" s="378"/>
      <c r="I907" s="378"/>
      <c r="J907" s="378"/>
      <c r="K907" s="378"/>
      <c r="L907" s="378"/>
      <c r="M907" s="378"/>
      <c r="N907" s="378"/>
      <c r="O907" s="378"/>
      <c r="P907" s="378"/>
      <c r="Q907" s="378"/>
      <c r="R907" s="378"/>
      <c r="S907" s="378"/>
      <c r="T907" s="378"/>
      <c r="U907" s="378"/>
      <c r="V907" s="378"/>
      <c r="W907" s="378"/>
      <c r="X907" s="378"/>
      <c r="Y907" s="378"/>
      <c r="Z907" s="378"/>
      <c r="AA907" s="378"/>
      <c r="AB907" s="378"/>
      <c r="AC907" s="378"/>
      <c r="AD907" s="378"/>
      <c r="AE907" s="378"/>
      <c r="AF907" s="378"/>
      <c r="AG907" s="378"/>
      <c r="AH907" s="378"/>
      <c r="AI907" s="378"/>
      <c r="AJ907" s="378"/>
      <c r="AK907" s="378"/>
      <c r="AL907" s="378"/>
      <c r="AM907" s="378"/>
      <c r="AN907" s="378"/>
      <c r="AO907" s="378"/>
      <c r="AP907" s="378"/>
      <c r="AQ907" s="378"/>
      <c r="AR907" s="378"/>
      <c r="AS907" s="378"/>
      <c r="AT907" s="378"/>
      <c r="AU907" s="378"/>
    </row>
    <row r="908" spans="1:47" ht="18.75" x14ac:dyDescent="0.3">
      <c r="A908" s="751">
        <v>13</v>
      </c>
      <c r="B908" s="2060" t="s">
        <v>766</v>
      </c>
      <c r="C908" s="2060"/>
      <c r="D908" s="2060"/>
      <c r="E908" s="2060"/>
      <c r="F908" s="2060"/>
      <c r="G908" s="2050" t="s">
        <v>893</v>
      </c>
      <c r="H908" s="2050"/>
      <c r="I908" s="2050"/>
      <c r="J908" s="2050"/>
      <c r="K908" s="378"/>
      <c r="L908" s="378"/>
      <c r="M908" s="378"/>
      <c r="N908" s="378"/>
      <c r="O908" s="378"/>
      <c r="P908" s="378"/>
      <c r="Q908" s="378"/>
      <c r="R908" s="378"/>
      <c r="S908" s="378"/>
      <c r="T908" s="378"/>
      <c r="U908" s="378"/>
      <c r="V908" s="378"/>
      <c r="W908" s="378"/>
      <c r="X908" s="378"/>
      <c r="Y908" s="378"/>
      <c r="Z908" s="378"/>
      <c r="AA908" s="378"/>
      <c r="AB908" s="378"/>
      <c r="AC908" s="378"/>
      <c r="AD908" s="378"/>
      <c r="AE908" s="378"/>
      <c r="AF908" s="378"/>
      <c r="AG908" s="378"/>
      <c r="AH908" s="378"/>
      <c r="AI908" s="378"/>
      <c r="AJ908" s="378"/>
      <c r="AK908" s="378"/>
      <c r="AL908" s="378"/>
      <c r="AM908" s="378"/>
      <c r="AN908" s="378"/>
      <c r="AO908" s="378"/>
      <c r="AP908" s="378"/>
      <c r="AQ908" s="378"/>
      <c r="AR908" s="378"/>
      <c r="AS908" s="378"/>
      <c r="AT908" s="378"/>
      <c r="AU908" s="378"/>
    </row>
    <row r="909" spans="1:47" x14ac:dyDescent="0.25">
      <c r="A909" s="378"/>
      <c r="B909" s="1527" t="s">
        <v>894</v>
      </c>
      <c r="C909" s="1541" t="s">
        <v>895</v>
      </c>
      <c r="D909" s="1142" t="s">
        <v>783</v>
      </c>
      <c r="E909" s="1037"/>
      <c r="F909" s="1037"/>
      <c r="G909" s="2115" t="s">
        <v>896</v>
      </c>
      <c r="H909" s="2115"/>
      <c r="I909" s="2116" t="s">
        <v>897</v>
      </c>
      <c r="J909" s="2116"/>
      <c r="K909" s="378"/>
      <c r="L909" s="378"/>
      <c r="M909" s="378"/>
      <c r="N909" s="378"/>
      <c r="O909" s="378"/>
      <c r="P909" s="378"/>
      <c r="Q909" s="378"/>
      <c r="R909" s="378"/>
      <c r="S909" s="378"/>
      <c r="T909" s="378"/>
      <c r="U909" s="378"/>
      <c r="V909" s="378"/>
      <c r="W909" s="378"/>
      <c r="X909" s="378"/>
      <c r="Y909" s="378"/>
      <c r="Z909" s="378"/>
      <c r="AA909" s="378"/>
      <c r="AB909" s="378"/>
      <c r="AC909" s="378"/>
      <c r="AD909" s="378"/>
      <c r="AE909" s="378"/>
      <c r="AF909" s="378"/>
      <c r="AG909" s="378"/>
      <c r="AH909" s="378"/>
      <c r="AI909" s="378"/>
      <c r="AJ909" s="378"/>
      <c r="AK909" s="378"/>
      <c r="AL909" s="378"/>
      <c r="AM909" s="378"/>
      <c r="AN909" s="378"/>
      <c r="AO909" s="378"/>
      <c r="AP909" s="378"/>
      <c r="AQ909" s="378"/>
      <c r="AR909" s="378"/>
      <c r="AS909" s="378"/>
      <c r="AT909" s="378"/>
      <c r="AU909" s="378"/>
    </row>
    <row r="910" spans="1:47" ht="15" customHeight="1" x14ac:dyDescent="0.25">
      <c r="A910" s="378"/>
      <c r="B910" s="1106" t="s">
        <v>898</v>
      </c>
      <c r="C910" s="1542">
        <v>0.7</v>
      </c>
      <c r="D910" s="1140"/>
      <c r="E910" s="1141"/>
      <c r="F910" s="1141"/>
      <c r="G910" s="2098" t="s">
        <v>899</v>
      </c>
      <c r="H910" s="2098"/>
      <c r="I910" s="2098" t="s">
        <v>900</v>
      </c>
      <c r="J910" s="2098"/>
      <c r="K910" s="378"/>
      <c r="L910" s="378"/>
      <c r="M910" s="378"/>
      <c r="N910" s="378"/>
      <c r="O910" s="378"/>
      <c r="P910" s="378"/>
      <c r="Q910" s="378"/>
      <c r="R910" s="378"/>
      <c r="S910" s="378"/>
      <c r="T910" s="378"/>
      <c r="U910" s="378"/>
      <c r="V910" s="378"/>
      <c r="W910" s="378"/>
      <c r="X910" s="378"/>
      <c r="Y910" s="378"/>
      <c r="Z910" s="378"/>
      <c r="AA910" s="378"/>
      <c r="AB910" s="378"/>
      <c r="AC910" s="378"/>
      <c r="AD910" s="378"/>
      <c r="AE910" s="378"/>
      <c r="AF910" s="378"/>
      <c r="AG910" s="378"/>
      <c r="AH910" s="378"/>
      <c r="AI910" s="378"/>
      <c r="AJ910" s="378"/>
      <c r="AK910" s="378"/>
      <c r="AL910" s="378"/>
      <c r="AM910" s="378"/>
      <c r="AN910" s="378"/>
      <c r="AO910" s="378"/>
      <c r="AP910" s="378"/>
      <c r="AQ910" s="378"/>
      <c r="AR910" s="378"/>
      <c r="AS910" s="378"/>
      <c r="AT910" s="378"/>
      <c r="AU910" s="378"/>
    </row>
    <row r="911" spans="1:47" x14ac:dyDescent="0.25">
      <c r="A911" s="378"/>
      <c r="B911" s="1539" t="s">
        <v>901</v>
      </c>
      <c r="C911" s="1540">
        <v>0.3</v>
      </c>
      <c r="D911" s="365"/>
      <c r="E911" s="173"/>
      <c r="F911" s="173"/>
      <c r="G911" s="2098"/>
      <c r="H911" s="2098"/>
      <c r="I911" s="2098"/>
      <c r="J911" s="2098"/>
      <c r="K911" s="378"/>
      <c r="L911" s="378"/>
      <c r="M911" s="378"/>
      <c r="N911" s="378"/>
      <c r="O911" s="378"/>
      <c r="P911" s="378"/>
      <c r="Q911" s="378"/>
      <c r="R911" s="378"/>
      <c r="S911" s="378"/>
      <c r="T911" s="378"/>
      <c r="U911" s="378"/>
      <c r="V911" s="378"/>
      <c r="W911" s="378"/>
      <c r="X911" s="378"/>
      <c r="Y911" s="378"/>
      <c r="Z911" s="378"/>
      <c r="AA911" s="378"/>
      <c r="AB911" s="378"/>
      <c r="AC911" s="378"/>
      <c r="AD911" s="378"/>
      <c r="AE911" s="378"/>
      <c r="AF911" s="378"/>
      <c r="AG911" s="378"/>
      <c r="AH911" s="378"/>
      <c r="AI911" s="378"/>
      <c r="AJ911" s="378"/>
      <c r="AK911" s="378"/>
      <c r="AL911" s="378"/>
      <c r="AM911" s="378"/>
      <c r="AN911" s="378"/>
      <c r="AO911" s="378"/>
      <c r="AP911" s="378"/>
      <c r="AQ911" s="378"/>
      <c r="AR911" s="378"/>
      <c r="AS911" s="378"/>
      <c r="AT911" s="378"/>
      <c r="AU911" s="378"/>
    </row>
    <row r="912" spans="1:47" x14ac:dyDescent="0.25">
      <c r="A912" s="378"/>
      <c r="B912" s="378"/>
      <c r="C912" s="378"/>
      <c r="D912" s="365"/>
      <c r="E912" s="173"/>
      <c r="F912" s="173"/>
      <c r="G912" s="2098"/>
      <c r="H912" s="2098"/>
      <c r="I912" s="2098"/>
      <c r="J912" s="2098"/>
      <c r="K912" s="378"/>
      <c r="L912" s="378"/>
      <c r="M912" s="378"/>
      <c r="N912" s="378"/>
      <c r="O912" s="378"/>
      <c r="P912" s="378"/>
      <c r="Q912" s="378"/>
      <c r="R912" s="378"/>
      <c r="S912" s="378"/>
      <c r="T912" s="378"/>
      <c r="U912" s="378"/>
      <c r="V912" s="378"/>
      <c r="W912" s="378"/>
      <c r="X912" s="378"/>
      <c r="Y912" s="378"/>
      <c r="Z912" s="378"/>
      <c r="AA912" s="378"/>
      <c r="AB912" s="378"/>
      <c r="AC912" s="378"/>
      <c r="AD912" s="378"/>
      <c r="AE912" s="378"/>
      <c r="AF912" s="378"/>
      <c r="AG912" s="378"/>
      <c r="AH912" s="378"/>
      <c r="AI912" s="378"/>
      <c r="AJ912" s="378"/>
      <c r="AK912" s="378"/>
      <c r="AL912" s="378"/>
      <c r="AM912" s="378"/>
      <c r="AN912" s="378"/>
      <c r="AO912" s="378"/>
      <c r="AP912" s="378"/>
      <c r="AQ912" s="378"/>
      <c r="AR912" s="378"/>
      <c r="AS912" s="378"/>
      <c r="AT912" s="378"/>
      <c r="AU912" s="378"/>
    </row>
    <row r="913" spans="1:47" x14ac:dyDescent="0.25">
      <c r="A913" s="378"/>
      <c r="B913" s="1095">
        <f>IF(('3 INDICADORES'!C254&gt;=6)*OR('3 INDICADORES'!C254&lt;=9),0.7,0.3)</f>
        <v>0.3</v>
      </c>
      <c r="C913" s="1095">
        <f>IF(('3 INDICADORES'!C255&gt;=6)*OR('3 INDICADORES'!C255&lt;=9),0.7,0.3)</f>
        <v>0.3</v>
      </c>
      <c r="D913" s="365"/>
      <c r="E913" s="173"/>
      <c r="F913" s="173"/>
      <c r="G913" s="45"/>
      <c r="H913" s="45"/>
      <c r="I913" s="148" t="s">
        <v>902</v>
      </c>
      <c r="J913" s="45"/>
      <c r="K913" s="3"/>
      <c r="L913" s="378"/>
      <c r="M913" s="378"/>
      <c r="N913" s="378"/>
      <c r="O913" s="378"/>
      <c r="P913" s="378"/>
      <c r="Q913" s="378"/>
      <c r="R913" s="378"/>
      <c r="S913" s="378"/>
      <c r="T913" s="378"/>
      <c r="U913" s="378"/>
      <c r="V913" s="378"/>
      <c r="W913" s="378"/>
      <c r="X913" s="378"/>
      <c r="Y913" s="378"/>
      <c r="Z913" s="378"/>
      <c r="AA913" s="378"/>
      <c r="AB913" s="378"/>
      <c r="AC913" s="378"/>
      <c r="AD913" s="378"/>
      <c r="AE913" s="378"/>
      <c r="AF913" s="378"/>
      <c r="AG913" s="378"/>
      <c r="AH913" s="378"/>
      <c r="AI913" s="378"/>
      <c r="AJ913" s="378"/>
      <c r="AK913" s="378"/>
      <c r="AL913" s="378"/>
      <c r="AM913" s="378"/>
      <c r="AN913" s="378"/>
      <c r="AO913" s="378"/>
      <c r="AP913" s="378"/>
      <c r="AQ913" s="378"/>
      <c r="AR913" s="378"/>
      <c r="AS913" s="378"/>
      <c r="AT913" s="378"/>
      <c r="AU913" s="378"/>
    </row>
    <row r="914" spans="1:47" x14ac:dyDescent="0.25">
      <c r="A914" s="378"/>
      <c r="B914" s="532"/>
      <c r="C914" s="1037"/>
      <c r="D914" s="365"/>
      <c r="E914" s="173"/>
      <c r="F914" s="173"/>
      <c r="G914" s="236"/>
      <c r="H914" s="45"/>
      <c r="I914" s="45"/>
      <c r="J914" s="45"/>
      <c r="K914" s="3"/>
      <c r="L914" s="378"/>
      <c r="M914" s="378"/>
      <c r="N914" s="378"/>
      <c r="O914" s="378"/>
      <c r="P914" s="378"/>
      <c r="Q914" s="378"/>
      <c r="R914" s="378"/>
      <c r="S914" s="378"/>
      <c r="T914" s="378"/>
      <c r="U914" s="378"/>
      <c r="V914" s="378"/>
      <c r="W914" s="378"/>
      <c r="X914" s="378"/>
      <c r="Y914" s="378"/>
      <c r="Z914" s="378"/>
      <c r="AA914" s="378"/>
      <c r="AB914" s="378"/>
      <c r="AC914" s="378"/>
      <c r="AD914" s="378"/>
      <c r="AE914" s="378"/>
      <c r="AF914" s="378"/>
      <c r="AG914" s="378"/>
      <c r="AH914" s="378"/>
      <c r="AI914" s="378"/>
      <c r="AJ914" s="378"/>
      <c r="AK914" s="378"/>
      <c r="AL914" s="378"/>
      <c r="AM914" s="378"/>
      <c r="AN914" s="378"/>
      <c r="AO914" s="378"/>
      <c r="AP914" s="378"/>
      <c r="AQ914" s="378"/>
      <c r="AR914" s="378"/>
      <c r="AS914" s="378"/>
      <c r="AT914" s="378"/>
      <c r="AU914" s="378"/>
    </row>
    <row r="915" spans="1:47" x14ac:dyDescent="0.25">
      <c r="A915" s="378"/>
      <c r="B915" s="1037"/>
      <c r="C915" s="1037"/>
      <c r="D915" s="365"/>
      <c r="E915" s="173"/>
      <c r="F915" s="173"/>
      <c r="G915" s="236"/>
      <c r="H915" s="366"/>
      <c r="I915" s="45"/>
      <c r="J915" s="45"/>
      <c r="K915" s="3"/>
      <c r="L915" s="378"/>
      <c r="M915" s="378"/>
      <c r="N915" s="378"/>
      <c r="O915" s="378"/>
      <c r="P915" s="378"/>
      <c r="Q915" s="378"/>
      <c r="R915" s="378"/>
      <c r="S915" s="378"/>
      <c r="T915" s="378"/>
      <c r="U915" s="378"/>
      <c r="V915" s="378"/>
      <c r="W915" s="378"/>
      <c r="X915" s="378"/>
      <c r="Y915" s="378"/>
      <c r="Z915" s="378"/>
      <c r="AA915" s="378"/>
      <c r="AB915" s="378"/>
      <c r="AC915" s="378"/>
      <c r="AD915" s="378"/>
      <c r="AE915" s="378"/>
      <c r="AF915" s="378"/>
      <c r="AG915" s="378"/>
      <c r="AH915" s="378"/>
      <c r="AI915" s="378"/>
      <c r="AJ915" s="378"/>
      <c r="AK915" s="378"/>
      <c r="AL915" s="378"/>
      <c r="AM915" s="378"/>
      <c r="AN915" s="378"/>
      <c r="AO915" s="378"/>
      <c r="AP915" s="378"/>
      <c r="AQ915" s="378"/>
      <c r="AR915" s="378"/>
      <c r="AS915" s="378"/>
      <c r="AT915" s="378"/>
      <c r="AU915" s="378"/>
    </row>
    <row r="916" spans="1:47" x14ac:dyDescent="0.25">
      <c r="A916" s="378"/>
      <c r="B916" s="206"/>
      <c r="C916" s="45"/>
      <c r="D916" s="1037"/>
      <c r="E916" s="45"/>
      <c r="F916" s="45"/>
      <c r="G916" s="366"/>
      <c r="H916" s="366"/>
      <c r="I916" s="45"/>
      <c r="J916" s="45"/>
      <c r="K916" s="3"/>
      <c r="L916" s="3"/>
      <c r="M916" s="3"/>
      <c r="N916" s="378"/>
      <c r="O916" s="378"/>
      <c r="P916" s="378"/>
      <c r="Q916" s="378"/>
      <c r="R916" s="378"/>
      <c r="S916" s="378"/>
      <c r="T916" s="378"/>
      <c r="U916" s="378"/>
      <c r="V916" s="378"/>
      <c r="W916" s="378"/>
      <c r="X916" s="378"/>
      <c r="Y916" s="378"/>
      <c r="Z916" s="378"/>
      <c r="AA916" s="378"/>
      <c r="AB916" s="378"/>
      <c r="AC916" s="378"/>
      <c r="AD916" s="378"/>
      <c r="AE916" s="378"/>
      <c r="AF916" s="378"/>
      <c r="AG916" s="378"/>
      <c r="AH916" s="378"/>
      <c r="AI916" s="378"/>
      <c r="AJ916" s="378"/>
      <c r="AK916" s="378"/>
      <c r="AL916" s="378"/>
      <c r="AM916" s="378"/>
      <c r="AN916" s="378"/>
      <c r="AO916" s="378"/>
      <c r="AP916" s="378"/>
      <c r="AQ916" s="378"/>
      <c r="AR916" s="378"/>
      <c r="AS916" s="378"/>
      <c r="AT916" s="378"/>
      <c r="AU916" s="378"/>
    </row>
    <row r="917" spans="1:47" s="18" customFormat="1" ht="15.75" x14ac:dyDescent="0.25">
      <c r="A917" s="378"/>
      <c r="B917" s="2060" t="s">
        <v>766</v>
      </c>
      <c r="C917" s="2060"/>
      <c r="D917" s="2060"/>
      <c r="E917" s="2060"/>
      <c r="F917" s="2060"/>
      <c r="G917" s="2050" t="s">
        <v>903</v>
      </c>
      <c r="H917" s="2050"/>
      <c r="I917" s="2050"/>
      <c r="J917" s="2050"/>
      <c r="K917" s="3"/>
      <c r="L917" s="3"/>
      <c r="M917" s="3"/>
      <c r="N917" s="378"/>
      <c r="O917" s="378"/>
      <c r="P917" s="378"/>
      <c r="Q917" s="378"/>
      <c r="R917" s="378"/>
      <c r="S917" s="378"/>
      <c r="T917" s="378"/>
      <c r="U917" s="378"/>
      <c r="V917" s="378"/>
      <c r="W917" s="378"/>
      <c r="X917" s="378"/>
      <c r="Y917" s="378"/>
      <c r="Z917" s="378"/>
      <c r="AA917" s="378"/>
      <c r="AB917" s="378"/>
      <c r="AC917" s="378"/>
      <c r="AD917" s="378"/>
      <c r="AE917" s="378"/>
      <c r="AF917" s="378"/>
      <c r="AG917" s="378"/>
      <c r="AH917" s="378"/>
      <c r="AI917" s="378"/>
      <c r="AJ917" s="378"/>
      <c r="AK917" s="378"/>
      <c r="AL917" s="378"/>
      <c r="AM917" s="378"/>
      <c r="AN917" s="378"/>
      <c r="AO917" s="378"/>
      <c r="AP917" s="378"/>
      <c r="AQ917" s="378"/>
      <c r="AR917" s="378"/>
      <c r="AS917" s="378"/>
      <c r="AT917" s="378"/>
      <c r="AU917" s="378"/>
    </row>
    <row r="918" spans="1:47" s="18" customFormat="1" ht="15" customHeight="1" x14ac:dyDescent="0.25">
      <c r="A918" s="378"/>
      <c r="B918" s="1527" t="s">
        <v>894</v>
      </c>
      <c r="C918" s="1541" t="s">
        <v>895</v>
      </c>
      <c r="D918" s="1037"/>
      <c r="E918" s="1037"/>
      <c r="F918" s="1037"/>
      <c r="G918" s="2115" t="s">
        <v>896</v>
      </c>
      <c r="H918" s="2115"/>
      <c r="I918" s="2116" t="s">
        <v>897</v>
      </c>
      <c r="J918" s="2116"/>
      <c r="K918" s="3"/>
      <c r="L918" s="3"/>
      <c r="M918" s="3"/>
      <c r="N918" s="378"/>
      <c r="O918" s="378"/>
      <c r="P918" s="378"/>
      <c r="Q918" s="378"/>
      <c r="R918" s="378"/>
      <c r="S918" s="378"/>
      <c r="T918" s="378"/>
      <c r="U918" s="378"/>
      <c r="V918" s="378"/>
      <c r="W918" s="378"/>
      <c r="X918" s="378"/>
      <c r="Y918" s="378"/>
      <c r="Z918" s="378"/>
      <c r="AA918" s="378"/>
      <c r="AB918" s="378"/>
      <c r="AC918" s="378"/>
      <c r="AD918" s="378"/>
      <c r="AE918" s="378"/>
      <c r="AF918" s="378"/>
      <c r="AG918" s="378"/>
      <c r="AH918" s="378"/>
      <c r="AI918" s="378"/>
      <c r="AJ918" s="378"/>
      <c r="AK918" s="378"/>
      <c r="AL918" s="378"/>
      <c r="AM918" s="378"/>
      <c r="AN918" s="378"/>
      <c r="AO918" s="378"/>
      <c r="AP918" s="378"/>
      <c r="AQ918" s="378"/>
      <c r="AR918" s="378"/>
      <c r="AS918" s="378"/>
      <c r="AT918" s="378"/>
      <c r="AU918" s="378"/>
    </row>
    <row r="919" spans="1:47" s="18" customFormat="1" ht="15" customHeight="1" x14ac:dyDescent="0.25">
      <c r="A919" s="378"/>
      <c r="B919" s="1539" t="s">
        <v>904</v>
      </c>
      <c r="C919" s="1542">
        <v>0.7</v>
      </c>
      <c r="D919" s="2218"/>
      <c r="E919" s="2218"/>
      <c r="F919" s="2218"/>
      <c r="G919" s="2119" t="s">
        <v>905</v>
      </c>
      <c r="H919" s="2119"/>
      <c r="I919" s="2119" t="s">
        <v>906</v>
      </c>
      <c r="J919" s="2119"/>
      <c r="K919" s="3"/>
      <c r="L919" s="3"/>
      <c r="M919" s="3"/>
      <c r="N919" s="378"/>
      <c r="O919" s="378"/>
      <c r="P919" s="378"/>
      <c r="Q919" s="378"/>
      <c r="R919" s="378"/>
      <c r="S919" s="378"/>
      <c r="T919" s="378"/>
      <c r="U919" s="378"/>
      <c r="V919" s="378"/>
      <c r="W919" s="378"/>
      <c r="X919" s="378"/>
      <c r="Y919" s="378"/>
      <c r="Z919" s="378"/>
      <c r="AA919" s="378"/>
      <c r="AB919" s="378"/>
      <c r="AC919" s="378"/>
      <c r="AD919" s="378"/>
      <c r="AE919" s="378"/>
      <c r="AF919" s="378"/>
      <c r="AG919" s="378"/>
      <c r="AH919" s="378"/>
      <c r="AI919" s="378"/>
      <c r="AJ919" s="378"/>
      <c r="AK919" s="378"/>
      <c r="AL919" s="378"/>
      <c r="AM919" s="378"/>
      <c r="AN919" s="378"/>
      <c r="AO919" s="378"/>
      <c r="AP919" s="378"/>
      <c r="AQ919" s="378"/>
      <c r="AR919" s="378"/>
      <c r="AS919" s="378"/>
      <c r="AT919" s="378"/>
      <c r="AU919" s="378"/>
    </row>
    <row r="920" spans="1:47" x14ac:dyDescent="0.25">
      <c r="A920" s="378"/>
      <c r="B920" s="1539" t="s">
        <v>907</v>
      </c>
      <c r="C920" s="1540">
        <v>0.1</v>
      </c>
      <c r="D920" s="365"/>
      <c r="E920" s="173"/>
      <c r="F920" s="173"/>
      <c r="G920" s="2119"/>
      <c r="H920" s="2119"/>
      <c r="I920" s="2119"/>
      <c r="J920" s="2119"/>
      <c r="K920" s="3"/>
      <c r="L920" s="3"/>
      <c r="M920" s="3"/>
      <c r="N920" s="378"/>
      <c r="O920" s="378"/>
      <c r="P920" s="378"/>
      <c r="Q920" s="378"/>
      <c r="R920" s="378"/>
      <c r="S920" s="378"/>
      <c r="T920" s="378"/>
      <c r="U920" s="378"/>
      <c r="V920" s="378"/>
      <c r="W920" s="378"/>
      <c r="X920" s="378"/>
      <c r="Y920" s="378"/>
      <c r="Z920" s="378"/>
      <c r="AA920" s="378"/>
      <c r="AB920" s="378"/>
      <c r="AC920" s="378"/>
      <c r="AD920" s="378"/>
      <c r="AE920" s="378"/>
      <c r="AF920" s="378"/>
      <c r="AG920" s="378"/>
      <c r="AH920" s="378"/>
      <c r="AI920" s="378"/>
      <c r="AJ920" s="378"/>
      <c r="AK920" s="378"/>
      <c r="AL920" s="378"/>
      <c r="AM920" s="378"/>
      <c r="AN920" s="378"/>
      <c r="AO920" s="378"/>
      <c r="AP920" s="378"/>
      <c r="AQ920" s="378"/>
      <c r="AR920" s="378"/>
      <c r="AS920" s="378"/>
      <c r="AT920" s="378"/>
      <c r="AU920" s="378"/>
    </row>
    <row r="921" spans="1:47" x14ac:dyDescent="0.25">
      <c r="A921" s="378"/>
      <c r="B921" s="532"/>
      <c r="C921" s="137"/>
      <c r="D921" s="365"/>
      <c r="E921" s="173"/>
      <c r="F921" s="173"/>
      <c r="G921" s="2119"/>
      <c r="H921" s="2119"/>
      <c r="I921" s="2119"/>
      <c r="J921" s="2119"/>
      <c r="K921" s="3"/>
      <c r="L921" s="3"/>
      <c r="M921" s="3"/>
      <c r="N921" s="378"/>
      <c r="O921" s="378"/>
      <c r="P921" s="378"/>
      <c r="Q921" s="378"/>
      <c r="R921" s="378"/>
      <c r="S921" s="378"/>
      <c r="T921" s="378"/>
      <c r="U921" s="378"/>
      <c r="V921" s="378"/>
      <c r="W921" s="378"/>
      <c r="X921" s="378"/>
      <c r="Y921" s="378"/>
      <c r="Z921" s="378"/>
      <c r="AA921" s="378"/>
      <c r="AB921" s="378"/>
      <c r="AC921" s="378"/>
      <c r="AD921" s="378"/>
      <c r="AE921" s="378"/>
      <c r="AF921" s="378"/>
      <c r="AG921" s="378"/>
      <c r="AH921" s="378"/>
      <c r="AI921" s="378"/>
      <c r="AJ921" s="378"/>
      <c r="AK921" s="378"/>
      <c r="AL921" s="378"/>
      <c r="AM921" s="378"/>
      <c r="AN921" s="378"/>
      <c r="AO921" s="378"/>
      <c r="AP921" s="378"/>
      <c r="AQ921" s="378"/>
      <c r="AR921" s="378"/>
      <c r="AS921" s="378"/>
      <c r="AT921" s="378"/>
      <c r="AU921" s="378"/>
    </row>
    <row r="922" spans="1:47" x14ac:dyDescent="0.25">
      <c r="A922" s="378"/>
      <c r="B922" s="1095">
        <f>IF(('3 INDICADORES'!G254&lt;=999),0.7,0.1)</f>
        <v>0.7</v>
      </c>
      <c r="C922" s="1095">
        <f>IF(('3 INDICADORES'!G255&lt;=999),0.7,0.1)</f>
        <v>0.7</v>
      </c>
      <c r="D922" s="45"/>
      <c r="E922" s="45"/>
      <c r="F922" s="45"/>
      <c r="G922" s="2119"/>
      <c r="H922" s="2119"/>
      <c r="I922" s="2119"/>
      <c r="J922" s="2119"/>
      <c r="K922" s="3"/>
      <c r="L922" s="3"/>
      <c r="M922" s="3"/>
      <c r="N922" s="378"/>
      <c r="O922" s="378"/>
      <c r="P922" s="378"/>
      <c r="Q922" s="378"/>
      <c r="R922" s="378"/>
      <c r="S922" s="378"/>
      <c r="T922" s="378"/>
      <c r="U922" s="378"/>
      <c r="V922" s="378"/>
      <c r="W922" s="378"/>
      <c r="X922" s="378"/>
      <c r="Y922" s="378"/>
      <c r="Z922" s="378"/>
      <c r="AA922" s="378"/>
      <c r="AB922" s="378"/>
      <c r="AC922" s="378"/>
      <c r="AD922" s="378"/>
      <c r="AE922" s="378"/>
      <c r="AF922" s="378"/>
      <c r="AG922" s="378"/>
      <c r="AH922" s="378"/>
      <c r="AI922" s="378"/>
      <c r="AJ922" s="378"/>
      <c r="AK922" s="378"/>
      <c r="AL922" s="378"/>
      <c r="AM922" s="378"/>
      <c r="AN922" s="378"/>
      <c r="AO922" s="378"/>
      <c r="AP922" s="378"/>
      <c r="AQ922" s="378"/>
      <c r="AR922" s="378"/>
      <c r="AS922" s="378"/>
      <c r="AT922" s="378"/>
      <c r="AU922" s="378"/>
    </row>
    <row r="923" spans="1:47" x14ac:dyDescent="0.25">
      <c r="A923" s="378"/>
      <c r="B923" s="474"/>
      <c r="C923" s="474"/>
      <c r="D923" s="474"/>
      <c r="E923" s="474"/>
      <c r="F923" s="474"/>
      <c r="G923" s="2119"/>
      <c r="H923" s="2119"/>
      <c r="I923" s="2119"/>
      <c r="J923" s="2119"/>
      <c r="K923" s="3"/>
      <c r="L923" s="3"/>
      <c r="M923" s="3"/>
      <c r="N923" s="378"/>
      <c r="O923" s="378"/>
      <c r="P923" s="378"/>
      <c r="Q923" s="378"/>
      <c r="R923" s="378"/>
      <c r="S923" s="378"/>
      <c r="T923" s="378"/>
      <c r="U923" s="378"/>
      <c r="V923" s="378"/>
      <c r="W923" s="378"/>
      <c r="X923" s="378"/>
      <c r="Y923" s="378"/>
      <c r="Z923" s="378"/>
      <c r="AA923" s="378"/>
      <c r="AB923" s="378"/>
      <c r="AC923" s="378"/>
      <c r="AD923" s="378"/>
      <c r="AE923" s="378"/>
      <c r="AF923" s="378"/>
      <c r="AG923" s="378"/>
      <c r="AH923" s="378"/>
      <c r="AI923" s="378"/>
      <c r="AJ923" s="378"/>
      <c r="AK923" s="378"/>
      <c r="AL923" s="378"/>
      <c r="AM923" s="378"/>
      <c r="AN923" s="378"/>
      <c r="AO923" s="378"/>
      <c r="AP923" s="378"/>
      <c r="AQ923" s="378"/>
      <c r="AR923" s="378"/>
      <c r="AS923" s="378"/>
      <c r="AT923" s="378"/>
      <c r="AU923" s="378"/>
    </row>
    <row r="924" spans="1:47" x14ac:dyDescent="0.25">
      <c r="A924" s="378"/>
      <c r="B924" s="474"/>
      <c r="C924" s="474"/>
      <c r="D924" s="474"/>
      <c r="E924" s="474"/>
      <c r="F924" s="474"/>
      <c r="G924" s="3"/>
      <c r="H924" s="3"/>
      <c r="I924" s="3"/>
      <c r="J924" s="3"/>
      <c r="K924" s="3"/>
      <c r="L924" s="3"/>
      <c r="M924" s="3"/>
      <c r="N924" s="378"/>
      <c r="O924" s="378"/>
      <c r="P924" s="378"/>
      <c r="Q924" s="378"/>
      <c r="R924" s="378"/>
      <c r="S924" s="378"/>
      <c r="T924" s="378"/>
      <c r="U924" s="378"/>
      <c r="V924" s="378"/>
      <c r="W924" s="378"/>
      <c r="X924" s="378"/>
      <c r="Y924" s="378"/>
      <c r="Z924" s="378"/>
      <c r="AA924" s="378"/>
      <c r="AB924" s="378"/>
      <c r="AC924" s="378"/>
      <c r="AD924" s="378"/>
      <c r="AE924" s="378"/>
      <c r="AF924" s="378"/>
      <c r="AG924" s="378"/>
      <c r="AH924" s="378"/>
      <c r="AI924" s="378"/>
      <c r="AJ924" s="378"/>
      <c r="AK924" s="378"/>
      <c r="AL924" s="378"/>
      <c r="AM924" s="378"/>
      <c r="AN924" s="378"/>
      <c r="AO924" s="378"/>
      <c r="AP924" s="378"/>
      <c r="AQ924" s="378"/>
      <c r="AR924" s="378"/>
      <c r="AS924" s="378"/>
      <c r="AT924" s="378"/>
      <c r="AU924" s="378"/>
    </row>
    <row r="925" spans="1:47" x14ac:dyDescent="0.25">
      <c r="A925" s="378"/>
      <c r="B925" s="474"/>
      <c r="C925" s="474"/>
      <c r="D925" s="474"/>
      <c r="E925" s="474"/>
      <c r="F925" s="474"/>
      <c r="G925" s="3"/>
      <c r="H925" s="3"/>
      <c r="I925" s="3"/>
      <c r="J925" s="3"/>
      <c r="K925" s="3"/>
      <c r="L925" s="3"/>
      <c r="M925" s="3"/>
      <c r="N925" s="378"/>
      <c r="O925" s="378"/>
      <c r="P925" s="378"/>
      <c r="Q925" s="378"/>
      <c r="R925" s="378"/>
      <c r="S925" s="378"/>
      <c r="T925" s="378"/>
      <c r="U925" s="378"/>
      <c r="V925" s="378"/>
      <c r="W925" s="378"/>
      <c r="X925" s="378"/>
      <c r="Y925" s="378"/>
      <c r="Z925" s="378"/>
      <c r="AA925" s="378"/>
      <c r="AB925" s="378"/>
      <c r="AC925" s="378"/>
      <c r="AD925" s="378"/>
      <c r="AE925" s="378"/>
      <c r="AF925" s="378"/>
      <c r="AG925" s="378"/>
      <c r="AH925" s="378"/>
      <c r="AI925" s="378"/>
      <c r="AJ925" s="378"/>
      <c r="AK925" s="378"/>
      <c r="AL925" s="378"/>
      <c r="AM925" s="378"/>
      <c r="AN925" s="378"/>
      <c r="AO925" s="378"/>
      <c r="AP925" s="378"/>
      <c r="AQ925" s="378"/>
      <c r="AR925" s="378"/>
      <c r="AS925" s="378"/>
      <c r="AT925" s="378"/>
      <c r="AU925" s="378"/>
    </row>
    <row r="926" spans="1:47" ht="15.75" x14ac:dyDescent="0.25">
      <c r="A926" s="378"/>
      <c r="B926" s="2052" t="s">
        <v>766</v>
      </c>
      <c r="C926" s="2052"/>
      <c r="D926" s="2052"/>
      <c r="E926" s="2052"/>
      <c r="F926" s="2052"/>
      <c r="G926" s="2050" t="s">
        <v>908</v>
      </c>
      <c r="H926" s="2050"/>
      <c r="I926" s="2050"/>
      <c r="J926" s="2050"/>
      <c r="K926" s="3"/>
      <c r="L926" s="3"/>
      <c r="M926" s="3"/>
      <c r="N926" s="378"/>
      <c r="O926" s="378"/>
      <c r="P926" s="378"/>
      <c r="Q926" s="378"/>
      <c r="R926" s="378"/>
      <c r="S926" s="378"/>
      <c r="T926" s="378"/>
      <c r="U926" s="378"/>
      <c r="V926" s="378"/>
      <c r="W926" s="378"/>
      <c r="X926" s="378"/>
      <c r="Y926" s="378"/>
      <c r="Z926" s="378"/>
      <c r="AA926" s="378"/>
      <c r="AB926" s="378"/>
      <c r="AC926" s="378"/>
      <c r="AD926" s="378"/>
      <c r="AE926" s="378"/>
      <c r="AF926" s="378"/>
      <c r="AG926" s="378"/>
      <c r="AH926" s="378"/>
      <c r="AI926" s="378"/>
      <c r="AJ926" s="378"/>
      <c r="AK926" s="378"/>
      <c r="AL926" s="378"/>
      <c r="AM926" s="378"/>
      <c r="AN926" s="378"/>
      <c r="AO926" s="378"/>
      <c r="AP926" s="378"/>
      <c r="AQ926" s="378"/>
      <c r="AR926" s="378"/>
      <c r="AS926" s="378"/>
      <c r="AT926" s="378"/>
      <c r="AU926" s="378"/>
    </row>
    <row r="927" spans="1:47" x14ac:dyDescent="0.25">
      <c r="A927" s="378"/>
      <c r="B927" s="2016" t="s">
        <v>894</v>
      </c>
      <c r="C927" s="2016"/>
      <c r="D927" s="2122" t="s">
        <v>895</v>
      </c>
      <c r="E927" s="2122"/>
      <c r="F927" s="1037"/>
      <c r="G927" s="2115" t="s">
        <v>896</v>
      </c>
      <c r="H927" s="2115"/>
      <c r="I927" s="2116" t="s">
        <v>897</v>
      </c>
      <c r="J927" s="2116"/>
      <c r="K927" s="3"/>
      <c r="L927" s="3"/>
      <c r="M927" s="3"/>
      <c r="N927" s="378"/>
      <c r="O927" s="378"/>
      <c r="P927" s="378"/>
      <c r="Q927" s="378"/>
      <c r="R927" s="378"/>
      <c r="S927" s="378"/>
      <c r="T927" s="378"/>
      <c r="U927" s="378"/>
      <c r="V927" s="378"/>
      <c r="W927" s="378"/>
      <c r="X927" s="378"/>
      <c r="Y927" s="378"/>
      <c r="Z927" s="378"/>
      <c r="AA927" s="378"/>
      <c r="AB927" s="378"/>
      <c r="AC927" s="378"/>
      <c r="AD927" s="378"/>
      <c r="AE927" s="378"/>
      <c r="AF927" s="378"/>
      <c r="AG927" s="378"/>
      <c r="AH927" s="378"/>
      <c r="AI927" s="378"/>
      <c r="AJ927" s="378"/>
      <c r="AK927" s="378"/>
      <c r="AL927" s="378"/>
      <c r="AM927" s="378"/>
      <c r="AN927" s="378"/>
      <c r="AO927" s="378"/>
      <c r="AP927" s="378"/>
      <c r="AQ927" s="378"/>
      <c r="AR927" s="378"/>
      <c r="AS927" s="378"/>
      <c r="AT927" s="378"/>
      <c r="AU927" s="378"/>
    </row>
    <row r="928" spans="1:47" ht="15" customHeight="1" x14ac:dyDescent="0.25">
      <c r="A928" s="378"/>
      <c r="B928" s="2117" t="s">
        <v>909</v>
      </c>
      <c r="C928" s="2117"/>
      <c r="D928" s="2123">
        <v>0.7</v>
      </c>
      <c r="E928" s="2123"/>
      <c r="F928" s="1141"/>
      <c r="G928" s="2119" t="s">
        <v>910</v>
      </c>
      <c r="H928" s="2119"/>
      <c r="I928" s="2119" t="s">
        <v>911</v>
      </c>
      <c r="J928" s="2119"/>
      <c r="K928" s="3"/>
      <c r="L928" s="3"/>
      <c r="M928" s="3"/>
      <c r="N928" s="378"/>
      <c r="O928" s="378"/>
      <c r="P928" s="378"/>
      <c r="Q928" s="378"/>
      <c r="R928" s="378"/>
      <c r="S928" s="378"/>
      <c r="T928" s="378"/>
      <c r="U928" s="378"/>
      <c r="V928" s="378"/>
      <c r="W928" s="378"/>
      <c r="X928" s="378"/>
      <c r="Y928" s="378"/>
      <c r="Z928" s="378"/>
      <c r="AA928" s="378"/>
      <c r="AB928" s="378"/>
      <c r="AC928" s="378"/>
      <c r="AD928" s="378"/>
      <c r="AE928" s="378"/>
      <c r="AF928" s="378"/>
      <c r="AG928" s="378"/>
      <c r="AH928" s="378"/>
      <c r="AI928" s="378"/>
      <c r="AJ928" s="378"/>
      <c r="AK928" s="378"/>
      <c r="AL928" s="378"/>
      <c r="AM928" s="378"/>
      <c r="AN928" s="378"/>
      <c r="AO928" s="378"/>
      <c r="AP928" s="378"/>
      <c r="AQ928" s="378"/>
      <c r="AR928" s="378"/>
      <c r="AS928" s="378"/>
      <c r="AT928" s="378"/>
      <c r="AU928" s="378"/>
    </row>
    <row r="929" spans="1:47" x14ac:dyDescent="0.25">
      <c r="A929" s="378"/>
      <c r="B929" s="2117" t="s">
        <v>912</v>
      </c>
      <c r="C929" s="2117"/>
      <c r="D929" s="2118">
        <v>0.1</v>
      </c>
      <c r="E929" s="2118"/>
      <c r="F929" s="173"/>
      <c r="G929" s="2119"/>
      <c r="H929" s="2119"/>
      <c r="I929" s="2119"/>
      <c r="J929" s="2119"/>
      <c r="K929" s="3"/>
      <c r="L929" s="3"/>
      <c r="M929" s="3"/>
      <c r="N929" s="378"/>
      <c r="O929" s="378"/>
      <c r="P929" s="378"/>
      <c r="Q929" s="378"/>
      <c r="R929" s="378"/>
      <c r="S929" s="378"/>
      <c r="T929" s="378"/>
      <c r="U929" s="378"/>
      <c r="V929" s="378"/>
      <c r="W929" s="378"/>
      <c r="X929" s="378"/>
      <c r="Y929" s="378"/>
      <c r="Z929" s="378"/>
      <c r="AA929" s="378"/>
      <c r="AB929" s="378"/>
      <c r="AC929" s="378"/>
      <c r="AD929" s="378"/>
      <c r="AE929" s="378"/>
      <c r="AF929" s="378"/>
      <c r="AG929" s="378"/>
      <c r="AH929" s="378"/>
      <c r="AI929" s="378"/>
      <c r="AJ929" s="378"/>
      <c r="AK929" s="378"/>
      <c r="AL929" s="378"/>
      <c r="AM929" s="378"/>
      <c r="AN929" s="378"/>
      <c r="AO929" s="378"/>
      <c r="AP929" s="378"/>
      <c r="AQ929" s="378"/>
      <c r="AR929" s="378"/>
      <c r="AS929" s="378"/>
      <c r="AT929" s="378"/>
      <c r="AU929" s="378"/>
    </row>
    <row r="930" spans="1:47" x14ac:dyDescent="0.25">
      <c r="A930" s="378"/>
      <c r="B930" s="532"/>
      <c r="C930" s="45"/>
      <c r="D930" s="365"/>
      <c r="E930" s="173"/>
      <c r="F930" s="173"/>
      <c r="G930" s="2119"/>
      <c r="H930" s="2119"/>
      <c r="I930" s="2119"/>
      <c r="J930" s="2119"/>
      <c r="K930" s="378"/>
      <c r="L930" s="378"/>
      <c r="M930" s="378"/>
      <c r="N930" s="378"/>
      <c r="O930" s="378"/>
      <c r="P930" s="378"/>
      <c r="Q930" s="378"/>
      <c r="R930" s="378"/>
      <c r="S930" s="378"/>
      <c r="T930" s="378"/>
      <c r="U930" s="378"/>
      <c r="V930" s="378"/>
      <c r="W930" s="378"/>
      <c r="X930" s="378"/>
      <c r="Y930" s="378"/>
      <c r="Z930" s="378"/>
      <c r="AA930" s="378"/>
      <c r="AB930" s="378"/>
      <c r="AC930" s="378"/>
      <c r="AD930" s="378"/>
      <c r="AE930" s="378"/>
      <c r="AF930" s="378"/>
      <c r="AG930" s="378"/>
      <c r="AH930" s="378"/>
      <c r="AI930" s="378"/>
      <c r="AJ930" s="378"/>
      <c r="AK930" s="378"/>
      <c r="AL930" s="378"/>
      <c r="AM930" s="378"/>
      <c r="AN930" s="378"/>
      <c r="AO930" s="378"/>
      <c r="AP930" s="378"/>
      <c r="AQ930" s="378"/>
      <c r="AR930" s="378"/>
      <c r="AS930" s="378"/>
      <c r="AT930" s="378"/>
      <c r="AU930" s="378"/>
    </row>
    <row r="931" spans="1:47" s="18" customFormat="1" x14ac:dyDescent="0.25">
      <c r="A931" s="378"/>
      <c r="B931" s="1095">
        <f>IF(('3 INDICADORES'!C259&lt;=100),0.7,0.1)</f>
        <v>0.7</v>
      </c>
      <c r="C931" s="1095">
        <f>IF(('3 INDICADORES'!C260&lt;=100),0.7,0.1)</f>
        <v>0.7</v>
      </c>
      <c r="D931" s="45"/>
      <c r="E931" s="45"/>
      <c r="F931" s="45"/>
      <c r="G931" s="2119"/>
      <c r="H931" s="2119"/>
      <c r="I931" s="2119"/>
      <c r="J931" s="2119"/>
      <c r="K931" s="378"/>
      <c r="L931" s="378"/>
      <c r="M931" s="378"/>
      <c r="N931" s="378"/>
      <c r="O931" s="378"/>
      <c r="P931" s="378"/>
      <c r="Q931" s="378"/>
      <c r="R931" s="378"/>
      <c r="S931" s="378"/>
      <c r="T931" s="378"/>
      <c r="U931" s="378"/>
      <c r="V931" s="378"/>
      <c r="W931" s="378"/>
      <c r="X931" s="378"/>
      <c r="Y931" s="378"/>
      <c r="Z931" s="378"/>
      <c r="AA931" s="378"/>
      <c r="AB931" s="378"/>
      <c r="AC931" s="378"/>
      <c r="AD931" s="378"/>
      <c r="AE931" s="378"/>
      <c r="AF931" s="378"/>
      <c r="AG931" s="378"/>
      <c r="AH931" s="378"/>
      <c r="AI931" s="378"/>
      <c r="AJ931" s="378"/>
      <c r="AK931" s="378"/>
      <c r="AL931" s="378"/>
      <c r="AM931" s="378"/>
      <c r="AN931" s="378"/>
      <c r="AO931" s="378"/>
      <c r="AP931" s="378"/>
      <c r="AQ931" s="378"/>
      <c r="AR931" s="378"/>
      <c r="AS931" s="378"/>
      <c r="AT931" s="378"/>
      <c r="AU931" s="378"/>
    </row>
    <row r="932" spans="1:47" s="18" customFormat="1" x14ac:dyDescent="0.25">
      <c r="A932" s="378"/>
      <c r="B932" s="474"/>
      <c r="C932" s="474"/>
      <c r="D932" s="474"/>
      <c r="E932" s="474"/>
      <c r="F932" s="474"/>
      <c r="G932" s="1145"/>
      <c r="H932" s="1145"/>
      <c r="I932" s="1145"/>
      <c r="J932" s="1145"/>
      <c r="K932" s="378"/>
      <c r="L932" s="378"/>
      <c r="M932" s="378"/>
      <c r="N932" s="378"/>
      <c r="O932" s="378"/>
      <c r="P932" s="378"/>
      <c r="Q932" s="378"/>
      <c r="R932" s="378"/>
      <c r="S932" s="378"/>
      <c r="T932" s="378"/>
      <c r="U932" s="378"/>
      <c r="V932" s="378"/>
      <c r="W932" s="378"/>
      <c r="X932" s="378"/>
      <c r="Y932" s="378"/>
      <c r="Z932" s="378"/>
      <c r="AA932" s="378"/>
      <c r="AB932" s="378"/>
      <c r="AC932" s="378"/>
      <c r="AD932" s="378"/>
      <c r="AE932" s="378"/>
      <c r="AF932" s="378"/>
      <c r="AG932" s="378"/>
      <c r="AH932" s="378"/>
      <c r="AI932" s="378"/>
      <c r="AJ932" s="378"/>
      <c r="AK932" s="378"/>
      <c r="AL932" s="378"/>
      <c r="AM932" s="378"/>
      <c r="AN932" s="378"/>
      <c r="AO932" s="378"/>
      <c r="AP932" s="378"/>
      <c r="AQ932" s="378"/>
      <c r="AR932" s="378"/>
      <c r="AS932" s="378"/>
      <c r="AT932" s="378"/>
      <c r="AU932" s="378"/>
    </row>
    <row r="933" spans="1:47" s="18" customFormat="1" x14ac:dyDescent="0.25">
      <c r="A933" s="378"/>
      <c r="B933" s="367"/>
      <c r="C933" s="367"/>
      <c r="D933" s="367"/>
      <c r="E933" s="367"/>
      <c r="F933" s="367"/>
      <c r="G933" s="378"/>
      <c r="H933" s="378"/>
      <c r="I933" s="378"/>
      <c r="J933" s="378"/>
      <c r="K933" s="378"/>
      <c r="L933" s="378"/>
      <c r="M933" s="378"/>
      <c r="N933" s="378"/>
      <c r="O933" s="378"/>
      <c r="P933" s="378"/>
      <c r="Q933" s="378"/>
      <c r="R933" s="378"/>
      <c r="S933" s="378"/>
      <c r="T933" s="378"/>
      <c r="U933" s="378"/>
      <c r="V933" s="378"/>
      <c r="W933" s="378"/>
      <c r="X933" s="378"/>
      <c r="Y933" s="378"/>
      <c r="Z933" s="378"/>
      <c r="AA933" s="378"/>
      <c r="AB933" s="378"/>
      <c r="AC933" s="378"/>
      <c r="AD933" s="378"/>
      <c r="AE933" s="378"/>
      <c r="AF933" s="378"/>
      <c r="AG933" s="378"/>
      <c r="AH933" s="378"/>
      <c r="AI933" s="378"/>
      <c r="AJ933" s="378"/>
      <c r="AK933" s="378"/>
      <c r="AL933" s="378"/>
      <c r="AM933" s="378"/>
      <c r="AN933" s="378"/>
      <c r="AO933" s="378"/>
      <c r="AP933" s="378"/>
      <c r="AQ933" s="378"/>
      <c r="AR933" s="378"/>
      <c r="AS933" s="378"/>
      <c r="AT933" s="378"/>
      <c r="AU933" s="378"/>
    </row>
    <row r="934" spans="1:47" s="453" customFormat="1" ht="15.75" x14ac:dyDescent="0.25">
      <c r="A934" s="378"/>
      <c r="B934" s="2060" t="s">
        <v>766</v>
      </c>
      <c r="C934" s="2060"/>
      <c r="D934" s="2060"/>
      <c r="E934" s="2060"/>
      <c r="F934" s="2060"/>
      <c r="G934" s="2050" t="s">
        <v>913</v>
      </c>
      <c r="H934" s="2050"/>
      <c r="I934" s="2050"/>
      <c r="J934" s="2050"/>
      <c r="K934" s="378"/>
      <c r="L934" s="378"/>
      <c r="M934" s="378"/>
      <c r="N934" s="378"/>
      <c r="O934" s="378"/>
      <c r="P934" s="378"/>
      <c r="Q934" s="378"/>
      <c r="R934" s="378"/>
      <c r="S934" s="378"/>
      <c r="T934" s="378"/>
      <c r="U934" s="378"/>
      <c r="V934" s="378"/>
      <c r="W934" s="378"/>
      <c r="X934" s="378"/>
      <c r="Y934" s="378"/>
      <c r="Z934" s="378"/>
      <c r="AA934" s="378"/>
      <c r="AB934" s="378"/>
      <c r="AC934" s="378"/>
      <c r="AD934" s="378"/>
      <c r="AE934" s="378"/>
      <c r="AF934" s="378"/>
      <c r="AG934" s="378"/>
      <c r="AH934" s="378"/>
      <c r="AI934" s="378"/>
      <c r="AJ934" s="378"/>
      <c r="AK934" s="378"/>
      <c r="AL934" s="378"/>
      <c r="AM934" s="378"/>
      <c r="AN934" s="378"/>
      <c r="AO934" s="378"/>
      <c r="AP934" s="378"/>
      <c r="AQ934" s="378"/>
      <c r="AR934" s="378"/>
      <c r="AS934" s="378"/>
      <c r="AT934" s="378"/>
      <c r="AU934" s="378"/>
    </row>
    <row r="935" spans="1:47" s="453" customFormat="1" x14ac:dyDescent="0.25">
      <c r="A935" s="378"/>
      <c r="B935" s="2099" t="s">
        <v>894</v>
      </c>
      <c r="C935" s="2099"/>
      <c r="D935" s="2161" t="s">
        <v>895</v>
      </c>
      <c r="E935" s="2161"/>
      <c r="F935" s="1037"/>
      <c r="G935" s="2115" t="s">
        <v>896</v>
      </c>
      <c r="H935" s="2115"/>
      <c r="I935" s="2116" t="s">
        <v>897</v>
      </c>
      <c r="J935" s="2116"/>
      <c r="K935" s="378"/>
      <c r="L935" s="378"/>
      <c r="M935" s="378"/>
      <c r="N935" s="378"/>
      <c r="O935" s="378"/>
      <c r="P935" s="378"/>
      <c r="Q935" s="378"/>
      <c r="R935" s="378"/>
      <c r="S935" s="378"/>
      <c r="T935" s="378"/>
      <c r="U935" s="378"/>
      <c r="V935" s="378"/>
      <c r="W935" s="378"/>
      <c r="X935" s="378"/>
      <c r="Y935" s="378"/>
      <c r="Z935" s="378"/>
      <c r="AA935" s="378"/>
      <c r="AB935" s="378"/>
      <c r="AC935" s="378"/>
      <c r="AD935" s="378"/>
      <c r="AE935" s="378"/>
      <c r="AF935" s="378"/>
      <c r="AG935" s="378"/>
      <c r="AH935" s="378"/>
      <c r="AI935" s="378"/>
      <c r="AJ935" s="378"/>
      <c r="AK935" s="378"/>
      <c r="AL935" s="378"/>
      <c r="AM935" s="378"/>
      <c r="AN935" s="378"/>
      <c r="AO935" s="378"/>
      <c r="AP935" s="378"/>
      <c r="AQ935" s="378"/>
      <c r="AR935" s="378"/>
      <c r="AS935" s="378"/>
      <c r="AT935" s="378"/>
      <c r="AU935" s="378"/>
    </row>
    <row r="936" spans="1:47" s="453" customFormat="1" ht="15" customHeight="1" x14ac:dyDescent="0.25">
      <c r="A936" s="378"/>
      <c r="B936" s="2117" t="s">
        <v>914</v>
      </c>
      <c r="C936" s="2117"/>
      <c r="D936" s="2123">
        <v>0.7</v>
      </c>
      <c r="E936" s="2123"/>
      <c r="F936" s="1141"/>
      <c r="G936" s="2119" t="s">
        <v>915</v>
      </c>
      <c r="H936" s="2119"/>
      <c r="I936" s="2119" t="s">
        <v>916</v>
      </c>
      <c r="J936" s="2119"/>
      <c r="K936" s="378"/>
      <c r="L936" s="378"/>
      <c r="M936" s="378"/>
      <c r="N936" s="378"/>
      <c r="O936" s="378"/>
      <c r="P936" s="378"/>
      <c r="Q936" s="378"/>
      <c r="R936" s="378"/>
      <c r="S936" s="378"/>
      <c r="T936" s="378"/>
      <c r="U936" s="378"/>
      <c r="V936" s="378"/>
      <c r="W936" s="378"/>
      <c r="X936" s="378"/>
      <c r="Y936" s="378"/>
      <c r="Z936" s="378"/>
      <c r="AA936" s="378"/>
      <c r="AB936" s="378"/>
      <c r="AC936" s="378"/>
      <c r="AD936" s="378"/>
      <c r="AE936" s="378"/>
      <c r="AF936" s="378"/>
      <c r="AG936" s="378"/>
      <c r="AH936" s="378"/>
      <c r="AI936" s="378"/>
      <c r="AJ936" s="378"/>
      <c r="AK936" s="378"/>
      <c r="AL936" s="378"/>
      <c r="AM936" s="378"/>
      <c r="AN936" s="378"/>
      <c r="AO936" s="378"/>
      <c r="AP936" s="378"/>
      <c r="AQ936" s="378"/>
      <c r="AR936" s="378"/>
      <c r="AS936" s="378"/>
      <c r="AT936" s="378"/>
      <c r="AU936" s="378"/>
    </row>
    <row r="937" spans="1:47" s="453" customFormat="1" x14ac:dyDescent="0.25">
      <c r="A937" s="378"/>
      <c r="B937" s="2117" t="s">
        <v>917</v>
      </c>
      <c r="C937" s="2117"/>
      <c r="D937" s="2118">
        <v>0.1</v>
      </c>
      <c r="E937" s="2118"/>
      <c r="F937" s="173"/>
      <c r="G937" s="2119"/>
      <c r="H937" s="2119"/>
      <c r="I937" s="2119"/>
      <c r="J937" s="2119"/>
      <c r="K937" s="378"/>
      <c r="L937" s="378"/>
      <c r="M937" s="378"/>
      <c r="N937" s="378"/>
      <c r="O937" s="378"/>
      <c r="P937" s="378"/>
      <c r="Q937" s="378"/>
      <c r="R937" s="378"/>
      <c r="S937" s="378"/>
      <c r="T937" s="378"/>
      <c r="U937" s="378"/>
      <c r="V937" s="378"/>
      <c r="W937" s="378"/>
      <c r="X937" s="378"/>
      <c r="Y937" s="378"/>
      <c r="Z937" s="378"/>
      <c r="AA937" s="378"/>
      <c r="AB937" s="378"/>
      <c r="AC937" s="378"/>
      <c r="AD937" s="378"/>
      <c r="AE937" s="378"/>
      <c r="AF937" s="378"/>
      <c r="AG937" s="378"/>
      <c r="AH937" s="378"/>
      <c r="AI937" s="378"/>
      <c r="AJ937" s="378"/>
      <c r="AK937" s="378"/>
      <c r="AL937" s="378"/>
      <c r="AM937" s="378"/>
      <c r="AN937" s="378"/>
      <c r="AO937" s="378"/>
      <c r="AP937" s="378"/>
      <c r="AQ937" s="378"/>
      <c r="AR937" s="378"/>
      <c r="AS937" s="378"/>
      <c r="AT937" s="378"/>
      <c r="AU937" s="378"/>
    </row>
    <row r="938" spans="1:47" s="453" customFormat="1" x14ac:dyDescent="0.25">
      <c r="A938" s="378"/>
      <c r="B938" s="532"/>
      <c r="C938" s="45"/>
      <c r="D938" s="365"/>
      <c r="E938" s="173"/>
      <c r="F938" s="173"/>
      <c r="G938" s="2119"/>
      <c r="H938" s="2119"/>
      <c r="I938" s="2119"/>
      <c r="J938" s="2119"/>
      <c r="K938" s="378"/>
      <c r="L938" s="378"/>
      <c r="M938" s="378"/>
      <c r="N938" s="378"/>
      <c r="O938" s="378"/>
      <c r="P938" s="378"/>
      <c r="Q938" s="378"/>
      <c r="R938" s="378"/>
      <c r="S938" s="378"/>
      <c r="T938" s="378"/>
      <c r="U938" s="378"/>
      <c r="V938" s="378"/>
      <c r="W938" s="378"/>
      <c r="X938" s="378"/>
      <c r="Y938" s="378"/>
      <c r="Z938" s="378"/>
      <c r="AA938" s="378"/>
      <c r="AB938" s="378"/>
      <c r="AC938" s="378"/>
      <c r="AD938" s="378"/>
      <c r="AE938" s="378"/>
      <c r="AF938" s="378"/>
      <c r="AG938" s="378"/>
      <c r="AH938" s="378"/>
      <c r="AI938" s="378"/>
      <c r="AJ938" s="378"/>
      <c r="AK938" s="378"/>
      <c r="AL938" s="378"/>
      <c r="AM938" s="378"/>
      <c r="AN938" s="378"/>
      <c r="AO938" s="378"/>
      <c r="AP938" s="378"/>
      <c r="AQ938" s="378"/>
      <c r="AR938" s="378"/>
      <c r="AS938" s="378"/>
      <c r="AT938" s="378"/>
      <c r="AU938" s="378"/>
    </row>
    <row r="939" spans="1:47" s="18" customFormat="1" x14ac:dyDescent="0.25">
      <c r="A939" s="378"/>
      <c r="B939" s="1095">
        <f>IF(('3 INDICADORES'!G259&lt;=9.99),0.7,0.1)</f>
        <v>0.7</v>
      </c>
      <c r="C939" s="1095">
        <f>IF(('3 INDICADORES'!G260&lt;=9.99),0.7,0.1)</f>
        <v>0.7</v>
      </c>
      <c r="D939" s="45"/>
      <c r="E939" s="45"/>
      <c r="F939" s="45"/>
      <c r="G939" s="1145"/>
      <c r="H939" s="1145"/>
      <c r="I939" s="1145"/>
      <c r="J939" s="1145"/>
      <c r="K939" s="378"/>
      <c r="L939" s="378"/>
      <c r="M939" s="378"/>
      <c r="N939" s="378"/>
      <c r="O939" s="378"/>
      <c r="P939" s="378"/>
      <c r="Q939" s="378"/>
      <c r="R939" s="378"/>
      <c r="S939" s="378"/>
      <c r="T939" s="378"/>
      <c r="U939" s="378"/>
      <c r="V939" s="378"/>
      <c r="W939" s="378"/>
      <c r="X939" s="378"/>
      <c r="Y939" s="378"/>
      <c r="Z939" s="378"/>
      <c r="AA939" s="378"/>
      <c r="AB939" s="378"/>
      <c r="AC939" s="378"/>
      <c r="AD939" s="378"/>
      <c r="AE939" s="378"/>
      <c r="AF939" s="378"/>
      <c r="AG939" s="378"/>
      <c r="AH939" s="378"/>
      <c r="AI939" s="378"/>
      <c r="AJ939" s="378"/>
      <c r="AK939" s="378"/>
      <c r="AL939" s="378"/>
      <c r="AM939" s="378"/>
      <c r="AN939" s="378"/>
      <c r="AO939" s="378"/>
      <c r="AP939" s="378"/>
      <c r="AQ939" s="378"/>
      <c r="AR939" s="378"/>
      <c r="AS939" s="378"/>
      <c r="AT939" s="378"/>
      <c r="AU939" s="378"/>
    </row>
    <row r="940" spans="1:47" x14ac:dyDescent="0.25">
      <c r="A940" s="378"/>
      <c r="B940" s="474"/>
      <c r="C940" s="474"/>
      <c r="D940" s="474"/>
      <c r="E940" s="474"/>
      <c r="F940" s="474"/>
      <c r="G940" s="1145"/>
      <c r="H940" s="1145"/>
      <c r="I940" s="1145"/>
      <c r="J940" s="1145"/>
      <c r="K940" s="378"/>
      <c r="L940" s="378"/>
      <c r="M940" s="378"/>
      <c r="N940" s="378"/>
      <c r="O940" s="378"/>
      <c r="P940" s="378"/>
      <c r="Q940" s="378"/>
      <c r="R940" s="378"/>
      <c r="S940" s="378"/>
      <c r="T940" s="378"/>
      <c r="U940" s="378"/>
      <c r="V940" s="378"/>
      <c r="W940" s="378"/>
      <c r="X940" s="378"/>
      <c r="Y940" s="378"/>
      <c r="Z940" s="378"/>
      <c r="AA940" s="378"/>
      <c r="AB940" s="378"/>
      <c r="AC940" s="378"/>
      <c r="AD940" s="378"/>
      <c r="AE940" s="378"/>
      <c r="AF940" s="378"/>
      <c r="AG940" s="378"/>
      <c r="AH940" s="378"/>
      <c r="AI940" s="378"/>
      <c r="AJ940" s="378"/>
      <c r="AK940" s="378"/>
      <c r="AL940" s="378"/>
      <c r="AM940" s="378"/>
      <c r="AN940" s="378"/>
      <c r="AO940" s="378"/>
      <c r="AP940" s="378"/>
      <c r="AQ940" s="378"/>
      <c r="AR940" s="378"/>
      <c r="AS940" s="378"/>
      <c r="AT940" s="378"/>
      <c r="AU940" s="378"/>
    </row>
    <row r="941" spans="1:47" ht="15.75" x14ac:dyDescent="0.25">
      <c r="A941" s="378"/>
      <c r="B941" s="2060" t="s">
        <v>766</v>
      </c>
      <c r="C941" s="2060"/>
      <c r="D941" s="2060"/>
      <c r="E941" s="2060"/>
      <c r="F941" s="2060"/>
      <c r="G941" s="378"/>
      <c r="H941" s="378"/>
      <c r="I941" s="378"/>
      <c r="J941" s="378"/>
      <c r="K941" s="378"/>
      <c r="L941" s="378"/>
      <c r="M941" s="378"/>
      <c r="N941" s="378"/>
      <c r="O941" s="378"/>
      <c r="P941" s="378"/>
      <c r="Q941" s="378"/>
      <c r="R941" s="378"/>
      <c r="S941" s="378"/>
      <c r="T941" s="378"/>
      <c r="U941" s="378"/>
      <c r="V941" s="378"/>
      <c r="W941" s="378"/>
      <c r="X941" s="378"/>
      <c r="Y941" s="378"/>
      <c r="Z941" s="378"/>
      <c r="AA941" s="378"/>
      <c r="AB941" s="378"/>
      <c r="AC941" s="378"/>
      <c r="AD941" s="378"/>
      <c r="AE941" s="378"/>
      <c r="AF941" s="378"/>
      <c r="AG941" s="378"/>
      <c r="AH941" s="378"/>
      <c r="AI941" s="378"/>
      <c r="AJ941" s="378"/>
      <c r="AK941" s="378"/>
      <c r="AL941" s="378"/>
      <c r="AM941" s="378"/>
      <c r="AN941" s="378"/>
      <c r="AO941" s="378"/>
      <c r="AP941" s="378"/>
      <c r="AQ941" s="378"/>
      <c r="AR941" s="378"/>
      <c r="AS941" s="378"/>
      <c r="AT941" s="378"/>
      <c r="AU941" s="378"/>
    </row>
    <row r="942" spans="1:47" ht="15" customHeight="1" x14ac:dyDescent="0.25">
      <c r="A942" s="378"/>
      <c r="B942" s="2154" t="s">
        <v>918</v>
      </c>
      <c r="C942" s="2154"/>
      <c r="D942" s="2154"/>
      <c r="E942" s="2154"/>
      <c r="F942" s="2154"/>
      <c r="G942" s="378"/>
      <c r="H942" s="378"/>
      <c r="I942" s="378"/>
      <c r="J942" s="378"/>
      <c r="K942" s="378"/>
      <c r="L942" s="378"/>
      <c r="M942" s="378"/>
      <c r="N942" s="378"/>
      <c r="O942" s="378"/>
      <c r="P942" s="378"/>
      <c r="Q942" s="378"/>
      <c r="R942" s="378"/>
      <c r="S942" s="378"/>
      <c r="T942" s="378"/>
      <c r="U942" s="378"/>
      <c r="V942" s="378"/>
      <c r="W942" s="378"/>
      <c r="X942" s="378"/>
      <c r="Y942" s="378"/>
      <c r="Z942" s="378"/>
      <c r="AA942" s="378"/>
      <c r="AB942" s="378"/>
      <c r="AC942" s="378"/>
      <c r="AD942" s="378"/>
      <c r="AE942" s="378"/>
      <c r="AF942" s="378"/>
      <c r="AG942" s="378"/>
      <c r="AH942" s="378"/>
      <c r="AI942" s="378"/>
      <c r="AJ942" s="378"/>
      <c r="AK942" s="378"/>
      <c r="AL942" s="378"/>
      <c r="AM942" s="378"/>
      <c r="AN942" s="378"/>
      <c r="AO942" s="378"/>
      <c r="AP942" s="378"/>
      <c r="AQ942" s="378"/>
      <c r="AR942" s="378"/>
      <c r="AS942" s="378"/>
      <c r="AT942" s="378"/>
      <c r="AU942" s="378"/>
    </row>
    <row r="943" spans="1:47" x14ac:dyDescent="0.25">
      <c r="A943" s="378"/>
      <c r="B943" s="2154"/>
      <c r="C943" s="2154"/>
      <c r="D943" s="2154"/>
      <c r="E943" s="2154"/>
      <c r="F943" s="2154"/>
      <c r="G943" s="378"/>
      <c r="H943" s="378"/>
      <c r="I943" s="378"/>
      <c r="J943" s="1143">
        <f>IF('3 INDICADORES'!D254="",0,'3 INDICADORES'!D254*'3 INDICADORES'!D256)+IF('3 INDICADORES'!D259="",0,'3 INDICADORES'!D259*'3 INDICADORES'!D261)+IF('3 INDICADORES'!H254="",0,'3 INDICADORES'!H254*'3 INDICADORES'!H256)+IF('3 INDICADORES'!H259="",0,'3 INDICADORES'!H259*'3 INDICADORES'!H261)+IF('3 INDICADORES'!D262="",0,'3 INDICADORES'!D262*'3 INDICADORES'!D264)</f>
        <v>0</v>
      </c>
      <c r="K943" s="1144">
        <f>IF('3 INDICADORES'!D254="",0,'3 INDICADORES'!D256)+IF('3 INDICADORES'!D259="",0,'3 INDICADORES'!D261)+IF('3 INDICADORES'!H254="",0,'3 INDICADORES'!H256)+IF('3 INDICADORES'!H259="",0,'3 INDICADORES'!H261)+IF('3 INDICADORES'!D262="",0,'3 INDICADORES'!D264)</f>
        <v>4</v>
      </c>
      <c r="L943" s="1143">
        <f>+'GUIA DE APLICAÇÃO'!J943/K943</f>
        <v>0</v>
      </c>
      <c r="M943" s="378"/>
      <c r="N943" s="378"/>
      <c r="O943" s="378"/>
      <c r="P943" s="378"/>
      <c r="Q943" s="378"/>
      <c r="R943" s="378"/>
      <c r="S943" s="378"/>
      <c r="T943" s="378"/>
      <c r="U943" s="378"/>
      <c r="V943" s="378"/>
      <c r="W943" s="378"/>
      <c r="X943" s="378"/>
      <c r="Y943" s="378"/>
      <c r="Z943" s="378"/>
      <c r="AA943" s="378"/>
      <c r="AB943" s="378"/>
      <c r="AC943" s="378"/>
      <c r="AD943" s="378"/>
      <c r="AE943" s="378"/>
      <c r="AF943" s="378"/>
      <c r="AG943" s="378"/>
      <c r="AH943" s="378"/>
      <c r="AI943" s="378"/>
      <c r="AJ943" s="378"/>
      <c r="AK943" s="378"/>
      <c r="AL943" s="378"/>
      <c r="AM943" s="378"/>
      <c r="AN943" s="378"/>
      <c r="AO943" s="378"/>
      <c r="AP943" s="378"/>
      <c r="AQ943" s="378"/>
      <c r="AR943" s="378"/>
      <c r="AS943" s="378"/>
      <c r="AT943" s="378"/>
      <c r="AU943" s="378"/>
    </row>
    <row r="944" spans="1:47" x14ac:dyDescent="0.25">
      <c r="A944" s="378"/>
      <c r="B944" s="2154"/>
      <c r="C944" s="2154"/>
      <c r="D944" s="2154"/>
      <c r="E944" s="2154"/>
      <c r="F944" s="2154"/>
      <c r="G944" s="378"/>
      <c r="H944" s="378"/>
      <c r="I944" s="378"/>
      <c r="J944" s="1143">
        <f>IF('3 INDICADORES'!D255="",0,'3 INDICADORES'!D255*'3 INDICADORES'!D256)+IF('3 INDICADORES'!D260="",0,'3 INDICADORES'!D260*'3 INDICADORES'!D261)+IF('3 INDICADORES'!H255="",0,'3 INDICADORES'!H255*'3 INDICADORES'!H256)+IF('3 INDICADORES'!H260="",0,'3 INDICADORES'!H260*'3 INDICADORES'!H261)+IF('3 INDICADORES'!D263="",0,'3 INDICADORES'!D263*'3 INDICADORES'!D264)</f>
        <v>0</v>
      </c>
      <c r="K944" s="1144">
        <f>IF('3 INDICADORES'!D255="",0,'3 INDICADORES'!D256)+IF('3 INDICADORES'!D260="",0,'3 INDICADORES'!D261)+IF('3 INDICADORES'!H255="",0,'3 INDICADORES'!H256)+IF('3 INDICADORES'!H260="",0,'3 INDICADORES'!H261)+IF('3 INDICADORES'!D263="",0,'3 INDICADORES'!D264)</f>
        <v>4</v>
      </c>
      <c r="L944" s="1143">
        <f>+'GUIA DE APLICAÇÃO'!J944/K944</f>
        <v>0</v>
      </c>
      <c r="M944" s="378"/>
      <c r="N944" s="378"/>
      <c r="O944" s="378"/>
      <c r="P944" s="378"/>
      <c r="Q944" s="378"/>
      <c r="R944" s="378"/>
      <c r="S944" s="378"/>
      <c r="T944" s="378"/>
      <c r="U944" s="378"/>
      <c r="V944" s="378"/>
      <c r="W944" s="378"/>
      <c r="X944" s="378"/>
      <c r="Y944" s="378"/>
      <c r="Z944" s="378"/>
      <c r="AA944" s="378"/>
      <c r="AB944" s="378"/>
      <c r="AC944" s="378"/>
      <c r="AD944" s="378"/>
      <c r="AE944" s="378"/>
      <c r="AF944" s="378"/>
      <c r="AG944" s="378"/>
      <c r="AH944" s="378"/>
      <c r="AI944" s="378"/>
      <c r="AJ944" s="378"/>
      <c r="AK944" s="378"/>
      <c r="AL944" s="378"/>
      <c r="AM944" s="378"/>
      <c r="AN944" s="378"/>
      <c r="AO944" s="378"/>
      <c r="AP944" s="378"/>
      <c r="AQ944" s="378"/>
      <c r="AR944" s="378"/>
      <c r="AS944" s="378"/>
      <c r="AT944" s="378"/>
      <c r="AU944" s="378"/>
    </row>
    <row r="945" spans="1:47" x14ac:dyDescent="0.25">
      <c r="A945" s="378"/>
      <c r="B945" s="2154"/>
      <c r="C945" s="2154"/>
      <c r="D945" s="2154"/>
      <c r="E945" s="2154"/>
      <c r="F945" s="2154"/>
      <c r="G945" s="378"/>
      <c r="H945" s="378"/>
      <c r="I945" s="378"/>
      <c r="J945" s="378"/>
      <c r="K945" s="378"/>
      <c r="L945" s="378"/>
      <c r="M945" s="378"/>
      <c r="N945" s="378"/>
      <c r="O945" s="378"/>
      <c r="P945" s="378"/>
      <c r="Q945" s="378"/>
      <c r="R945" s="378"/>
      <c r="S945" s="378"/>
      <c r="T945" s="378"/>
      <c r="U945" s="378"/>
      <c r="V945" s="378"/>
      <c r="W945" s="378"/>
      <c r="X945" s="378"/>
      <c r="Y945" s="378"/>
      <c r="Z945" s="378"/>
      <c r="AA945" s="378"/>
      <c r="AB945" s="378"/>
      <c r="AC945" s="378"/>
      <c r="AD945" s="378"/>
      <c r="AE945" s="378"/>
      <c r="AF945" s="378"/>
      <c r="AG945" s="378"/>
      <c r="AH945" s="378"/>
      <c r="AI945" s="378"/>
      <c r="AJ945" s="378"/>
      <c r="AK945" s="378"/>
      <c r="AL945" s="378"/>
      <c r="AM945" s="378"/>
      <c r="AN945" s="378"/>
      <c r="AO945" s="378"/>
      <c r="AP945" s="378"/>
      <c r="AQ945" s="378"/>
      <c r="AR945" s="378"/>
      <c r="AS945" s="378"/>
      <c r="AT945" s="378"/>
      <c r="AU945" s="378"/>
    </row>
    <row r="946" spans="1:47" x14ac:dyDescent="0.25">
      <c r="A946" s="378"/>
      <c r="B946" s="378"/>
      <c r="C946" s="378"/>
      <c r="D946" s="378"/>
      <c r="E946" s="378"/>
      <c r="F946" s="378"/>
      <c r="G946" s="378"/>
      <c r="H946" s="378"/>
      <c r="I946" s="378"/>
      <c r="J946" s="378"/>
      <c r="K946" s="378"/>
      <c r="L946" s="378"/>
      <c r="M946" s="378"/>
      <c r="N946" s="378"/>
      <c r="O946" s="378"/>
      <c r="P946" s="378"/>
      <c r="Q946" s="378"/>
      <c r="R946" s="378"/>
      <c r="S946" s="378"/>
      <c r="T946" s="378"/>
      <c r="U946" s="378"/>
      <c r="V946" s="378"/>
      <c r="W946" s="378"/>
      <c r="X946" s="378"/>
      <c r="Y946" s="378"/>
      <c r="Z946" s="378"/>
      <c r="AA946" s="378"/>
      <c r="AB946" s="378"/>
      <c r="AC946" s="378"/>
      <c r="AD946" s="378"/>
      <c r="AE946" s="378"/>
      <c r="AF946" s="378"/>
      <c r="AG946" s="378"/>
      <c r="AH946" s="378"/>
      <c r="AI946" s="378"/>
      <c r="AJ946" s="378"/>
      <c r="AK946" s="378"/>
      <c r="AL946" s="378"/>
      <c r="AM946" s="378"/>
      <c r="AN946" s="378"/>
      <c r="AO946" s="378"/>
      <c r="AP946" s="378"/>
      <c r="AQ946" s="378"/>
      <c r="AR946" s="378"/>
      <c r="AS946" s="378"/>
      <c r="AT946" s="378"/>
      <c r="AU946" s="378"/>
    </row>
    <row r="947" spans="1:47" ht="15.75" x14ac:dyDescent="0.25">
      <c r="A947" s="378"/>
      <c r="B947" s="2060" t="s">
        <v>919</v>
      </c>
      <c r="C947" s="2060"/>
      <c r="D947" s="2060"/>
      <c r="E947" s="378"/>
      <c r="F947" s="378"/>
      <c r="G947" s="378"/>
      <c r="H947" s="378"/>
      <c r="I947" s="378"/>
      <c r="J947" s="378"/>
      <c r="K947" s="378"/>
      <c r="L947" s="378"/>
      <c r="M947" s="378"/>
      <c r="N947" s="378"/>
      <c r="O947" s="378"/>
      <c r="P947" s="378"/>
      <c r="Q947" s="378"/>
      <c r="R947" s="378"/>
      <c r="S947" s="378"/>
      <c r="T947" s="378"/>
      <c r="U947" s="378"/>
      <c r="V947" s="378"/>
      <c r="W947" s="378"/>
      <c r="X947" s="378"/>
      <c r="Y947" s="378"/>
      <c r="Z947" s="378"/>
      <c r="AA947" s="378"/>
      <c r="AB947" s="378"/>
      <c r="AC947" s="378"/>
      <c r="AD947" s="378"/>
      <c r="AE947" s="378"/>
      <c r="AF947" s="378"/>
      <c r="AG947" s="378"/>
      <c r="AH947" s="378"/>
      <c r="AI947" s="378"/>
      <c r="AJ947" s="378"/>
      <c r="AK947" s="378"/>
      <c r="AL947" s="378"/>
      <c r="AM947" s="378"/>
      <c r="AN947" s="378"/>
      <c r="AO947" s="378"/>
      <c r="AP947" s="378"/>
      <c r="AQ947" s="378"/>
      <c r="AR947" s="378"/>
      <c r="AS947" s="378"/>
      <c r="AT947" s="378"/>
      <c r="AU947" s="378"/>
    </row>
    <row r="948" spans="1:47" ht="24" customHeight="1" x14ac:dyDescent="0.25">
      <c r="A948" s="378"/>
      <c r="B948" s="2096" t="s">
        <v>920</v>
      </c>
      <c r="C948" s="2096"/>
      <c r="D948" s="2096"/>
      <c r="E948" s="378"/>
      <c r="F948" s="378"/>
      <c r="G948" s="378"/>
      <c r="H948" s="378"/>
      <c r="I948" s="378"/>
      <c r="J948" s="378"/>
      <c r="K948" s="378"/>
      <c r="L948" s="378"/>
      <c r="M948" s="378"/>
      <c r="N948" s="378"/>
      <c r="O948" s="378"/>
      <c r="P948" s="378"/>
      <c r="Q948" s="378"/>
      <c r="R948" s="378"/>
      <c r="S948" s="378"/>
      <c r="T948" s="378"/>
      <c r="U948" s="378"/>
      <c r="V948" s="378"/>
      <c r="W948" s="378"/>
      <c r="X948" s="378"/>
      <c r="Y948" s="378"/>
      <c r="Z948" s="378"/>
      <c r="AA948" s="378"/>
      <c r="AB948" s="378"/>
      <c r="AC948" s="378"/>
      <c r="AD948" s="378"/>
      <c r="AE948" s="378"/>
      <c r="AF948" s="378"/>
      <c r="AG948" s="378"/>
      <c r="AH948" s="378"/>
      <c r="AI948" s="378"/>
      <c r="AJ948" s="378"/>
      <c r="AK948" s="378"/>
      <c r="AL948" s="378"/>
      <c r="AM948" s="378"/>
      <c r="AN948" s="378"/>
      <c r="AO948" s="378"/>
      <c r="AP948" s="378"/>
      <c r="AQ948" s="378"/>
      <c r="AR948" s="378"/>
      <c r="AS948" s="378"/>
      <c r="AT948" s="378"/>
      <c r="AU948" s="378"/>
    </row>
    <row r="949" spans="1:47" ht="24.75" customHeight="1" x14ac:dyDescent="0.25">
      <c r="A949" s="378"/>
      <c r="B949" s="2096"/>
      <c r="C949" s="2096"/>
      <c r="D949" s="2096"/>
      <c r="E949" s="378"/>
      <c r="F949" s="1143">
        <f>IF('3 INDICADORES'!F265&lt;'3 INDICADORES'!F266,'3 INDICADORES'!F265,'3 INDICADORES'!F266)</f>
        <v>0</v>
      </c>
      <c r="G949" s="378"/>
      <c r="H949" s="378"/>
      <c r="I949" s="378"/>
      <c r="J949" s="378"/>
      <c r="K949" s="378"/>
      <c r="L949" s="378"/>
      <c r="M949" s="378"/>
      <c r="N949" s="378"/>
      <c r="O949" s="378"/>
      <c r="P949" s="378"/>
      <c r="Q949" s="378"/>
      <c r="R949" s="378"/>
      <c r="S949" s="378"/>
      <c r="T949" s="378"/>
      <c r="U949" s="378"/>
      <c r="V949" s="378"/>
      <c r="W949" s="378"/>
      <c r="X949" s="378"/>
      <c r="Y949" s="378"/>
      <c r="Z949" s="378"/>
      <c r="AA949" s="378"/>
      <c r="AB949" s="378"/>
      <c r="AC949" s="378"/>
      <c r="AD949" s="378"/>
      <c r="AE949" s="378"/>
      <c r="AF949" s="378"/>
      <c r="AG949" s="378"/>
      <c r="AH949" s="378"/>
      <c r="AI949" s="378"/>
      <c r="AJ949" s="378"/>
      <c r="AK949" s="378"/>
      <c r="AL949" s="378"/>
      <c r="AM949" s="378"/>
      <c r="AN949" s="378"/>
      <c r="AO949" s="378"/>
      <c r="AP949" s="378"/>
      <c r="AQ949" s="378"/>
      <c r="AR949" s="378"/>
      <c r="AS949" s="378"/>
      <c r="AT949" s="378"/>
      <c r="AU949" s="378"/>
    </row>
    <row r="950" spans="1:47" x14ac:dyDescent="0.25">
      <c r="A950" s="378"/>
      <c r="B950" s="378"/>
      <c r="C950" s="378"/>
      <c r="D950" s="378"/>
      <c r="E950" s="378"/>
      <c r="F950" s="378"/>
      <c r="G950" s="378"/>
      <c r="H950" s="378"/>
      <c r="I950" s="378"/>
      <c r="J950" s="378"/>
      <c r="K950" s="378"/>
      <c r="L950" s="378"/>
      <c r="M950" s="378"/>
      <c r="N950" s="378"/>
      <c r="O950" s="378"/>
      <c r="P950" s="378"/>
      <c r="Q950" s="378"/>
      <c r="R950" s="378"/>
      <c r="S950" s="378"/>
      <c r="T950" s="378"/>
      <c r="U950" s="378"/>
      <c r="V950" s="378"/>
      <c r="W950" s="378"/>
      <c r="X950" s="378"/>
      <c r="Y950" s="378"/>
      <c r="Z950" s="378"/>
      <c r="AA950" s="378"/>
      <c r="AB950" s="378"/>
      <c r="AC950" s="378"/>
      <c r="AD950" s="378"/>
      <c r="AE950" s="378"/>
      <c r="AF950" s="378"/>
      <c r="AG950" s="378"/>
      <c r="AH950" s="378"/>
      <c r="AI950" s="378"/>
      <c r="AJ950" s="378"/>
      <c r="AK950" s="378"/>
      <c r="AL950" s="378"/>
      <c r="AM950" s="378"/>
      <c r="AN950" s="378"/>
      <c r="AO950" s="378"/>
      <c r="AP950" s="378"/>
      <c r="AQ950" s="378"/>
      <c r="AR950" s="378"/>
      <c r="AS950" s="378"/>
      <c r="AT950" s="378"/>
      <c r="AU950" s="378"/>
    </row>
    <row r="951" spans="1:47" ht="18.75" x14ac:dyDescent="0.3">
      <c r="A951" s="751"/>
      <c r="B951" s="2127" t="s">
        <v>766</v>
      </c>
      <c r="C951" s="2128"/>
      <c r="D951" s="378"/>
      <c r="E951" s="2097" t="s">
        <v>893</v>
      </c>
      <c r="F951" s="2097"/>
      <c r="G951" s="2097"/>
      <c r="H951" s="2097"/>
      <c r="I951" s="378"/>
      <c r="J951" s="378"/>
      <c r="K951" s="378"/>
      <c r="L951" s="378"/>
      <c r="M951" s="378"/>
      <c r="N951" s="378"/>
      <c r="O951" s="378"/>
      <c r="P951" s="378"/>
      <c r="Q951" s="378"/>
      <c r="R951" s="378"/>
      <c r="S951" s="378"/>
      <c r="T951" s="378"/>
      <c r="U951" s="378"/>
      <c r="V951" s="378"/>
      <c r="W951" s="378"/>
      <c r="X951" s="378"/>
      <c r="Y951" s="378"/>
      <c r="Z951" s="378"/>
      <c r="AA951" s="378"/>
      <c r="AB951" s="378"/>
      <c r="AC951" s="378"/>
      <c r="AD951" s="378"/>
      <c r="AE951" s="378"/>
      <c r="AF951" s="378"/>
      <c r="AG951" s="378"/>
      <c r="AH951" s="378"/>
      <c r="AI951" s="378"/>
      <c r="AJ951" s="378"/>
      <c r="AK951" s="378"/>
      <c r="AL951" s="378"/>
      <c r="AM951" s="378"/>
      <c r="AN951" s="378"/>
      <c r="AO951" s="378"/>
      <c r="AP951" s="378"/>
      <c r="AQ951" s="378"/>
      <c r="AR951" s="378"/>
      <c r="AS951" s="378"/>
      <c r="AT951" s="378"/>
      <c r="AU951" s="378"/>
    </row>
    <row r="952" spans="1:47" x14ac:dyDescent="0.25">
      <c r="A952" s="378"/>
      <c r="B952" s="1527" t="s">
        <v>894</v>
      </c>
      <c r="C952" s="1541" t="s">
        <v>895</v>
      </c>
      <c r="D952" s="378"/>
      <c r="E952" s="2116" t="s">
        <v>897</v>
      </c>
      <c r="F952" s="2116"/>
      <c r="G952" s="2116"/>
      <c r="H952" s="2116"/>
      <c r="I952" s="378"/>
      <c r="J952" s="378"/>
      <c r="K952" s="378"/>
      <c r="L952" s="378"/>
      <c r="M952" s="378"/>
      <c r="N952" s="378"/>
      <c r="O952" s="378"/>
      <c r="P952" s="378"/>
      <c r="Q952" s="378"/>
      <c r="R952" s="378"/>
      <c r="S952" s="378"/>
      <c r="T952" s="378"/>
      <c r="U952" s="378"/>
      <c r="V952" s="378"/>
      <c r="W952" s="378"/>
      <c r="X952" s="378"/>
      <c r="Y952" s="378"/>
      <c r="Z952" s="378"/>
      <c r="AA952" s="378"/>
      <c r="AB952" s="378"/>
      <c r="AC952" s="378"/>
      <c r="AD952" s="378"/>
      <c r="AE952" s="378"/>
      <c r="AF952" s="378"/>
      <c r="AG952" s="378"/>
      <c r="AH952" s="378"/>
      <c r="AI952" s="378"/>
      <c r="AJ952" s="378"/>
      <c r="AK952" s="378"/>
      <c r="AL952" s="378"/>
      <c r="AM952" s="378"/>
      <c r="AN952" s="378"/>
      <c r="AO952" s="378"/>
      <c r="AP952" s="378"/>
      <c r="AQ952" s="378"/>
      <c r="AR952" s="378"/>
      <c r="AS952" s="378"/>
      <c r="AT952" s="378"/>
      <c r="AU952" s="378"/>
    </row>
    <row r="953" spans="1:47" ht="15" customHeight="1" x14ac:dyDescent="0.25">
      <c r="A953" s="378"/>
      <c r="B953" s="1106" t="s">
        <v>921</v>
      </c>
      <c r="C953" s="1542">
        <v>0.7</v>
      </c>
      <c r="D953" s="378"/>
      <c r="E953" s="2150" t="s">
        <v>900</v>
      </c>
      <c r="F953" s="2150"/>
      <c r="G953" s="2150"/>
      <c r="H953" s="2150"/>
      <c r="I953" s="378"/>
      <c r="J953" s="378"/>
      <c r="K953" s="378"/>
      <c r="L953" s="378"/>
      <c r="M953" s="378"/>
      <c r="N953" s="378"/>
      <c r="O953" s="378"/>
      <c r="P953" s="378"/>
      <c r="Q953" s="378"/>
      <c r="R953" s="378"/>
      <c r="S953" s="378"/>
      <c r="T953" s="378"/>
      <c r="U953" s="378"/>
      <c r="V953" s="378"/>
      <c r="W953" s="378"/>
      <c r="X953" s="378"/>
      <c r="Y953" s="378"/>
      <c r="Z953" s="378"/>
      <c r="AA953" s="378"/>
      <c r="AB953" s="378"/>
      <c r="AC953" s="378"/>
      <c r="AD953" s="378"/>
      <c r="AE953" s="378"/>
      <c r="AF953" s="378"/>
      <c r="AG953" s="378"/>
      <c r="AH953" s="378"/>
      <c r="AI953" s="378"/>
      <c r="AJ953" s="378"/>
      <c r="AK953" s="378"/>
      <c r="AL953" s="378"/>
      <c r="AM953" s="378"/>
      <c r="AN953" s="378"/>
      <c r="AO953" s="378"/>
      <c r="AP953" s="378"/>
      <c r="AQ953" s="378"/>
      <c r="AR953" s="378"/>
      <c r="AS953" s="378"/>
      <c r="AT953" s="378"/>
      <c r="AU953" s="378"/>
    </row>
    <row r="954" spans="1:47" x14ac:dyDescent="0.25">
      <c r="A954" s="378"/>
      <c r="B954" s="1539" t="s">
        <v>922</v>
      </c>
      <c r="C954" s="1540">
        <v>0.3</v>
      </c>
      <c r="D954" s="378"/>
      <c r="E954" s="378"/>
      <c r="F954" s="378"/>
      <c r="G954" s="548"/>
      <c r="H954" s="548"/>
      <c r="I954" s="378"/>
      <c r="J954" s="378"/>
      <c r="K954" s="378"/>
      <c r="L954" s="378"/>
      <c r="M954" s="378"/>
      <c r="N954" s="378"/>
      <c r="O954" s="378"/>
      <c r="P954" s="378"/>
      <c r="Q954" s="378"/>
      <c r="R954" s="378"/>
      <c r="S954" s="378"/>
      <c r="T954" s="378"/>
      <c r="U954" s="378"/>
      <c r="V954" s="378"/>
      <c r="W954" s="378"/>
      <c r="X954" s="378"/>
      <c r="Y954" s="378"/>
      <c r="Z954" s="378"/>
      <c r="AA954" s="378"/>
      <c r="AB954" s="378"/>
      <c r="AC954" s="378"/>
      <c r="AD954" s="378"/>
      <c r="AE954" s="378"/>
      <c r="AF954" s="378"/>
      <c r="AG954" s="378"/>
      <c r="AH954" s="378"/>
      <c r="AI954" s="378"/>
      <c r="AJ954" s="378"/>
      <c r="AK954" s="378"/>
      <c r="AL954" s="378"/>
      <c r="AM954" s="378"/>
      <c r="AN954" s="378"/>
      <c r="AO954" s="378"/>
      <c r="AP954" s="378"/>
      <c r="AQ954" s="378"/>
      <c r="AR954" s="378"/>
      <c r="AS954" s="378"/>
      <c r="AT954" s="378"/>
      <c r="AU954" s="378"/>
    </row>
    <row r="955" spans="1:47" x14ac:dyDescent="0.25">
      <c r="A955" s="378"/>
      <c r="B955" s="1146" t="s">
        <v>923</v>
      </c>
      <c r="C955" s="1147"/>
      <c r="D955" s="378"/>
      <c r="E955" s="378"/>
      <c r="F955" s="378"/>
      <c r="G955" s="548"/>
      <c r="H955" s="548"/>
      <c r="I955" s="378"/>
      <c r="J955" s="378"/>
      <c r="K955" s="378"/>
      <c r="L955" s="378"/>
      <c r="M955" s="378"/>
      <c r="N955" s="378"/>
      <c r="O955" s="378"/>
      <c r="P955" s="378"/>
      <c r="Q955" s="378"/>
      <c r="R955" s="378"/>
      <c r="S955" s="378"/>
      <c r="T955" s="378"/>
      <c r="U955" s="378"/>
      <c r="V955" s="378"/>
      <c r="W955" s="378"/>
      <c r="X955" s="378"/>
      <c r="Y955" s="378"/>
      <c r="Z955" s="378"/>
      <c r="AA955" s="378"/>
      <c r="AB955" s="378"/>
      <c r="AC955" s="378"/>
      <c r="AD955" s="378"/>
      <c r="AE955" s="378"/>
      <c r="AF955" s="378"/>
      <c r="AG955" s="378"/>
      <c r="AH955" s="378"/>
      <c r="AI955" s="378"/>
      <c r="AJ955" s="378"/>
      <c r="AK955" s="378"/>
      <c r="AL955" s="378"/>
      <c r="AM955" s="378"/>
      <c r="AN955" s="378"/>
      <c r="AO955" s="378"/>
      <c r="AP955" s="378"/>
      <c r="AQ955" s="378"/>
      <c r="AR955" s="378"/>
      <c r="AS955" s="378"/>
      <c r="AT955" s="378"/>
      <c r="AU955" s="378"/>
    </row>
    <row r="956" spans="1:47" x14ac:dyDescent="0.25">
      <c r="A956" s="378"/>
      <c r="B956" s="1095">
        <f>IF(('3 INDICADORES'!C272&gt;=6)*OR('3 INDICADORES'!C272&lt;=9.5),0.7,0.3)</f>
        <v>0.3</v>
      </c>
      <c r="C956" s="1148"/>
      <c r="D956" s="378"/>
      <c r="E956" s="378"/>
      <c r="F956" s="378"/>
      <c r="G956" s="378"/>
      <c r="H956" s="378"/>
      <c r="I956" s="378"/>
      <c r="J956" s="378"/>
      <c r="K956" s="378"/>
      <c r="L956" s="378"/>
      <c r="M956" s="378"/>
      <c r="N956" s="378"/>
      <c r="O956" s="378"/>
      <c r="P956" s="378"/>
      <c r="Q956" s="378"/>
      <c r="R956" s="378"/>
      <c r="S956" s="378"/>
      <c r="T956" s="378"/>
      <c r="U956" s="378"/>
      <c r="V956" s="378"/>
      <c r="W956" s="378"/>
      <c r="X956" s="378"/>
      <c r="Y956" s="378"/>
      <c r="Z956" s="378"/>
      <c r="AA956" s="378"/>
      <c r="AB956" s="378"/>
      <c r="AC956" s="378"/>
      <c r="AD956" s="378"/>
      <c r="AE956" s="378"/>
      <c r="AF956" s="378"/>
      <c r="AG956" s="378"/>
      <c r="AH956" s="378"/>
      <c r="AI956" s="378"/>
      <c r="AJ956" s="378"/>
      <c r="AK956" s="378"/>
      <c r="AL956" s="378"/>
      <c r="AM956" s="378"/>
      <c r="AN956" s="378"/>
      <c r="AO956" s="378"/>
      <c r="AP956" s="378"/>
      <c r="AQ956" s="378"/>
      <c r="AR956" s="378"/>
      <c r="AS956" s="378"/>
      <c r="AT956" s="378"/>
      <c r="AU956" s="378"/>
    </row>
    <row r="957" spans="1:47" x14ac:dyDescent="0.25">
      <c r="A957" s="378"/>
      <c r="B957" s="378"/>
      <c r="C957" s="378"/>
      <c r="D957" s="378"/>
      <c r="E957" s="378"/>
      <c r="F957" s="378"/>
      <c r="G957" s="378"/>
      <c r="H957" s="378"/>
      <c r="I957" s="378"/>
      <c r="J957" s="378"/>
      <c r="K957" s="378"/>
      <c r="L957" s="378"/>
      <c r="M957" s="378"/>
      <c r="N957" s="378"/>
      <c r="O957" s="378"/>
      <c r="P957" s="378"/>
      <c r="Q957" s="378"/>
      <c r="R957" s="378"/>
      <c r="S957" s="378"/>
      <c r="T957" s="378"/>
      <c r="U957" s="378"/>
      <c r="V957" s="378"/>
      <c r="W957" s="378"/>
      <c r="X957" s="378"/>
      <c r="Y957" s="378"/>
      <c r="Z957" s="378"/>
      <c r="AA957" s="378"/>
      <c r="AB957" s="378"/>
      <c r="AC957" s="378"/>
      <c r="AD957" s="378"/>
      <c r="AE957" s="378"/>
      <c r="AF957" s="378"/>
      <c r="AG957" s="378"/>
      <c r="AH957" s="378"/>
      <c r="AI957" s="378"/>
      <c r="AJ957" s="378"/>
      <c r="AK957" s="378"/>
      <c r="AL957" s="378"/>
      <c r="AM957" s="378"/>
      <c r="AN957" s="378"/>
      <c r="AO957" s="378"/>
      <c r="AP957" s="378"/>
      <c r="AQ957" s="378"/>
      <c r="AR957" s="378"/>
      <c r="AS957" s="378"/>
      <c r="AT957" s="378"/>
      <c r="AU957" s="378"/>
    </row>
    <row r="958" spans="1:47" ht="18.75" x14ac:dyDescent="0.3">
      <c r="A958" s="355"/>
      <c r="B958" s="2135" t="s">
        <v>766</v>
      </c>
      <c r="C958" s="2135"/>
      <c r="D958" s="3"/>
      <c r="E958" s="2097" t="s">
        <v>924</v>
      </c>
      <c r="F958" s="2097"/>
      <c r="G958" s="2097"/>
      <c r="H958" s="2097"/>
      <c r="I958" s="378"/>
      <c r="J958" s="532"/>
      <c r="K958" s="378"/>
      <c r="L958" s="378"/>
      <c r="M958" s="378"/>
      <c r="N958" s="378"/>
      <c r="O958" s="378"/>
      <c r="P958" s="378"/>
      <c r="Q958" s="378"/>
      <c r="R958" s="378"/>
      <c r="S958" s="378"/>
      <c r="T958" s="378"/>
      <c r="U958" s="378"/>
      <c r="V958" s="378"/>
      <c r="W958" s="378"/>
      <c r="X958" s="378"/>
      <c r="Y958" s="378"/>
      <c r="Z958" s="378"/>
      <c r="AA958" s="378"/>
      <c r="AB958" s="378"/>
      <c r="AC958" s="378"/>
      <c r="AD958" s="378"/>
      <c r="AE958" s="378"/>
      <c r="AF958" s="378"/>
      <c r="AG958" s="378"/>
      <c r="AH958" s="378"/>
      <c r="AI958" s="378"/>
      <c r="AJ958" s="378"/>
      <c r="AK958" s="378"/>
      <c r="AL958" s="378"/>
      <c r="AM958" s="378"/>
      <c r="AN958" s="378"/>
      <c r="AO958" s="378"/>
      <c r="AP958" s="378"/>
      <c r="AQ958" s="378"/>
      <c r="AR958" s="378"/>
      <c r="AS958" s="378"/>
      <c r="AT958" s="378"/>
      <c r="AU958" s="378"/>
    </row>
    <row r="959" spans="1:47" x14ac:dyDescent="0.25">
      <c r="A959" s="378"/>
      <c r="B959" s="1527" t="s">
        <v>894</v>
      </c>
      <c r="C959" s="1527" t="s">
        <v>925</v>
      </c>
      <c r="D959" s="3"/>
      <c r="E959" s="2115" t="s">
        <v>926</v>
      </c>
      <c r="F959" s="2115"/>
      <c r="G959" s="2116" t="s">
        <v>897</v>
      </c>
      <c r="H959" s="2116"/>
      <c r="I959" s="378"/>
      <c r="J959" s="378"/>
      <c r="K959" s="378"/>
      <c r="L959" s="378"/>
      <c r="M959" s="378"/>
      <c r="N959" s="378"/>
      <c r="O959" s="378"/>
      <c r="P959" s="378"/>
      <c r="Q959" s="378"/>
      <c r="R959" s="378"/>
      <c r="S959" s="378"/>
      <c r="T959" s="378"/>
      <c r="U959" s="378"/>
      <c r="V959" s="378"/>
      <c r="W959" s="378"/>
      <c r="X959" s="378"/>
      <c r="Y959" s="378"/>
      <c r="Z959" s="378"/>
      <c r="AA959" s="378"/>
      <c r="AB959" s="378"/>
      <c r="AC959" s="378"/>
      <c r="AD959" s="378"/>
      <c r="AE959" s="378"/>
      <c r="AF959" s="378"/>
      <c r="AG959" s="378"/>
      <c r="AH959" s="378"/>
      <c r="AI959" s="378"/>
      <c r="AJ959" s="378"/>
      <c r="AK959" s="378"/>
      <c r="AL959" s="378"/>
      <c r="AM959" s="378"/>
      <c r="AN959" s="378"/>
      <c r="AO959" s="378"/>
      <c r="AP959" s="378"/>
      <c r="AQ959" s="378"/>
      <c r="AR959" s="378"/>
      <c r="AS959" s="378"/>
      <c r="AT959" s="378"/>
      <c r="AU959" s="378"/>
    </row>
    <row r="960" spans="1:47" x14ac:dyDescent="0.25">
      <c r="A960" s="378"/>
      <c r="B960" s="1106" t="s">
        <v>927</v>
      </c>
      <c r="C960" s="1542">
        <v>0.7</v>
      </c>
      <c r="D960" s="3"/>
      <c r="E960" s="2149" t="s">
        <v>928</v>
      </c>
      <c r="F960" s="2149"/>
      <c r="G960" s="2119" t="s">
        <v>929</v>
      </c>
      <c r="H960" s="2119"/>
      <c r="I960" s="378"/>
      <c r="J960" s="378"/>
      <c r="K960" s="378"/>
      <c r="L960" s="378"/>
      <c r="M960" s="378"/>
      <c r="N960" s="378"/>
      <c r="O960" s="378"/>
      <c r="P960" s="378"/>
      <c r="Q960" s="378"/>
      <c r="R960" s="378"/>
      <c r="S960" s="378"/>
      <c r="T960" s="378"/>
      <c r="U960" s="378"/>
      <c r="V960" s="378"/>
      <c r="W960" s="378"/>
      <c r="X960" s="378"/>
      <c r="Y960" s="378"/>
      <c r="Z960" s="378"/>
      <c r="AA960" s="378"/>
      <c r="AB960" s="378"/>
      <c r="AC960" s="378"/>
      <c r="AD960" s="378"/>
      <c r="AE960" s="378"/>
      <c r="AF960" s="378"/>
      <c r="AG960" s="378"/>
      <c r="AH960" s="378"/>
      <c r="AI960" s="378"/>
      <c r="AJ960" s="378"/>
      <c r="AK960" s="378"/>
      <c r="AL960" s="378"/>
      <c r="AM960" s="378"/>
      <c r="AN960" s="378"/>
      <c r="AO960" s="378"/>
      <c r="AP960" s="378"/>
      <c r="AQ960" s="378"/>
      <c r="AR960" s="378"/>
      <c r="AS960" s="378"/>
      <c r="AT960" s="378"/>
      <c r="AU960" s="378"/>
    </row>
    <row r="961" spans="1:47" x14ac:dyDescent="0.25">
      <c r="A961" s="378"/>
      <c r="B961" s="1106" t="s">
        <v>930</v>
      </c>
      <c r="C961" s="1542">
        <v>0.1</v>
      </c>
      <c r="D961" s="3"/>
      <c r="E961" s="2149"/>
      <c r="F961" s="2149"/>
      <c r="G961" s="2119"/>
      <c r="H961" s="2119"/>
      <c r="I961" s="378"/>
      <c r="J961" s="378"/>
      <c r="K961" s="378"/>
      <c r="L961" s="378"/>
      <c r="M961" s="378"/>
      <c r="N961" s="378"/>
      <c r="O961" s="378"/>
      <c r="P961" s="378"/>
      <c r="Q961" s="378"/>
      <c r="R961" s="378"/>
      <c r="S961" s="378"/>
      <c r="T961" s="378"/>
      <c r="U961" s="378"/>
      <c r="V961" s="378"/>
      <c r="W961" s="378"/>
      <c r="X961" s="378"/>
      <c r="Y961" s="378"/>
      <c r="Z961" s="378"/>
      <c r="AA961" s="378"/>
      <c r="AB961" s="378"/>
      <c r="AC961" s="378"/>
      <c r="AD961" s="378"/>
      <c r="AE961" s="378"/>
      <c r="AF961" s="378"/>
      <c r="AG961" s="378"/>
      <c r="AH961" s="378"/>
      <c r="AI961" s="378"/>
      <c r="AJ961" s="378"/>
      <c r="AK961" s="378"/>
      <c r="AL961" s="378"/>
      <c r="AM961" s="378"/>
      <c r="AN961" s="378"/>
      <c r="AO961" s="378"/>
      <c r="AP961" s="378"/>
      <c r="AQ961" s="378"/>
      <c r="AR961" s="378"/>
      <c r="AS961" s="378"/>
      <c r="AT961" s="378"/>
      <c r="AU961" s="378"/>
    </row>
    <row r="962" spans="1:47" x14ac:dyDescent="0.25">
      <c r="A962" s="378"/>
      <c r="B962" s="1095">
        <f>IF('3 INDICADORES'!C276=0,0.701,0.1)</f>
        <v>0.70099999999999996</v>
      </c>
      <c r="C962" s="3"/>
      <c r="D962" s="3"/>
      <c r="E962" s="2149"/>
      <c r="F962" s="2149"/>
      <c r="G962" s="2119"/>
      <c r="H962" s="2119"/>
      <c r="I962" s="378"/>
      <c r="J962" s="378"/>
      <c r="K962" s="378"/>
      <c r="L962" s="378"/>
      <c r="M962" s="378"/>
      <c r="N962" s="378"/>
      <c r="O962" s="378"/>
      <c r="P962" s="378"/>
      <c r="Q962" s="378"/>
      <c r="R962" s="378"/>
      <c r="S962" s="378"/>
      <c r="T962" s="378"/>
      <c r="U962" s="378"/>
      <c r="V962" s="378"/>
      <c r="W962" s="378"/>
      <c r="X962" s="378"/>
      <c r="Y962" s="378"/>
      <c r="Z962" s="378"/>
      <c r="AA962" s="378"/>
      <c r="AB962" s="378"/>
      <c r="AC962" s="378"/>
      <c r="AD962" s="378"/>
      <c r="AE962" s="378"/>
      <c r="AF962" s="378"/>
      <c r="AG962" s="378"/>
      <c r="AH962" s="378"/>
      <c r="AI962" s="378"/>
      <c r="AJ962" s="378"/>
      <c r="AK962" s="378"/>
      <c r="AL962" s="378"/>
      <c r="AM962" s="378"/>
      <c r="AN962" s="378"/>
      <c r="AO962" s="378"/>
      <c r="AP962" s="378"/>
      <c r="AQ962" s="378"/>
      <c r="AR962" s="378"/>
      <c r="AS962" s="378"/>
      <c r="AT962" s="378"/>
      <c r="AU962" s="378"/>
    </row>
    <row r="963" spans="1:47" x14ac:dyDescent="0.25">
      <c r="A963" s="378"/>
      <c r="B963" s="3"/>
      <c r="C963" s="3"/>
      <c r="D963" s="3"/>
      <c r="E963" s="2149"/>
      <c r="F963" s="2149"/>
      <c r="G963" s="2119"/>
      <c r="H963" s="2119"/>
      <c r="I963" s="378"/>
      <c r="J963" s="378"/>
      <c r="K963" s="378"/>
      <c r="L963" s="378"/>
      <c r="M963" s="378"/>
      <c r="N963" s="378"/>
      <c r="O963" s="378"/>
      <c r="P963" s="378"/>
      <c r="Q963" s="378"/>
      <c r="R963" s="378"/>
      <c r="S963" s="378"/>
      <c r="T963" s="378"/>
      <c r="U963" s="378"/>
      <c r="V963" s="378"/>
      <c r="W963" s="378"/>
      <c r="X963" s="378"/>
      <c r="Y963" s="378"/>
      <c r="Z963" s="378"/>
      <c r="AA963" s="378"/>
      <c r="AB963" s="378"/>
      <c r="AC963" s="378"/>
      <c r="AD963" s="378"/>
      <c r="AE963" s="378"/>
      <c r="AF963" s="378"/>
      <c r="AG963" s="378"/>
      <c r="AH963" s="378"/>
      <c r="AI963" s="378"/>
      <c r="AJ963" s="378"/>
      <c r="AK963" s="378"/>
      <c r="AL963" s="378"/>
      <c r="AM963" s="378"/>
      <c r="AN963" s="378"/>
      <c r="AO963" s="378"/>
      <c r="AP963" s="378"/>
      <c r="AQ963" s="378"/>
      <c r="AR963" s="378"/>
      <c r="AS963" s="378"/>
      <c r="AT963" s="378"/>
      <c r="AU963" s="378"/>
    </row>
    <row r="964" spans="1:47" x14ac:dyDescent="0.25">
      <c r="A964" s="378"/>
      <c r="B964" s="3"/>
      <c r="C964" s="3"/>
      <c r="D964" s="3"/>
      <c r="E964" s="2149"/>
      <c r="F964" s="2149"/>
      <c r="G964" s="2119"/>
      <c r="H964" s="2119"/>
      <c r="I964" s="378"/>
      <c r="J964" s="378"/>
      <c r="K964" s="378"/>
      <c r="L964" s="378"/>
      <c r="M964" s="378"/>
      <c r="N964" s="378"/>
      <c r="O964" s="378"/>
      <c r="P964" s="378"/>
      <c r="Q964" s="378"/>
      <c r="R964" s="378"/>
      <c r="S964" s="378"/>
      <c r="T964" s="378"/>
      <c r="U964" s="378"/>
      <c r="V964" s="378"/>
      <c r="W964" s="378"/>
      <c r="X964" s="378"/>
      <c r="Y964" s="378"/>
      <c r="Z964" s="378"/>
      <c r="AA964" s="378"/>
      <c r="AB964" s="378"/>
      <c r="AC964" s="378"/>
      <c r="AD964" s="378"/>
      <c r="AE964" s="378"/>
      <c r="AF964" s="378"/>
      <c r="AG964" s="378"/>
      <c r="AH964" s="378"/>
      <c r="AI964" s="378"/>
      <c r="AJ964" s="378"/>
      <c r="AK964" s="378"/>
      <c r="AL964" s="378"/>
      <c r="AM964" s="378"/>
      <c r="AN964" s="378"/>
      <c r="AO964" s="378"/>
      <c r="AP964" s="378"/>
      <c r="AQ964" s="378"/>
      <c r="AR964" s="378"/>
      <c r="AS964" s="378"/>
      <c r="AT964" s="378"/>
      <c r="AU964" s="378"/>
    </row>
    <row r="965" spans="1:47" x14ac:dyDescent="0.25">
      <c r="A965" s="378"/>
      <c r="B965" s="3"/>
      <c r="C965" s="3"/>
      <c r="D965" s="3"/>
      <c r="E965" s="3"/>
      <c r="F965" s="3"/>
      <c r="G965" s="3"/>
      <c r="H965" s="3"/>
      <c r="I965" s="378"/>
      <c r="J965" s="378"/>
      <c r="K965" s="378"/>
      <c r="L965" s="378"/>
      <c r="M965" s="378"/>
      <c r="N965" s="378"/>
      <c r="O965" s="378"/>
      <c r="P965" s="378"/>
      <c r="Q965" s="378"/>
      <c r="R965" s="378"/>
      <c r="S965" s="378"/>
      <c r="T965" s="378"/>
      <c r="U965" s="378"/>
      <c r="V965" s="378"/>
      <c r="W965" s="378"/>
      <c r="X965" s="378"/>
      <c r="Y965" s="378"/>
      <c r="Z965" s="378"/>
      <c r="AA965" s="378"/>
      <c r="AB965" s="378"/>
      <c r="AC965" s="378"/>
      <c r="AD965" s="378"/>
      <c r="AE965" s="378"/>
      <c r="AF965" s="378"/>
      <c r="AG965" s="378"/>
      <c r="AH965" s="378"/>
      <c r="AI965" s="378"/>
      <c r="AJ965" s="378"/>
      <c r="AK965" s="378"/>
      <c r="AL965" s="378"/>
      <c r="AM965" s="378"/>
      <c r="AN965" s="378"/>
      <c r="AO965" s="378"/>
      <c r="AP965" s="378"/>
      <c r="AQ965" s="378"/>
      <c r="AR965" s="378"/>
      <c r="AS965" s="378"/>
      <c r="AT965" s="378"/>
      <c r="AU965" s="378"/>
    </row>
    <row r="966" spans="1:47" ht="18.75" x14ac:dyDescent="0.3">
      <c r="A966" s="355"/>
      <c r="B966" s="2135" t="s">
        <v>766</v>
      </c>
      <c r="C966" s="2135"/>
      <c r="D966" s="3"/>
      <c r="E966" s="2097" t="s">
        <v>924</v>
      </c>
      <c r="F966" s="2097"/>
      <c r="G966" s="2097"/>
      <c r="H966" s="2097"/>
      <c r="I966" s="378"/>
      <c r="J966" s="378"/>
      <c r="K966" s="378"/>
      <c r="L966" s="378"/>
      <c r="M966" s="378"/>
      <c r="N966" s="378"/>
      <c r="O966" s="378"/>
      <c r="P966" s="378"/>
      <c r="Q966" s="378"/>
      <c r="R966" s="378"/>
      <c r="S966" s="378"/>
      <c r="T966" s="378"/>
      <c r="U966" s="378"/>
      <c r="V966" s="378"/>
      <c r="W966" s="378"/>
      <c r="X966" s="378"/>
      <c r="Y966" s="378"/>
      <c r="Z966" s="378"/>
      <c r="AA966" s="378"/>
      <c r="AB966" s="378"/>
      <c r="AC966" s="378"/>
      <c r="AD966" s="378"/>
      <c r="AE966" s="378"/>
      <c r="AF966" s="378"/>
      <c r="AG966" s="378"/>
      <c r="AH966" s="378"/>
      <c r="AI966" s="378"/>
      <c r="AJ966" s="378"/>
      <c r="AK966" s="378"/>
      <c r="AL966" s="378"/>
      <c r="AM966" s="378"/>
      <c r="AN966" s="378"/>
      <c r="AO966" s="378"/>
      <c r="AP966" s="378"/>
      <c r="AQ966" s="378"/>
      <c r="AR966" s="378"/>
      <c r="AS966" s="378"/>
      <c r="AT966" s="378"/>
      <c r="AU966" s="378"/>
    </row>
    <row r="967" spans="1:47" x14ac:dyDescent="0.25">
      <c r="A967" s="378"/>
      <c r="B967" s="1527" t="s">
        <v>894</v>
      </c>
      <c r="C967" s="1527" t="s">
        <v>925</v>
      </c>
      <c r="D967" s="3"/>
      <c r="E967" s="2115" t="s">
        <v>926</v>
      </c>
      <c r="F967" s="2115"/>
      <c r="G967" s="2116" t="s">
        <v>897</v>
      </c>
      <c r="H967" s="2116"/>
      <c r="I967" s="378"/>
      <c r="J967" s="3"/>
      <c r="K967" s="378"/>
      <c r="L967" s="378"/>
      <c r="M967" s="378"/>
      <c r="N967" s="378"/>
      <c r="O967" s="378"/>
      <c r="P967" s="378"/>
      <c r="Q967" s="378"/>
      <c r="R967" s="378"/>
      <c r="S967" s="378"/>
      <c r="T967" s="378"/>
      <c r="U967" s="378"/>
      <c r="V967" s="378"/>
      <c r="W967" s="378"/>
      <c r="X967" s="378"/>
      <c r="Y967" s="378"/>
      <c r="Z967" s="378"/>
      <c r="AA967" s="378"/>
      <c r="AB967" s="378"/>
      <c r="AC967" s="378"/>
      <c r="AD967" s="378"/>
      <c r="AE967" s="378"/>
      <c r="AF967" s="378"/>
      <c r="AG967" s="378"/>
      <c r="AH967" s="378"/>
      <c r="AI967" s="378"/>
      <c r="AJ967" s="378"/>
      <c r="AK967" s="378"/>
      <c r="AL967" s="378"/>
      <c r="AM967" s="378"/>
      <c r="AN967" s="378"/>
      <c r="AO967" s="378"/>
      <c r="AP967" s="378"/>
      <c r="AQ967" s="378"/>
      <c r="AR967" s="378"/>
      <c r="AS967" s="378"/>
      <c r="AT967" s="378"/>
      <c r="AU967" s="378"/>
    </row>
    <row r="968" spans="1:47" ht="15" customHeight="1" x14ac:dyDescent="0.25">
      <c r="A968" s="378"/>
      <c r="B968" s="1149" t="s">
        <v>931</v>
      </c>
      <c r="C968" s="1542">
        <v>0.7</v>
      </c>
      <c r="D968" s="3"/>
      <c r="E968" s="2149" t="s">
        <v>932</v>
      </c>
      <c r="F968" s="2149"/>
      <c r="G968" s="2119" t="s">
        <v>933</v>
      </c>
      <c r="H968" s="2119"/>
      <c r="I968" s="378"/>
      <c r="J968" s="378"/>
      <c r="K968" s="378"/>
      <c r="L968" s="378"/>
      <c r="M968" s="378"/>
      <c r="N968" s="378"/>
      <c r="O968" s="378"/>
      <c r="P968" s="378"/>
      <c r="Q968" s="378"/>
      <c r="R968" s="378"/>
      <c r="S968" s="378"/>
      <c r="T968" s="378"/>
      <c r="U968" s="378"/>
      <c r="V968" s="378"/>
      <c r="W968" s="378"/>
      <c r="X968" s="378"/>
      <c r="Y968" s="378"/>
      <c r="Z968" s="378"/>
      <c r="AA968" s="378"/>
      <c r="AB968" s="378"/>
      <c r="AC968" s="378"/>
      <c r="AD968" s="378"/>
      <c r="AE968" s="378"/>
      <c r="AF968" s="378"/>
      <c r="AG968" s="378"/>
      <c r="AH968" s="378"/>
      <c r="AI968" s="378"/>
      <c r="AJ968" s="378"/>
      <c r="AK968" s="378"/>
      <c r="AL968" s="378"/>
      <c r="AM968" s="378"/>
      <c r="AN968" s="378"/>
      <c r="AO968" s="378"/>
      <c r="AP968" s="378"/>
      <c r="AQ968" s="378"/>
      <c r="AR968" s="378"/>
      <c r="AS968" s="378"/>
      <c r="AT968" s="378"/>
      <c r="AU968" s="378"/>
    </row>
    <row r="969" spans="1:47" x14ac:dyDescent="0.25">
      <c r="A969" s="378"/>
      <c r="B969" s="1149" t="s">
        <v>934</v>
      </c>
      <c r="C969" s="1542">
        <v>0.1</v>
      </c>
      <c r="D969" s="3"/>
      <c r="E969" s="2149"/>
      <c r="F969" s="2149"/>
      <c r="G969" s="2119"/>
      <c r="H969" s="2119"/>
      <c r="I969" s="378"/>
      <c r="J969" s="378"/>
      <c r="K969" s="378"/>
      <c r="L969" s="378"/>
      <c r="M969" s="378"/>
      <c r="N969" s="378"/>
      <c r="O969" s="378"/>
      <c r="P969" s="378"/>
      <c r="Q969" s="378"/>
      <c r="R969" s="378"/>
      <c r="S969" s="378"/>
      <c r="T969" s="378"/>
      <c r="U969" s="378"/>
      <c r="V969" s="378"/>
      <c r="W969" s="378"/>
      <c r="X969" s="378"/>
      <c r="Y969" s="378"/>
      <c r="Z969" s="378"/>
      <c r="AA969" s="378"/>
      <c r="AB969" s="378"/>
      <c r="AC969" s="378"/>
      <c r="AD969" s="378"/>
      <c r="AE969" s="378"/>
      <c r="AF969" s="378"/>
      <c r="AG969" s="378"/>
      <c r="AH969" s="378"/>
      <c r="AI969" s="378"/>
      <c r="AJ969" s="378"/>
      <c r="AK969" s="378"/>
      <c r="AL969" s="378"/>
      <c r="AM969" s="378"/>
      <c r="AN969" s="378"/>
      <c r="AO969" s="378"/>
      <c r="AP969" s="378"/>
      <c r="AQ969" s="378"/>
      <c r="AR969" s="378"/>
      <c r="AS969" s="378"/>
      <c r="AT969" s="378"/>
      <c r="AU969" s="378"/>
    </row>
    <row r="970" spans="1:47" x14ac:dyDescent="0.25">
      <c r="A970" s="378"/>
      <c r="B970" s="1095">
        <f>IF('3 INDICADORES'!G276&lt;=10,0.701,0.1)</f>
        <v>0.70099999999999996</v>
      </c>
      <c r="C970" s="1081"/>
      <c r="D970" s="3"/>
      <c r="E970" s="2149"/>
      <c r="F970" s="2149"/>
      <c r="G970" s="2119"/>
      <c r="H970" s="2119"/>
      <c r="I970" s="378"/>
      <c r="J970" s="378"/>
      <c r="K970" s="378"/>
      <c r="L970" s="378"/>
      <c r="M970" s="378"/>
      <c r="N970" s="378"/>
      <c r="O970" s="378"/>
      <c r="P970" s="378"/>
      <c r="Q970" s="378"/>
      <c r="R970" s="378"/>
      <c r="S970" s="378"/>
      <c r="T970" s="378"/>
      <c r="U970" s="378"/>
      <c r="V970" s="378"/>
      <c r="W970" s="378"/>
      <c r="X970" s="378"/>
      <c r="Y970" s="378"/>
      <c r="Z970" s="378"/>
      <c r="AA970" s="378"/>
      <c r="AB970" s="378"/>
      <c r="AC970" s="378"/>
      <c r="AD970" s="378"/>
      <c r="AE970" s="378"/>
      <c r="AF970" s="378"/>
      <c r="AG970" s="378"/>
      <c r="AH970" s="378"/>
      <c r="AI970" s="378"/>
      <c r="AJ970" s="378"/>
      <c r="AK970" s="378"/>
      <c r="AL970" s="378"/>
      <c r="AM970" s="378"/>
      <c r="AN970" s="378"/>
      <c r="AO970" s="378"/>
      <c r="AP970" s="378"/>
      <c r="AQ970" s="378"/>
      <c r="AR970" s="378"/>
      <c r="AS970" s="378"/>
      <c r="AT970" s="378"/>
      <c r="AU970" s="378"/>
    </row>
    <row r="971" spans="1:47" x14ac:dyDescent="0.25">
      <c r="A971" s="378"/>
      <c r="B971" s="3"/>
      <c r="C971" s="3"/>
      <c r="D971" s="3"/>
      <c r="E971" s="2149"/>
      <c r="F971" s="2149"/>
      <c r="G971" s="2119"/>
      <c r="H971" s="2119"/>
      <c r="I971" s="378"/>
      <c r="J971" s="378"/>
      <c r="K971" s="378"/>
      <c r="L971" s="378"/>
      <c r="M971" s="378"/>
      <c r="N971" s="378"/>
      <c r="O971" s="378"/>
      <c r="P971" s="378"/>
      <c r="Q971" s="378"/>
      <c r="R971" s="378"/>
      <c r="S971" s="378"/>
      <c r="T971" s="378"/>
      <c r="U971" s="378"/>
      <c r="V971" s="378"/>
      <c r="W971" s="378"/>
      <c r="X971" s="378"/>
      <c r="Y971" s="378"/>
      <c r="Z971" s="378"/>
      <c r="AA971" s="378"/>
      <c r="AB971" s="378"/>
      <c r="AC971" s="378"/>
      <c r="AD971" s="378"/>
      <c r="AE971" s="378"/>
      <c r="AF971" s="378"/>
      <c r="AG971" s="378"/>
      <c r="AH971" s="378"/>
      <c r="AI971" s="378"/>
      <c r="AJ971" s="378"/>
      <c r="AK971" s="378"/>
      <c r="AL971" s="378"/>
      <c r="AM971" s="378"/>
      <c r="AN971" s="378"/>
      <c r="AO971" s="378"/>
      <c r="AP971" s="378"/>
      <c r="AQ971" s="378"/>
      <c r="AR971" s="378"/>
      <c r="AS971" s="378"/>
      <c r="AT971" s="378"/>
      <c r="AU971" s="378"/>
    </row>
    <row r="972" spans="1:47" x14ac:dyDescent="0.25">
      <c r="A972" s="378"/>
      <c r="B972" s="3"/>
      <c r="C972" s="3"/>
      <c r="D972" s="3"/>
      <c r="E972" s="2149"/>
      <c r="F972" s="2149"/>
      <c r="G972" s="2119"/>
      <c r="H972" s="2119"/>
      <c r="I972" s="378"/>
      <c r="J972" s="378"/>
      <c r="K972" s="378"/>
      <c r="L972" s="378"/>
      <c r="M972" s="378"/>
      <c r="N972" s="378"/>
      <c r="O972" s="378"/>
      <c r="P972" s="378"/>
      <c r="Q972" s="378"/>
      <c r="R972" s="378"/>
      <c r="S972" s="378"/>
      <c r="T972" s="378"/>
      <c r="U972" s="378"/>
      <c r="V972" s="378"/>
      <c r="W972" s="378"/>
      <c r="X972" s="378"/>
      <c r="Y972" s="378"/>
      <c r="Z972" s="378"/>
      <c r="AA972" s="378"/>
      <c r="AB972" s="378"/>
      <c r="AC972" s="378"/>
      <c r="AD972" s="378"/>
      <c r="AE972" s="378"/>
      <c r="AF972" s="378"/>
      <c r="AG972" s="378"/>
      <c r="AH972" s="378"/>
      <c r="AI972" s="378"/>
      <c r="AJ972" s="378"/>
      <c r="AK972" s="378"/>
      <c r="AL972" s="378"/>
      <c r="AM972" s="378"/>
      <c r="AN972" s="378"/>
      <c r="AO972" s="378"/>
      <c r="AP972" s="378"/>
      <c r="AQ972" s="378"/>
      <c r="AR972" s="378"/>
      <c r="AS972" s="378"/>
      <c r="AT972" s="378"/>
      <c r="AU972" s="378"/>
    </row>
    <row r="973" spans="1:47" x14ac:dyDescent="0.25">
      <c r="A973" s="378"/>
      <c r="B973" s="3"/>
      <c r="C973" s="3"/>
      <c r="D973" s="3"/>
      <c r="E973" s="814"/>
      <c r="F973" s="814"/>
      <c r="G973" s="3"/>
      <c r="H973" s="3"/>
      <c r="I973" s="378"/>
      <c r="J973" s="378"/>
      <c r="K973" s="378"/>
      <c r="L973" s="378"/>
      <c r="M973" s="378"/>
      <c r="N973" s="378"/>
      <c r="O973" s="378"/>
      <c r="P973" s="378"/>
      <c r="Q973" s="378"/>
      <c r="R973" s="378"/>
      <c r="S973" s="378"/>
      <c r="T973" s="378"/>
      <c r="U973" s="378"/>
      <c r="V973" s="378"/>
      <c r="W973" s="378"/>
      <c r="X973" s="378"/>
      <c r="Y973" s="378"/>
      <c r="Z973" s="378"/>
      <c r="AA973" s="378"/>
      <c r="AB973" s="378"/>
      <c r="AC973" s="378"/>
      <c r="AD973" s="378"/>
      <c r="AE973" s="378"/>
      <c r="AF973" s="378"/>
      <c r="AG973" s="378"/>
      <c r="AH973" s="378"/>
      <c r="AI973" s="378"/>
      <c r="AJ973" s="378"/>
      <c r="AK973" s="378"/>
      <c r="AL973" s="378"/>
      <c r="AM973" s="378"/>
      <c r="AN973" s="378"/>
      <c r="AO973" s="378"/>
      <c r="AP973" s="378"/>
      <c r="AQ973" s="378"/>
      <c r="AR973" s="378"/>
      <c r="AS973" s="378"/>
      <c r="AT973" s="378"/>
      <c r="AU973" s="378"/>
    </row>
    <row r="974" spans="1:47" ht="15.75" x14ac:dyDescent="0.25">
      <c r="A974" s="378"/>
      <c r="B974" s="2060" t="s">
        <v>919</v>
      </c>
      <c r="C974" s="2060"/>
      <c r="D974" s="2060"/>
      <c r="E974" s="3"/>
      <c r="F974" s="2060" t="s">
        <v>935</v>
      </c>
      <c r="G974" s="2060"/>
      <c r="H974" s="2060"/>
      <c r="I974" s="2060"/>
      <c r="J974" s="2060"/>
      <c r="K974" s="2060"/>
      <c r="L974" s="2060"/>
      <c r="M974" s="378"/>
      <c r="N974" s="378"/>
      <c r="O974" s="378"/>
      <c r="P974" s="378"/>
      <c r="Q974" s="378"/>
      <c r="R974" s="378"/>
      <c r="S974" s="378"/>
      <c r="T974" s="378"/>
      <c r="U974" s="378"/>
      <c r="V974" s="378"/>
      <c r="W974" s="378"/>
      <c r="X974" s="378"/>
      <c r="Y974" s="378"/>
      <c r="Z974" s="378"/>
      <c r="AA974" s="378"/>
      <c r="AB974" s="378"/>
      <c r="AC974" s="378"/>
      <c r="AD974" s="378"/>
      <c r="AE974" s="378"/>
      <c r="AF974" s="378"/>
      <c r="AG974" s="378"/>
      <c r="AH974" s="378"/>
      <c r="AI974" s="378"/>
      <c r="AJ974" s="378"/>
      <c r="AK974" s="378"/>
      <c r="AL974" s="378"/>
      <c r="AM974" s="378"/>
      <c r="AN974" s="378"/>
      <c r="AO974" s="378"/>
      <c r="AP974" s="378"/>
      <c r="AQ974" s="378"/>
      <c r="AR974" s="378"/>
      <c r="AS974" s="378"/>
      <c r="AT974" s="378"/>
      <c r="AU974" s="378"/>
    </row>
    <row r="975" spans="1:47" ht="15" customHeight="1" x14ac:dyDescent="0.25">
      <c r="A975" s="378"/>
      <c r="B975" s="2129" t="s">
        <v>936</v>
      </c>
      <c r="C975" s="2130"/>
      <c r="D975" s="2131"/>
      <c r="E975" s="3"/>
      <c r="F975" s="2096" t="s">
        <v>937</v>
      </c>
      <c r="G975" s="2096"/>
      <c r="H975" s="2096"/>
      <c r="I975" s="2096"/>
      <c r="J975" s="2096"/>
      <c r="K975" s="2096"/>
      <c r="L975" s="2096"/>
      <c r="M975" s="378"/>
      <c r="N975" s="378"/>
      <c r="O975" s="378"/>
      <c r="P975" s="378"/>
      <c r="Q975" s="378"/>
      <c r="R975" s="378"/>
      <c r="S975" s="378"/>
      <c r="T975" s="378"/>
      <c r="U975" s="378"/>
      <c r="V975" s="378"/>
      <c r="W975" s="378"/>
      <c r="X975" s="378"/>
      <c r="Y975" s="378"/>
      <c r="Z975" s="378"/>
      <c r="AA975" s="378"/>
      <c r="AB975" s="378"/>
      <c r="AC975" s="378"/>
      <c r="AD975" s="378"/>
      <c r="AE975" s="378"/>
      <c r="AF975" s="378"/>
      <c r="AG975" s="378"/>
      <c r="AH975" s="378"/>
      <c r="AI975" s="378"/>
      <c r="AJ975" s="378"/>
      <c r="AK975" s="378"/>
      <c r="AL975" s="378"/>
      <c r="AM975" s="378"/>
      <c r="AN975" s="378"/>
      <c r="AO975" s="378"/>
      <c r="AP975" s="378"/>
      <c r="AQ975" s="378"/>
      <c r="AR975" s="378"/>
      <c r="AS975" s="378"/>
      <c r="AT975" s="378"/>
      <c r="AU975" s="378"/>
    </row>
    <row r="976" spans="1:47" x14ac:dyDescent="0.25">
      <c r="A976" s="378"/>
      <c r="B976" s="2132"/>
      <c r="C976" s="2133"/>
      <c r="D976" s="2134"/>
      <c r="E976" s="3"/>
      <c r="F976" s="2096"/>
      <c r="G976" s="2096"/>
      <c r="H976" s="2096"/>
      <c r="I976" s="2096"/>
      <c r="J976" s="2096"/>
      <c r="K976" s="2096"/>
      <c r="L976" s="2096"/>
      <c r="M976" s="378"/>
      <c r="N976" s="378"/>
      <c r="O976" s="378"/>
      <c r="P976" s="378"/>
      <c r="Q976" s="378"/>
      <c r="R976" s="378"/>
      <c r="S976" s="378"/>
      <c r="T976" s="378"/>
      <c r="U976" s="378"/>
      <c r="V976" s="378"/>
      <c r="W976" s="378"/>
      <c r="X976" s="378"/>
      <c r="Y976" s="378"/>
      <c r="Z976" s="378"/>
      <c r="AA976" s="378"/>
      <c r="AB976" s="378"/>
      <c r="AC976" s="378"/>
      <c r="AD976" s="378"/>
      <c r="AE976" s="378"/>
      <c r="AF976" s="378"/>
      <c r="AG976" s="378"/>
      <c r="AH976" s="378"/>
      <c r="AI976" s="378"/>
      <c r="AJ976" s="378"/>
      <c r="AK976" s="378"/>
      <c r="AL976" s="378"/>
      <c r="AM976" s="378"/>
      <c r="AN976" s="378"/>
      <c r="AO976" s="378"/>
      <c r="AP976" s="378"/>
      <c r="AQ976" s="378"/>
      <c r="AR976" s="378"/>
      <c r="AS976" s="378"/>
      <c r="AT976" s="378"/>
      <c r="AU976" s="378"/>
    </row>
    <row r="977" spans="1:47" s="532" customFormat="1" x14ac:dyDescent="0.25">
      <c r="A977" s="378"/>
      <c r="B977" s="531"/>
      <c r="C977" s="531"/>
      <c r="D977" s="531"/>
      <c r="E977" s="378"/>
      <c r="F977" s="378"/>
      <c r="G977" s="378"/>
      <c r="H977" s="378"/>
      <c r="I977" s="378"/>
      <c r="J977" s="378"/>
      <c r="K977" s="378"/>
      <c r="L977" s="378"/>
      <c r="M977" s="378"/>
      <c r="N977" s="378"/>
      <c r="O977" s="378"/>
      <c r="P977" s="378"/>
      <c r="Q977" s="378"/>
      <c r="R977" s="378"/>
      <c r="S977" s="378"/>
      <c r="T977" s="378"/>
      <c r="U977" s="378"/>
      <c r="V977" s="378"/>
      <c r="W977" s="378"/>
      <c r="X977" s="378"/>
      <c r="Y977" s="378"/>
      <c r="Z977" s="378"/>
      <c r="AA977" s="378"/>
      <c r="AB977" s="378"/>
      <c r="AC977" s="378"/>
      <c r="AD977" s="378"/>
      <c r="AE977" s="378"/>
      <c r="AF977" s="378"/>
      <c r="AG977" s="378"/>
      <c r="AH977" s="378"/>
      <c r="AI977" s="378"/>
      <c r="AJ977" s="378"/>
      <c r="AK977" s="378"/>
      <c r="AL977" s="378"/>
      <c r="AM977" s="378"/>
      <c r="AN977" s="378"/>
      <c r="AO977" s="378"/>
      <c r="AP977" s="378"/>
      <c r="AQ977" s="378"/>
      <c r="AR977" s="378"/>
      <c r="AS977" s="378"/>
      <c r="AT977" s="378"/>
      <c r="AU977" s="378"/>
    </row>
    <row r="978" spans="1:47" ht="21" x14ac:dyDescent="0.35">
      <c r="A978" s="749">
        <v>14</v>
      </c>
      <c r="B978" s="2012" t="s">
        <v>799</v>
      </c>
      <c r="C978" s="2012"/>
      <c r="D978" s="378"/>
      <c r="E978" s="378"/>
      <c r="F978" s="378"/>
      <c r="G978" s="378"/>
      <c r="H978" s="378"/>
      <c r="I978" s="378"/>
      <c r="J978" s="378"/>
      <c r="K978" s="378"/>
      <c r="L978" s="378"/>
      <c r="M978" s="378"/>
      <c r="N978" s="378"/>
      <c r="O978" s="378"/>
      <c r="P978" s="378"/>
      <c r="Q978" s="378"/>
      <c r="R978" s="378"/>
      <c r="S978" s="378"/>
      <c r="T978" s="378"/>
      <c r="U978" s="378"/>
      <c r="V978" s="378"/>
      <c r="W978" s="378"/>
      <c r="X978" s="378"/>
      <c r="Y978" s="378"/>
      <c r="Z978" s="378"/>
      <c r="AA978" s="378"/>
      <c r="AB978" s="378"/>
      <c r="AC978" s="378"/>
      <c r="AD978" s="378"/>
      <c r="AE978" s="378"/>
      <c r="AF978" s="378"/>
      <c r="AG978" s="378"/>
      <c r="AH978" s="378"/>
      <c r="AI978" s="378"/>
      <c r="AJ978" s="378"/>
      <c r="AK978" s="378"/>
      <c r="AL978" s="378"/>
      <c r="AM978" s="378"/>
      <c r="AN978" s="378"/>
      <c r="AO978" s="378"/>
      <c r="AP978" s="378"/>
      <c r="AQ978" s="378"/>
      <c r="AR978" s="378"/>
      <c r="AS978" s="378"/>
      <c r="AT978" s="378"/>
      <c r="AU978" s="378"/>
    </row>
    <row r="979" spans="1:47" x14ac:dyDescent="0.25">
      <c r="A979" s="378"/>
      <c r="B979" s="1527" t="s">
        <v>894</v>
      </c>
      <c r="C979" s="1527" t="s">
        <v>925</v>
      </c>
      <c r="D979" s="378"/>
      <c r="E979" s="378"/>
      <c r="F979" s="378"/>
      <c r="G979" s="378"/>
      <c r="H979" s="378"/>
      <c r="I979" s="378"/>
      <c r="J979" s="378"/>
      <c r="K979" s="378"/>
      <c r="L979" s="378"/>
      <c r="M979" s="378"/>
      <c r="N979" s="378"/>
      <c r="O979" s="378"/>
      <c r="P979" s="378"/>
      <c r="Q979" s="378"/>
      <c r="R979" s="378"/>
      <c r="S979" s="378"/>
      <c r="T979" s="378"/>
      <c r="U979" s="378"/>
      <c r="V979" s="378"/>
      <c r="W979" s="378"/>
      <c r="X979" s="378"/>
      <c r="Y979" s="378"/>
      <c r="Z979" s="378"/>
      <c r="AA979" s="378"/>
      <c r="AB979" s="378"/>
      <c r="AC979" s="378"/>
      <c r="AD979" s="378"/>
      <c r="AE979" s="378"/>
      <c r="AF979" s="378"/>
      <c r="AG979" s="378"/>
      <c r="AH979" s="378"/>
      <c r="AI979" s="378"/>
      <c r="AJ979" s="378"/>
      <c r="AK979" s="378"/>
      <c r="AL979" s="378"/>
      <c r="AM979" s="378"/>
      <c r="AN979" s="378"/>
      <c r="AO979" s="378"/>
      <c r="AP979" s="378"/>
      <c r="AQ979" s="378"/>
      <c r="AR979" s="378"/>
      <c r="AS979" s="378"/>
      <c r="AT979" s="378"/>
      <c r="AU979" s="378"/>
    </row>
    <row r="980" spans="1:47" ht="15" customHeight="1" x14ac:dyDescent="0.25">
      <c r="A980" s="378"/>
      <c r="B980" s="1531" t="s">
        <v>938</v>
      </c>
      <c r="C980" s="1160">
        <v>1</v>
      </c>
      <c r="D980" s="378"/>
      <c r="E980" s="2151" t="s">
        <v>939</v>
      </c>
      <c r="F980" s="2152"/>
      <c r="G980" s="2152"/>
      <c r="H980" s="2152"/>
      <c r="I980" s="2152"/>
      <c r="J980" s="2152"/>
      <c r="K980" s="2152"/>
      <c r="L980" s="2152"/>
      <c r="M980" s="2153"/>
      <c r="N980" s="378"/>
      <c r="O980" s="378"/>
      <c r="P980" s="378"/>
      <c r="Q980" s="378"/>
      <c r="R980" s="378"/>
      <c r="S980" s="378"/>
      <c r="T980" s="378"/>
      <c r="U980" s="378"/>
      <c r="V980" s="378"/>
      <c r="W980" s="378"/>
      <c r="X980" s="378"/>
      <c r="Y980" s="378"/>
      <c r="Z980" s="378"/>
      <c r="AA980" s="378"/>
      <c r="AB980" s="378"/>
      <c r="AC980" s="378"/>
      <c r="AD980" s="378"/>
      <c r="AE980" s="378"/>
      <c r="AF980" s="378"/>
      <c r="AG980" s="378"/>
      <c r="AH980" s="378"/>
      <c r="AI980" s="378"/>
      <c r="AJ980" s="378"/>
      <c r="AK980" s="378"/>
      <c r="AL980" s="378"/>
      <c r="AM980" s="378"/>
      <c r="AN980" s="378"/>
      <c r="AO980" s="378"/>
      <c r="AP980" s="378"/>
      <c r="AQ980" s="378"/>
      <c r="AR980" s="378"/>
      <c r="AS980" s="378"/>
      <c r="AT980" s="378"/>
      <c r="AU980" s="378"/>
    </row>
    <row r="981" spans="1:47" x14ac:dyDescent="0.25">
      <c r="A981" s="378"/>
      <c r="B981" s="1531" t="s">
        <v>940</v>
      </c>
      <c r="C981" s="1068">
        <v>0.6</v>
      </c>
      <c r="D981" s="378"/>
      <c r="E981" s="378"/>
      <c r="F981" s="378"/>
      <c r="G981" s="378"/>
      <c r="H981" s="378"/>
      <c r="I981" s="378"/>
      <c r="J981" s="378"/>
      <c r="K981" s="378"/>
      <c r="L981" s="378"/>
      <c r="M981" s="378"/>
      <c r="N981" s="378"/>
      <c r="O981" s="378"/>
      <c r="P981" s="378"/>
      <c r="Q981" s="378"/>
      <c r="R981" s="378"/>
      <c r="S981" s="378"/>
      <c r="T981" s="378"/>
      <c r="U981" s="378"/>
      <c r="V981" s="378"/>
      <c r="W981" s="378"/>
      <c r="X981" s="378"/>
      <c r="Y981" s="378"/>
      <c r="Z981" s="378"/>
      <c r="AA981" s="378"/>
      <c r="AB981" s="378"/>
      <c r="AC981" s="378"/>
      <c r="AD981" s="378"/>
      <c r="AE981" s="378"/>
      <c r="AF981" s="378"/>
      <c r="AG981" s="378"/>
      <c r="AH981" s="378"/>
      <c r="AI981" s="378"/>
      <c r="AJ981" s="378"/>
      <c r="AK981" s="378"/>
      <c r="AL981" s="378"/>
      <c r="AM981" s="378"/>
      <c r="AN981" s="378"/>
      <c r="AO981" s="378"/>
      <c r="AP981" s="378"/>
      <c r="AQ981" s="378"/>
      <c r="AR981" s="378"/>
      <c r="AS981" s="378"/>
      <c r="AT981" s="378"/>
      <c r="AU981" s="378"/>
    </row>
    <row r="982" spans="1:47" x14ac:dyDescent="0.25">
      <c r="A982" s="378"/>
      <c r="B982" s="1531" t="s">
        <v>941</v>
      </c>
      <c r="C982" s="1068">
        <v>0.3</v>
      </c>
      <c r="D982" s="378"/>
      <c r="E982" s="378"/>
      <c r="F982" s="378"/>
      <c r="G982" s="378"/>
      <c r="H982" s="378"/>
      <c r="I982" s="378"/>
      <c r="J982" s="378"/>
      <c r="K982" s="378"/>
      <c r="L982" s="378"/>
      <c r="M982" s="378"/>
      <c r="N982" s="378"/>
      <c r="O982" s="378"/>
      <c r="P982" s="378"/>
      <c r="Q982" s="378"/>
      <c r="R982" s="378"/>
      <c r="S982" s="378"/>
      <c r="T982" s="378"/>
      <c r="U982" s="378"/>
      <c r="V982" s="378"/>
      <c r="W982" s="378"/>
      <c r="X982" s="378"/>
      <c r="Y982" s="378"/>
      <c r="Z982" s="378"/>
      <c r="AA982" s="378"/>
      <c r="AB982" s="378"/>
      <c r="AC982" s="378"/>
      <c r="AD982" s="378"/>
      <c r="AE982" s="378"/>
      <c r="AF982" s="378"/>
      <c r="AG982" s="378"/>
      <c r="AH982" s="378"/>
      <c r="AI982" s="378"/>
      <c r="AJ982" s="378"/>
      <c r="AK982" s="378"/>
      <c r="AL982" s="378"/>
      <c r="AM982" s="378"/>
      <c r="AN982" s="378"/>
      <c r="AO982" s="378"/>
      <c r="AP982" s="378"/>
      <c r="AQ982" s="378"/>
      <c r="AR982" s="378"/>
      <c r="AS982" s="378"/>
      <c r="AT982" s="378"/>
      <c r="AU982" s="378"/>
    </row>
    <row r="983" spans="1:47" x14ac:dyDescent="0.25">
      <c r="A983" s="378"/>
      <c r="B983" s="1531" t="s">
        <v>942</v>
      </c>
      <c r="C983" s="1068">
        <v>0.1</v>
      </c>
      <c r="D983" s="378"/>
      <c r="E983" s="378"/>
      <c r="F983" s="378"/>
      <c r="G983" s="378"/>
      <c r="H983" s="378"/>
      <c r="I983" s="378"/>
      <c r="J983" s="378"/>
      <c r="K983" s="378"/>
      <c r="L983" s="378"/>
      <c r="M983" s="378"/>
      <c r="N983" s="378"/>
      <c r="O983" s="378"/>
      <c r="P983" s="378"/>
      <c r="Q983" s="378"/>
      <c r="R983" s="378"/>
      <c r="S983" s="378"/>
      <c r="T983" s="378"/>
      <c r="U983" s="378"/>
      <c r="V983" s="378"/>
      <c r="W983" s="378"/>
      <c r="X983" s="378"/>
      <c r="Y983" s="378"/>
      <c r="Z983" s="378"/>
      <c r="AA983" s="378"/>
      <c r="AB983" s="378"/>
      <c r="AC983" s="378"/>
      <c r="AD983" s="378"/>
      <c r="AE983" s="378"/>
      <c r="AF983" s="378"/>
      <c r="AG983" s="378"/>
      <c r="AH983" s="378"/>
      <c r="AI983" s="378"/>
      <c r="AJ983" s="378"/>
      <c r="AK983" s="378"/>
      <c r="AL983" s="378"/>
      <c r="AM983" s="378"/>
      <c r="AN983" s="378"/>
      <c r="AO983" s="378"/>
      <c r="AP983" s="378"/>
      <c r="AQ983" s="378"/>
      <c r="AR983" s="378"/>
      <c r="AS983" s="378"/>
      <c r="AT983" s="378"/>
      <c r="AU983" s="378"/>
    </row>
    <row r="984" spans="1:47" s="532" customFormat="1" x14ac:dyDescent="0.25">
      <c r="A984" s="378"/>
      <c r="B984" s="378"/>
      <c r="C984" s="378"/>
      <c r="D984" s="378"/>
      <c r="E984" s="378"/>
      <c r="F984" s="378"/>
      <c r="G984" s="378"/>
      <c r="H984" s="378"/>
      <c r="I984" s="378"/>
      <c r="J984" s="378"/>
      <c r="K984" s="378"/>
      <c r="L984" s="378"/>
      <c r="M984" s="378"/>
      <c r="N984" s="378"/>
      <c r="O984" s="378"/>
      <c r="P984" s="378"/>
      <c r="Q984" s="378"/>
      <c r="R984" s="378"/>
      <c r="S984" s="378"/>
      <c r="T984" s="378"/>
      <c r="U984" s="378"/>
      <c r="V984" s="378"/>
      <c r="W984" s="378"/>
      <c r="X984" s="378"/>
      <c r="Y984" s="378"/>
      <c r="Z984" s="378"/>
      <c r="AA984" s="378"/>
      <c r="AB984" s="378"/>
      <c r="AC984" s="378"/>
      <c r="AD984" s="378"/>
      <c r="AE984" s="378"/>
      <c r="AF984" s="378"/>
      <c r="AG984" s="378"/>
      <c r="AH984" s="378"/>
      <c r="AI984" s="378"/>
      <c r="AJ984" s="378"/>
      <c r="AK984" s="378"/>
      <c r="AL984" s="378"/>
      <c r="AM984" s="378"/>
      <c r="AN984" s="378"/>
      <c r="AO984" s="378"/>
      <c r="AP984" s="378"/>
      <c r="AQ984" s="378"/>
      <c r="AR984" s="378"/>
      <c r="AS984" s="378"/>
      <c r="AT984" s="378"/>
      <c r="AU984" s="378"/>
    </row>
    <row r="985" spans="1:47" ht="15.75" x14ac:dyDescent="0.25">
      <c r="A985" s="378"/>
      <c r="B985" s="2060" t="s">
        <v>766</v>
      </c>
      <c r="C985" s="2060"/>
      <c r="D985" s="2060"/>
      <c r="E985" s="2060"/>
      <c r="F985" s="2060"/>
      <c r="G985" s="2060"/>
      <c r="H985" s="2060"/>
      <c r="I985" s="2060"/>
      <c r="J985" s="2060"/>
      <c r="K985" s="2060"/>
      <c r="L985" s="2060"/>
      <c r="M985" s="2060"/>
      <c r="N985" s="2060"/>
      <c r="O985" s="378"/>
      <c r="P985" s="378"/>
      <c r="Q985" s="378"/>
      <c r="R985" s="378"/>
      <c r="S985" s="378"/>
      <c r="T985" s="378"/>
      <c r="U985" s="378"/>
      <c r="V985" s="378"/>
      <c r="W985" s="378"/>
      <c r="X985" s="378"/>
      <c r="Y985" s="378"/>
      <c r="Z985" s="378"/>
      <c r="AA985" s="378"/>
      <c r="AB985" s="378"/>
      <c r="AC985" s="378"/>
      <c r="AD985" s="378"/>
      <c r="AE985" s="378"/>
      <c r="AF985" s="378"/>
      <c r="AG985" s="378"/>
      <c r="AH985" s="378"/>
      <c r="AI985" s="378"/>
      <c r="AJ985" s="378"/>
      <c r="AK985" s="378"/>
      <c r="AL985" s="378"/>
      <c r="AM985" s="378"/>
      <c r="AN985" s="378"/>
      <c r="AO985" s="378"/>
      <c r="AP985" s="378"/>
      <c r="AQ985" s="378"/>
      <c r="AR985" s="378"/>
      <c r="AS985" s="378"/>
      <c r="AT985" s="378"/>
      <c r="AU985" s="378"/>
    </row>
    <row r="986" spans="1:47" x14ac:dyDescent="0.25">
      <c r="A986" s="378"/>
      <c r="B986" s="1109"/>
      <c r="C986" s="1161">
        <f>'3 INDICADORES'!D285</f>
        <v>0</v>
      </c>
      <c r="D986" s="1161">
        <f>'3 INDICADORES'!E285</f>
        <v>0</v>
      </c>
      <c r="E986" s="1161">
        <f>'3 INDICADORES'!F285</f>
        <v>0</v>
      </c>
      <c r="F986" s="1161">
        <f>'3 INDICADORES'!G285</f>
        <v>0</v>
      </c>
      <c r="G986" s="1161">
        <f>'3 INDICADORES'!H285</f>
        <v>0</v>
      </c>
      <c r="H986" s="1161">
        <f>'GUIA DE APLICAÇÃO'!D1030</f>
        <v>0</v>
      </c>
      <c r="I986" s="1161">
        <f>'GUIA DE APLICAÇÃO'!E1030</f>
        <v>0</v>
      </c>
      <c r="J986" s="1161">
        <f>'GUIA DE APLICAÇÃO'!F1030</f>
        <v>0</v>
      </c>
      <c r="K986" s="1161">
        <f>'GUIA DE APLICAÇÃO'!G1030</f>
        <v>0</v>
      </c>
      <c r="L986" s="1161">
        <f>'GUIA DE APLICAÇÃO'!H1030</f>
        <v>0</v>
      </c>
      <c r="M986" s="1161">
        <f>'GUIA DE APLICAÇÃO'!I1030</f>
        <v>0</v>
      </c>
      <c r="N986" s="1161">
        <f>'GUIA DE APLICAÇÃO'!J1030</f>
        <v>0</v>
      </c>
      <c r="O986" s="378"/>
      <c r="P986" s="378"/>
      <c r="Q986" s="378"/>
      <c r="R986" s="378"/>
      <c r="S986" s="378"/>
      <c r="T986" s="378"/>
      <c r="U986" s="378"/>
      <c r="V986" s="378"/>
      <c r="W986" s="378"/>
      <c r="X986" s="378"/>
      <c r="Y986" s="378"/>
      <c r="Z986" s="378"/>
      <c r="AA986" s="378"/>
      <c r="AB986" s="378"/>
      <c r="AC986" s="378"/>
      <c r="AD986" s="378"/>
      <c r="AE986" s="378"/>
      <c r="AF986" s="378"/>
      <c r="AG986" s="378"/>
      <c r="AH986" s="378"/>
      <c r="AI986" s="378"/>
      <c r="AJ986" s="378"/>
      <c r="AK986" s="378"/>
      <c r="AL986" s="378"/>
      <c r="AM986" s="378"/>
      <c r="AN986" s="378"/>
      <c r="AO986" s="378"/>
      <c r="AP986" s="378"/>
      <c r="AQ986" s="378"/>
      <c r="AR986" s="378"/>
      <c r="AS986" s="378"/>
      <c r="AT986" s="378"/>
      <c r="AU986" s="378"/>
    </row>
    <row r="987" spans="1:47" x14ac:dyDescent="0.25">
      <c r="A987" s="378"/>
      <c r="B987" s="1068" t="s">
        <v>943</v>
      </c>
      <c r="C987" s="1161" t="str">
        <f>IF('3 INDICADORES'!D295&gt;0.001,((1/LOG10('3 INDICADORES'!D295))*(LOG10('3 INDICADORES'!D296))*'3 INDICADORES'!D294)," ")</f>
        <v xml:space="preserve"> </v>
      </c>
      <c r="D987" s="1161" t="str">
        <f>IF('3 INDICADORES'!E295&gt;0.001,((1/LOG10('3 INDICADORES'!E295))*(LOG10('3 INDICADORES'!E296))*'3 INDICADORES'!E294)," ")</f>
        <v xml:space="preserve"> </v>
      </c>
      <c r="E987" s="1161" t="str">
        <f>IF('3 INDICADORES'!F295&gt;0.001,((1/LOG10('3 INDICADORES'!F295))*(LOG10('3 INDICADORES'!F296))*'3 INDICADORES'!F294)," ")</f>
        <v xml:space="preserve"> </v>
      </c>
      <c r="F987" s="1161" t="str">
        <f>IF('3 INDICADORES'!G295&gt;0.001,((1/LOG10('3 INDICADORES'!G295))*(LOG10('3 INDICADORES'!G296))*'3 INDICADORES'!G294)," ")</f>
        <v xml:space="preserve"> </v>
      </c>
      <c r="G987" s="1161" t="str">
        <f>IF('3 INDICADORES'!H295&gt;0.001,((1/LOG10('3 INDICADORES'!H295))*(LOG10('3 INDICADORES'!H296))*'3 INDICADORES'!H294)," ")</f>
        <v xml:space="preserve"> </v>
      </c>
      <c r="H987" s="1161" t="str">
        <f>IF('GUIA DE APLICAÇÃO'!D1040&gt;0.001,((1/LOG10('GUIA DE APLICAÇÃO'!D1040))*(LOG10('GUIA DE APLICAÇÃO'!D1041))*'GUIA DE APLICAÇÃO'!D1039)," ")</f>
        <v xml:space="preserve"> </v>
      </c>
      <c r="I987" s="1161" t="str">
        <f>IF('GUIA DE APLICAÇÃO'!E1040&gt;0.001,((1/LOG10('GUIA DE APLICAÇÃO'!E1040))*(LOG10('GUIA DE APLICAÇÃO'!E1041))*'GUIA DE APLICAÇÃO'!E1039)," ")</f>
        <v xml:space="preserve"> </v>
      </c>
      <c r="J987" s="1161" t="str">
        <f>IF('GUIA DE APLICAÇÃO'!F1040&gt;0.001,((1/LOG10('GUIA DE APLICAÇÃO'!F1040))*(LOG10('GUIA DE APLICAÇÃO'!F1041))*'GUIA DE APLICAÇÃO'!F1039)," ")</f>
        <v xml:space="preserve"> </v>
      </c>
      <c r="K987" s="1161" t="str">
        <f>IF('GUIA DE APLICAÇÃO'!G1040&gt;0.001,((1/LOG10('GUIA DE APLICAÇÃO'!G1040))*(LOG10('GUIA DE APLICAÇÃO'!G1041))*'GUIA DE APLICAÇÃO'!G1039)," ")</f>
        <v xml:space="preserve"> </v>
      </c>
      <c r="L987" s="1161" t="str">
        <f>IF('GUIA DE APLICAÇÃO'!H1040&gt;0.001,((1/LOG10('GUIA DE APLICAÇÃO'!H1040))*(LOG10('GUIA DE APLICAÇÃO'!H1041))*'GUIA DE APLICAÇÃO'!H1039)," ")</f>
        <v xml:space="preserve"> </v>
      </c>
      <c r="M987" s="1161" t="str">
        <f>IF('GUIA DE APLICAÇÃO'!I1040&gt;0.001,((1/LOG10('GUIA DE APLICAÇÃO'!I1040))*(LOG10('GUIA DE APLICAÇÃO'!I1041))*'GUIA DE APLICAÇÃO'!I1039)," ")</f>
        <v xml:space="preserve"> </v>
      </c>
      <c r="N987" s="1161" t="str">
        <f>IF('GUIA DE APLICAÇÃO'!J1040&gt;0.001,((1/LOG10('GUIA DE APLICAÇÃO'!J1040))*(LOG10('GUIA DE APLICAÇÃO'!J1041))*'GUIA DE APLICAÇÃO'!J1039)," ")</f>
        <v xml:space="preserve"> </v>
      </c>
      <c r="O987" s="378"/>
      <c r="P987" s="378"/>
      <c r="Q987" s="378"/>
      <c r="R987" s="378"/>
      <c r="S987" s="378"/>
      <c r="T987" s="378"/>
      <c r="U987" s="378"/>
      <c r="V987" s="378"/>
      <c r="W987" s="378"/>
      <c r="X987" s="378"/>
      <c r="Y987" s="378"/>
      <c r="Z987" s="378"/>
      <c r="AA987" s="378"/>
      <c r="AB987" s="378"/>
      <c r="AC987" s="378"/>
      <c r="AD987" s="378"/>
      <c r="AE987" s="378"/>
      <c r="AF987" s="378"/>
      <c r="AG987" s="378"/>
      <c r="AH987" s="378"/>
      <c r="AI987" s="378"/>
      <c r="AJ987" s="378"/>
      <c r="AK987" s="378"/>
      <c r="AL987" s="378"/>
      <c r="AM987" s="378"/>
      <c r="AN987" s="378"/>
      <c r="AO987" s="378"/>
      <c r="AP987" s="378"/>
      <c r="AQ987" s="378"/>
      <c r="AR987" s="378"/>
      <c r="AS987" s="378"/>
      <c r="AT987" s="378"/>
      <c r="AU987" s="378"/>
    </row>
    <row r="988" spans="1:47" x14ac:dyDescent="0.25">
      <c r="A988" s="378"/>
      <c r="B988" s="1162" t="s">
        <v>944</v>
      </c>
      <c r="C988" s="1161">
        <f>IF('3 INDICADORES'!D300&gt;0.001,('3 INDICADORES'!D300*'3 INDICADORES'!D301*'3 INDICADORES'!D302),0)</f>
        <v>0</v>
      </c>
      <c r="D988" s="1161">
        <f>IF('3 INDICADORES'!E300&gt;0.001,('3 INDICADORES'!E300*'3 INDICADORES'!E301*'3 INDICADORES'!E302),0)</f>
        <v>0</v>
      </c>
      <c r="E988" s="1161">
        <f>IF('3 INDICADORES'!F300&gt;0.001,('3 INDICADORES'!F300*'3 INDICADORES'!F301*'3 INDICADORES'!F302),0)</f>
        <v>0</v>
      </c>
      <c r="F988" s="1161">
        <f>IF('3 INDICADORES'!G300&gt;0.001,('3 INDICADORES'!G300*'3 INDICADORES'!G301*'3 INDICADORES'!G302),0)</f>
        <v>0</v>
      </c>
      <c r="G988" s="1161">
        <f>IF('3 INDICADORES'!H300&gt;0.001,('3 INDICADORES'!H300*'3 INDICADORES'!H301*'3 INDICADORES'!H302),0)</f>
        <v>0</v>
      </c>
      <c r="H988" s="1161">
        <f>IF('GUIA DE APLICAÇÃO'!D1045&gt;0.001,('GUIA DE APLICAÇÃO'!D1045*'GUIA DE APLICAÇÃO'!D1046*'GUIA DE APLICAÇÃO'!D1047),0)</f>
        <v>0</v>
      </c>
      <c r="I988" s="1161">
        <f>IF('GUIA DE APLICAÇÃO'!E1045&gt;0.001,('GUIA DE APLICAÇÃO'!E1045*'GUIA DE APLICAÇÃO'!E1046*'GUIA DE APLICAÇÃO'!E1047),0)</f>
        <v>0</v>
      </c>
      <c r="J988" s="1161">
        <f>IF('GUIA DE APLICAÇÃO'!F1045&gt;0.001,('GUIA DE APLICAÇÃO'!F1045*'GUIA DE APLICAÇÃO'!F1046*'GUIA DE APLICAÇÃO'!F1047),0)</f>
        <v>0</v>
      </c>
      <c r="K988" s="1161">
        <f>IF('GUIA DE APLICAÇÃO'!G1045&gt;0.001,('GUIA DE APLICAÇÃO'!G1045*'GUIA DE APLICAÇÃO'!G1046*'GUIA DE APLICAÇÃO'!G1047),0)</f>
        <v>0</v>
      </c>
      <c r="L988" s="1161">
        <f>IF('GUIA DE APLICAÇÃO'!H1045&gt;0.001,('GUIA DE APLICAÇÃO'!H1045*'GUIA DE APLICAÇÃO'!H1046*'GUIA DE APLICAÇÃO'!H1047),0)</f>
        <v>0</v>
      </c>
      <c r="M988" s="1161">
        <f>IF('GUIA DE APLICAÇÃO'!I1045&gt;0.001,('GUIA DE APLICAÇÃO'!I1045*'GUIA DE APLICAÇÃO'!I1046*'GUIA DE APLICAÇÃO'!I1047),0)</f>
        <v>0</v>
      </c>
      <c r="N988" s="1161">
        <f>IF('GUIA DE APLICAÇÃO'!J1045&gt;0.001,('GUIA DE APLICAÇÃO'!J1045*'GUIA DE APLICAÇÃO'!J1046*'GUIA DE APLICAÇÃO'!J1047),0)</f>
        <v>0</v>
      </c>
      <c r="O988" s="378"/>
      <c r="P988" s="378"/>
      <c r="Q988" s="378"/>
      <c r="R988" s="378"/>
      <c r="S988" s="378"/>
      <c r="T988" s="378"/>
      <c r="U988" s="378"/>
      <c r="V988" s="378"/>
      <c r="W988" s="378"/>
      <c r="X988" s="378"/>
      <c r="Y988" s="378"/>
      <c r="Z988" s="378"/>
      <c r="AA988" s="378"/>
      <c r="AB988" s="378"/>
      <c r="AC988" s="378"/>
      <c r="AD988" s="378"/>
      <c r="AE988" s="378"/>
      <c r="AF988" s="378"/>
      <c r="AG988" s="378"/>
      <c r="AH988" s="378"/>
      <c r="AI988" s="378"/>
      <c r="AJ988" s="378"/>
      <c r="AK988" s="378"/>
      <c r="AL988" s="378"/>
      <c r="AM988" s="378"/>
      <c r="AN988" s="378"/>
      <c r="AO988" s="378"/>
      <c r="AP988" s="378"/>
      <c r="AQ988" s="378"/>
      <c r="AR988" s="378"/>
      <c r="AS988" s="378"/>
      <c r="AT988" s="378"/>
      <c r="AU988" s="378"/>
    </row>
    <row r="989" spans="1:47" x14ac:dyDescent="0.25">
      <c r="A989" s="378"/>
      <c r="B989" s="1060"/>
      <c r="C989" s="1161"/>
      <c r="D989" s="1161"/>
      <c r="E989" s="1161"/>
      <c r="F989" s="1161"/>
      <c r="G989" s="1161"/>
      <c r="H989" s="1161"/>
      <c r="I989" s="1161"/>
      <c r="J989" s="1161"/>
      <c r="K989" s="1161"/>
      <c r="L989" s="1161"/>
      <c r="M989" s="1161"/>
      <c r="N989" s="1161"/>
      <c r="O989" s="378"/>
      <c r="P989" s="378"/>
      <c r="Q989" s="378"/>
      <c r="R989" s="378"/>
      <c r="S989" s="378"/>
      <c r="T989" s="378"/>
      <c r="U989" s="378"/>
      <c r="V989" s="378"/>
      <c r="W989" s="378"/>
      <c r="X989" s="378"/>
      <c r="Y989" s="378"/>
      <c r="Z989" s="378"/>
      <c r="AA989" s="378"/>
      <c r="AB989" s="378"/>
      <c r="AC989" s="378"/>
      <c r="AD989" s="378"/>
      <c r="AE989" s="378"/>
      <c r="AF989" s="378"/>
      <c r="AG989" s="378"/>
      <c r="AH989" s="378"/>
      <c r="AI989" s="378"/>
      <c r="AJ989" s="378"/>
      <c r="AK989" s="378"/>
      <c r="AL989" s="378"/>
      <c r="AM989" s="378"/>
      <c r="AN989" s="378"/>
      <c r="AO989" s="378"/>
      <c r="AP989" s="378"/>
      <c r="AQ989" s="378"/>
      <c r="AR989" s="378"/>
      <c r="AS989" s="378"/>
      <c r="AT989" s="378"/>
      <c r="AU989" s="378"/>
    </row>
    <row r="990" spans="1:47" x14ac:dyDescent="0.25">
      <c r="A990" s="378"/>
      <c r="B990" s="1162" t="s">
        <v>945</v>
      </c>
      <c r="C990" s="1161" t="e">
        <f>IF('3 INDICADORES'!D303&gt;0.01,('3 INDICADORES'!D303*'3 INDICADORES'!D298)," ")</f>
        <v>#VALUE!</v>
      </c>
      <c r="D990" s="1161" t="e">
        <f>IF('3 INDICADORES'!E303&gt;0.01,('3 INDICADORES'!E303*'3 INDICADORES'!E298)," ")</f>
        <v>#VALUE!</v>
      </c>
      <c r="E990" s="1161" t="e">
        <f>IF('3 INDICADORES'!F303&gt;0.01,('3 INDICADORES'!F303*'3 INDICADORES'!F298)," ")</f>
        <v>#VALUE!</v>
      </c>
      <c r="F990" s="1161" t="e">
        <f>IF('3 INDICADORES'!G303&gt;0.01,('3 INDICADORES'!G303*'3 INDICADORES'!G298)," ")</f>
        <v>#VALUE!</v>
      </c>
      <c r="G990" s="1161" t="e">
        <f>IF('3 INDICADORES'!H303&gt;0.01,('3 INDICADORES'!H303*'3 INDICADORES'!H298)," ")</f>
        <v>#VALUE!</v>
      </c>
      <c r="H990" s="1161" t="e">
        <f>IF('GUIA DE APLICAÇÃO'!D1048&gt;0.01,('GUIA DE APLICAÇÃO'!D1048*'GUIA DE APLICAÇÃO'!D1043)," ")</f>
        <v>#VALUE!</v>
      </c>
      <c r="I990" s="1161" t="e">
        <f>IF('GUIA DE APLICAÇÃO'!E1048&gt;0.01,('GUIA DE APLICAÇÃO'!E1048*'GUIA DE APLICAÇÃO'!E1043)," ")</f>
        <v>#VALUE!</v>
      </c>
      <c r="J990" s="1161" t="e">
        <f>IF('GUIA DE APLICAÇÃO'!F1048&gt;0.01,('GUIA DE APLICAÇÃO'!F1048*'GUIA DE APLICAÇÃO'!F1043)," ")</f>
        <v>#VALUE!</v>
      </c>
      <c r="K990" s="1161" t="e">
        <f>IF('GUIA DE APLICAÇÃO'!G1048&gt;0.01,('GUIA DE APLICAÇÃO'!G1048*'GUIA DE APLICAÇÃO'!G1043)," ")</f>
        <v>#VALUE!</v>
      </c>
      <c r="L990" s="1161" t="e">
        <f>IF('GUIA DE APLICAÇÃO'!H1048&gt;0.01,('GUIA DE APLICAÇÃO'!H1048*'GUIA DE APLICAÇÃO'!H1043)," ")</f>
        <v>#VALUE!</v>
      </c>
      <c r="M990" s="1161" t="e">
        <f>IF('GUIA DE APLICAÇÃO'!I1048&gt;0.01,('GUIA DE APLICAÇÃO'!I1048*'GUIA DE APLICAÇÃO'!I1043)," ")</f>
        <v>#VALUE!</v>
      </c>
      <c r="N990" s="1161" t="e">
        <f>IF('GUIA DE APLICAÇÃO'!J1048&gt;0.01,('GUIA DE APLICAÇÃO'!J1048*'GUIA DE APLICAÇÃO'!J1043)," ")</f>
        <v>#VALUE!</v>
      </c>
      <c r="O990" s="378"/>
      <c r="P990" s="378"/>
      <c r="Q990" s="378"/>
      <c r="R990" s="378"/>
      <c r="S990" s="378"/>
      <c r="T990" s="378"/>
      <c r="U990" s="378"/>
      <c r="V990" s="378"/>
      <c r="W990" s="378"/>
      <c r="X990" s="378"/>
      <c r="Y990" s="378"/>
      <c r="Z990" s="378"/>
      <c r="AA990" s="378"/>
      <c r="AB990" s="378"/>
      <c r="AC990" s="378"/>
      <c r="AD990" s="378"/>
      <c r="AE990" s="378"/>
      <c r="AF990" s="378"/>
      <c r="AG990" s="378"/>
      <c r="AH990" s="378"/>
      <c r="AI990" s="378"/>
      <c r="AJ990" s="378"/>
      <c r="AK990" s="378"/>
      <c r="AL990" s="378"/>
      <c r="AM990" s="378"/>
      <c r="AN990" s="378"/>
      <c r="AO990" s="378"/>
      <c r="AP990" s="378"/>
      <c r="AQ990" s="378"/>
      <c r="AR990" s="378"/>
      <c r="AS990" s="378"/>
      <c r="AT990" s="378"/>
      <c r="AU990" s="378"/>
    </row>
    <row r="991" spans="1:47" x14ac:dyDescent="0.25">
      <c r="A991" s="378"/>
      <c r="B991" s="1163">
        <f>IF(C987=B994,C988,IF(D987=B994,D988,IF(E987=B994,E988,IF(F987=B994,F988,IF(G987=B994,G988,IF(H987=B994,H988,IF(I987=B994,I988,IF(J987=B994,J988,IF(K987=B994,K988,IF(L987=B994,L988,IF(M987=B994,M988,IF(N987=B994,N988,IF('GUIA DE APLICAÇÃO'!B999=B994,'GUIA DE APLICAÇÃO'!B1000,IF('GUIA DE APLICAÇÃO'!C999=B994,'GUIA DE APLICAÇÃO'!C1000,IF('3 INDICADORES'!BT288=B994,'3 INDICADORES'!BT289,IF('GUIA DE APLICAÇÃO'!D999=B994,'GUIA DE APLICAÇÃO'!D1000,IF('GUIA DE APLICAÇÃO'!E999=B994,'GUIA DE APLICAÇÃO'!E1000,IF('GUIA DE APLICAÇÃO'!F999=B994,'GUIA DE APLICAÇÃO'!F1000,IF('GUIA DE APLICAÇÃO'!G999=B994,'GUIA DE APLICAÇÃO'!G1000,IF('GUIA DE APLICAÇÃO'!H999=B994,'GUIA DE APLICAÇÃO'!H1000,IF('GUIA DE APLICAÇÃO'!I999=B994,'GUIA DE APLICAÇÃO'!I1000,IF('GUIA DE APLICAÇÃO'!J999=B994,'GUIA DE APLICAÇÃO'!J1000,IF('GUIA DE APLICAÇÃO'!K999=B994,'GUIA DE APLICAÇÃO'!K1000,IF('GUIA DE APLICAÇÃO'!L999=B994,'GUIA DE APLICAÇÃO'!L1000,IF('GUIA DE APLICAÇÃO'!M999=B994,'GUIA DE APLICAÇÃO'!M1000,IF('GUIA DE APLICAÇÃO'!N999=B994,'GUIA DE APLICAÇÃO'!N1000,IF('GUIA DE APLICAÇÃO'!B1005=B994,'GUIA DE APLICAÇÃO'!B1006,IF('GUIA DE APLICAÇÃO'!C1005=B994,'GUIA DE APLICAÇÃO'!C1006,IF('GUIA DE APLICAÇÃO'!D1005=B994,'GUIA DE APLICAÇÃO'!D1006)))))))))))))))))))))))))))))</f>
        <v>0</v>
      </c>
      <c r="C991" s="243"/>
      <c r="D991" s="45"/>
      <c r="E991" s="20"/>
      <c r="F991" s="20"/>
      <c r="G991" s="45"/>
      <c r="H991" s="45"/>
      <c r="I991" s="45"/>
      <c r="J991" s="45"/>
      <c r="K991" s="45"/>
      <c r="L991" s="45"/>
      <c r="M991" s="45"/>
      <c r="N991" s="45"/>
      <c r="O991" s="378"/>
      <c r="P991" s="378"/>
      <c r="Q991" s="378"/>
      <c r="R991" s="378"/>
      <c r="S991" s="378"/>
      <c r="T991" s="378"/>
      <c r="U991" s="378"/>
      <c r="V991" s="378"/>
      <c r="W991" s="378"/>
      <c r="X991" s="378"/>
      <c r="Y991" s="378"/>
      <c r="Z991" s="378"/>
      <c r="AA991" s="378"/>
      <c r="AB991" s="378"/>
      <c r="AC991" s="378"/>
      <c r="AD991" s="378"/>
      <c r="AE991" s="378"/>
      <c r="AF991" s="378"/>
      <c r="AG991" s="378"/>
      <c r="AH991" s="378"/>
      <c r="AI991" s="378"/>
      <c r="AJ991" s="378"/>
      <c r="AK991" s="378"/>
      <c r="AL991" s="378"/>
      <c r="AM991" s="378"/>
      <c r="AN991" s="378"/>
      <c r="AO991" s="378"/>
      <c r="AP991" s="378"/>
      <c r="AQ991" s="378"/>
      <c r="AR991" s="378"/>
      <c r="AS991" s="378"/>
      <c r="AT991" s="378"/>
      <c r="AU991" s="378"/>
    </row>
    <row r="992" spans="1:47" x14ac:dyDescent="0.25">
      <c r="A992" s="378"/>
      <c r="B992" s="368"/>
      <c r="C992" s="532"/>
      <c r="D992" s="45"/>
      <c r="E992" s="20"/>
      <c r="F992" s="20"/>
      <c r="G992" s="45"/>
      <c r="H992" s="45"/>
      <c r="I992" s="45"/>
      <c r="J992" s="45"/>
      <c r="K992" s="45"/>
      <c r="L992" s="45"/>
      <c r="M992" s="45"/>
      <c r="N992" s="45"/>
      <c r="O992" s="378"/>
      <c r="P992" s="378"/>
      <c r="Q992" s="378"/>
      <c r="R992" s="378"/>
      <c r="S992" s="378"/>
      <c r="T992" s="378"/>
      <c r="U992" s="378"/>
      <c r="V992" s="378"/>
      <c r="W992" s="378"/>
      <c r="X992" s="378"/>
      <c r="Y992" s="378"/>
      <c r="Z992" s="378"/>
      <c r="AA992" s="378"/>
      <c r="AB992" s="378"/>
      <c r="AC992" s="378"/>
      <c r="AD992" s="378"/>
      <c r="AE992" s="378"/>
      <c r="AF992" s="378"/>
      <c r="AG992" s="378"/>
      <c r="AH992" s="378"/>
      <c r="AI992" s="378"/>
      <c r="AJ992" s="378"/>
      <c r="AK992" s="378"/>
      <c r="AL992" s="378"/>
      <c r="AM992" s="378"/>
      <c r="AN992" s="378"/>
      <c r="AO992" s="378"/>
      <c r="AP992" s="378"/>
      <c r="AQ992" s="378"/>
      <c r="AR992" s="378"/>
      <c r="AS992" s="378"/>
      <c r="AT992" s="378"/>
      <c r="AU992" s="378"/>
    </row>
    <row r="993" spans="1:47" x14ac:dyDescent="0.25">
      <c r="A993" s="378"/>
      <c r="B993" s="1164" t="s">
        <v>946</v>
      </c>
      <c r="C993" s="1164"/>
      <c r="D993" s="45"/>
      <c r="E993" s="20"/>
      <c r="F993" s="20"/>
      <c r="G993" s="45"/>
      <c r="H993" s="45"/>
      <c r="I993" s="45"/>
      <c r="J993" s="45"/>
      <c r="K993" s="45"/>
      <c r="L993" s="45"/>
      <c r="M993" s="45"/>
      <c r="N993" s="45"/>
      <c r="O993" s="378"/>
      <c r="P993" s="378"/>
      <c r="Q993" s="378"/>
      <c r="R993" s="378"/>
      <c r="S993" s="378"/>
      <c r="T993" s="378"/>
      <c r="U993" s="378"/>
      <c r="V993" s="378"/>
      <c r="W993" s="378"/>
      <c r="X993" s="378"/>
      <c r="Y993" s="378"/>
      <c r="Z993" s="378"/>
      <c r="AA993" s="378"/>
      <c r="AB993" s="378"/>
      <c r="AC993" s="378"/>
      <c r="AD993" s="378"/>
      <c r="AE993" s="378"/>
      <c r="AF993" s="378"/>
      <c r="AG993" s="378"/>
      <c r="AH993" s="378"/>
      <c r="AI993" s="378"/>
      <c r="AJ993" s="378"/>
      <c r="AK993" s="378"/>
      <c r="AL993" s="378"/>
      <c r="AM993" s="378"/>
      <c r="AN993" s="378"/>
      <c r="AO993" s="378"/>
      <c r="AP993" s="378"/>
      <c r="AQ993" s="378"/>
      <c r="AR993" s="378"/>
      <c r="AS993" s="378"/>
      <c r="AT993" s="378"/>
      <c r="AU993" s="378"/>
    </row>
    <row r="994" spans="1:47" x14ac:dyDescent="0.25">
      <c r="A994" s="378"/>
      <c r="B994" s="1165">
        <f>MAX(C987:N987)</f>
        <v>0</v>
      </c>
      <c r="C994" s="1144"/>
      <c r="D994" s="45"/>
      <c r="E994" s="20"/>
      <c r="F994" s="20"/>
      <c r="G994" s="45"/>
      <c r="H994" s="45"/>
      <c r="I994" s="45"/>
      <c r="J994" s="45"/>
      <c r="K994" s="45"/>
      <c r="L994" s="45"/>
      <c r="M994" s="45"/>
      <c r="N994" s="45"/>
      <c r="O994" s="378"/>
      <c r="P994" s="378"/>
      <c r="Q994" s="378"/>
      <c r="R994" s="378"/>
      <c r="S994" s="378"/>
      <c r="T994" s="378"/>
      <c r="U994" s="378"/>
      <c r="V994" s="378"/>
      <c r="W994" s="378"/>
      <c r="X994" s="378"/>
      <c r="Y994" s="378"/>
      <c r="Z994" s="378"/>
      <c r="AA994" s="378"/>
      <c r="AB994" s="378"/>
      <c r="AC994" s="378"/>
      <c r="AD994" s="378"/>
      <c r="AE994" s="378"/>
      <c r="AF994" s="378"/>
      <c r="AG994" s="378"/>
      <c r="AH994" s="378"/>
      <c r="AI994" s="378"/>
      <c r="AJ994" s="378"/>
      <c r="AK994" s="378"/>
      <c r="AL994" s="378"/>
      <c r="AM994" s="378"/>
      <c r="AN994" s="378"/>
      <c r="AO994" s="378"/>
      <c r="AP994" s="378"/>
      <c r="AQ994" s="378"/>
      <c r="AR994" s="378"/>
      <c r="AS994" s="378"/>
      <c r="AT994" s="378"/>
      <c r="AU994" s="378"/>
    </row>
    <row r="995" spans="1:47" x14ac:dyDescent="0.25">
      <c r="A995" s="378"/>
      <c r="B995" s="1165">
        <f>IF(OR(B994=0.83,B994&lt;0.83),1,IF(OR(AND(0.83&lt;B994,B994&lt;=1.66)),2,IF(B994&gt;1.66,3,"")))</f>
        <v>1</v>
      </c>
      <c r="C995" s="1165">
        <f>B991</f>
        <v>0</v>
      </c>
      <c r="D995" s="45"/>
      <c r="E995" s="20"/>
      <c r="F995" s="20"/>
      <c r="G995" s="45"/>
      <c r="H995" s="45"/>
      <c r="I995" s="45"/>
      <c r="J995" s="45"/>
      <c r="K995" s="45"/>
      <c r="L995" s="45"/>
      <c r="M995" s="45"/>
      <c r="N995" s="45"/>
      <c r="O995" s="378"/>
      <c r="P995" s="378"/>
      <c r="Q995" s="378"/>
      <c r="R995" s="378"/>
      <c r="S995" s="378"/>
      <c r="T995" s="378"/>
      <c r="U995" s="378"/>
      <c r="V995" s="378"/>
      <c r="W995" s="378"/>
      <c r="X995" s="378"/>
      <c r="Y995" s="378"/>
      <c r="Z995" s="378"/>
      <c r="AA995" s="378"/>
      <c r="AB995" s="378"/>
      <c r="AC995" s="378"/>
      <c r="AD995" s="378"/>
      <c r="AE995" s="378"/>
      <c r="AF995" s="378"/>
      <c r="AG995" s="378"/>
      <c r="AH995" s="378"/>
      <c r="AI995" s="378"/>
      <c r="AJ995" s="378"/>
      <c r="AK995" s="378"/>
      <c r="AL995" s="378"/>
      <c r="AM995" s="378"/>
      <c r="AN995" s="378"/>
      <c r="AO995" s="378"/>
      <c r="AP995" s="378"/>
      <c r="AQ995" s="378"/>
      <c r="AR995" s="378"/>
      <c r="AS995" s="378"/>
      <c r="AT995" s="378"/>
      <c r="AU995" s="378"/>
    </row>
    <row r="996" spans="1:47" x14ac:dyDescent="0.25">
      <c r="A996" s="378"/>
      <c r="B996" s="1165">
        <f>B995*C996</f>
        <v>0</v>
      </c>
      <c r="C996" s="1165" t="b">
        <f>IF(OR(AND(1&lt;=C995,C995&lt;=3)),1,IF(OR(AND(3&lt;C995,C995&lt;=9)),2,IF(C995&gt;9,3)))</f>
        <v>0</v>
      </c>
      <c r="D996" s="45"/>
      <c r="E996" s="20"/>
      <c r="F996" s="20"/>
      <c r="G996" s="45"/>
      <c r="H996" s="45"/>
      <c r="I996" s="45"/>
      <c r="J996" s="45"/>
      <c r="K996" s="45"/>
      <c r="L996" s="45"/>
      <c r="M996" s="45"/>
      <c r="N996" s="45"/>
      <c r="O996" s="378"/>
      <c r="P996" s="378"/>
      <c r="Q996" s="378"/>
      <c r="R996" s="378"/>
      <c r="S996" s="378"/>
      <c r="T996" s="378"/>
      <c r="U996" s="378"/>
      <c r="V996" s="378"/>
      <c r="W996" s="378"/>
      <c r="X996" s="378"/>
      <c r="Y996" s="378"/>
      <c r="Z996" s="378"/>
      <c r="AA996" s="378"/>
      <c r="AB996" s="378"/>
      <c r="AC996" s="378"/>
      <c r="AD996" s="378"/>
      <c r="AE996" s="378"/>
      <c r="AF996" s="378"/>
      <c r="AG996" s="378"/>
      <c r="AH996" s="378"/>
      <c r="AI996" s="378"/>
      <c r="AJ996" s="378"/>
      <c r="AK996" s="378"/>
      <c r="AL996" s="378"/>
      <c r="AM996" s="378"/>
      <c r="AN996" s="378"/>
      <c r="AO996" s="378"/>
      <c r="AP996" s="378"/>
      <c r="AQ996" s="378"/>
      <c r="AR996" s="378"/>
      <c r="AS996" s="378"/>
      <c r="AT996" s="378"/>
      <c r="AU996" s="378"/>
    </row>
    <row r="997" spans="1:47" x14ac:dyDescent="0.25">
      <c r="A997" s="378"/>
      <c r="B997" s="378"/>
      <c r="C997" s="378"/>
      <c r="D997" s="378"/>
      <c r="E997" s="378"/>
      <c r="F997" s="378"/>
      <c r="G997" s="378"/>
      <c r="H997" s="378"/>
      <c r="I997" s="378"/>
      <c r="J997" s="378"/>
      <c r="K997" s="378"/>
      <c r="L997" s="378"/>
      <c r="M997" s="378"/>
      <c r="N997" s="378"/>
      <c r="O997" s="378"/>
      <c r="P997" s="378"/>
      <c r="Q997" s="378"/>
      <c r="R997" s="378"/>
      <c r="S997" s="378"/>
      <c r="T997" s="378"/>
      <c r="U997" s="378"/>
      <c r="V997" s="378"/>
      <c r="W997" s="378"/>
      <c r="X997" s="378"/>
      <c r="Y997" s="378"/>
      <c r="Z997" s="378"/>
      <c r="AA997" s="378"/>
      <c r="AB997" s="378"/>
      <c r="AC997" s="378"/>
      <c r="AD997" s="378"/>
      <c r="AE997" s="378"/>
      <c r="AF997" s="378"/>
      <c r="AG997" s="378"/>
      <c r="AH997" s="378"/>
      <c r="AI997" s="378"/>
      <c r="AJ997" s="378"/>
      <c r="AK997" s="378"/>
      <c r="AL997" s="378"/>
      <c r="AM997" s="378"/>
      <c r="AN997" s="378"/>
      <c r="AO997" s="378"/>
      <c r="AP997" s="378"/>
      <c r="AQ997" s="378"/>
      <c r="AR997" s="378"/>
      <c r="AS997" s="378"/>
      <c r="AT997" s="378"/>
      <c r="AU997" s="378"/>
    </row>
    <row r="998" spans="1:47" x14ac:dyDescent="0.25">
      <c r="A998" s="378"/>
      <c r="B998" s="1161">
        <f>'GUIA DE APLICAÇÃO'!K1030</f>
        <v>0</v>
      </c>
      <c r="C998" s="1161">
        <f>'GUIA DE APLICAÇÃO'!L1030</f>
        <v>0</v>
      </c>
      <c r="D998" s="1161">
        <f>'GUIA DE APLICAÇÃO'!D1053</f>
        <v>0</v>
      </c>
      <c r="E998" s="1161">
        <f>'GUIA DE APLICAÇÃO'!E1053</f>
        <v>0</v>
      </c>
      <c r="F998" s="1161">
        <f>'GUIA DE APLICAÇÃO'!F1053</f>
        <v>0</v>
      </c>
      <c r="G998" s="1161">
        <f>'GUIA DE APLICAÇÃO'!G1053</f>
        <v>0</v>
      </c>
      <c r="H998" s="1161">
        <f>'GUIA DE APLICAÇÃO'!H1053</f>
        <v>0</v>
      </c>
      <c r="I998" s="1161">
        <f>'GUIA DE APLICAÇÃO'!I1053</f>
        <v>0</v>
      </c>
      <c r="J998" s="1161">
        <f>'GUIA DE APLICAÇÃO'!J1053</f>
        <v>0</v>
      </c>
      <c r="K998" s="1161">
        <f>'GUIA DE APLICAÇÃO'!K1053</f>
        <v>0</v>
      </c>
      <c r="L998" s="1161">
        <f>'GUIA DE APLICAÇÃO'!L1053</f>
        <v>0</v>
      </c>
      <c r="M998" s="1161">
        <f>'GUIA DE APLICAÇÃO'!D1075</f>
        <v>0</v>
      </c>
      <c r="N998" s="1161">
        <f>'GUIA DE APLICAÇÃO'!E1075</f>
        <v>0</v>
      </c>
      <c r="O998" s="378"/>
      <c r="P998" s="378"/>
      <c r="Q998" s="378"/>
      <c r="R998" s="378"/>
      <c r="S998" s="378"/>
      <c r="T998" s="378"/>
      <c r="U998" s="378"/>
      <c r="V998" s="378"/>
      <c r="W998" s="378"/>
      <c r="X998" s="378"/>
      <c r="Y998" s="378"/>
      <c r="Z998" s="378"/>
      <c r="AA998" s="378"/>
      <c r="AB998" s="378"/>
      <c r="AC998" s="378"/>
      <c r="AD998" s="378"/>
      <c r="AE998" s="378"/>
      <c r="AF998" s="378"/>
      <c r="AG998" s="378"/>
      <c r="AH998" s="378"/>
      <c r="AI998" s="378"/>
      <c r="AJ998" s="378"/>
      <c r="AK998" s="378"/>
      <c r="AL998" s="378"/>
      <c r="AM998" s="378"/>
      <c r="AN998" s="378"/>
      <c r="AO998" s="378"/>
      <c r="AP998" s="378"/>
      <c r="AQ998" s="378"/>
      <c r="AR998" s="378"/>
      <c r="AS998" s="378"/>
      <c r="AT998" s="378"/>
      <c r="AU998" s="378"/>
    </row>
    <row r="999" spans="1:47" x14ac:dyDescent="0.25">
      <c r="A999" s="378"/>
      <c r="B999" s="1161" t="str">
        <f>IF('GUIA DE APLICAÇÃO'!K1040&gt;0.001,((1/LOG10('GUIA DE APLICAÇÃO'!K1040))*(LOG10('GUIA DE APLICAÇÃO'!K1041))*'GUIA DE APLICAÇÃO'!K1039)," ")</f>
        <v xml:space="preserve"> </v>
      </c>
      <c r="C999" s="1161" t="str">
        <f>IF('GUIA DE APLICAÇÃO'!L1040&gt;0.001,((1/LOG10('GUIA DE APLICAÇÃO'!L1040))*(LOG10('GUIA DE APLICAÇÃO'!L1041))*'GUIA DE APLICAÇÃO'!L1039)," ")</f>
        <v xml:space="preserve"> </v>
      </c>
      <c r="D999" s="1161" t="str">
        <f>IF('GUIA DE APLICAÇÃO'!D1063&gt;0.001,((1/LOG10('GUIA DE APLICAÇÃO'!D1063))*(LOG10('GUIA DE APLICAÇÃO'!D1064))*'GUIA DE APLICAÇÃO'!D1062)," ")</f>
        <v xml:space="preserve"> </v>
      </c>
      <c r="E999" s="1161" t="str">
        <f>IF('GUIA DE APLICAÇÃO'!E1063&gt;0.001,((1/LOG10('GUIA DE APLICAÇÃO'!E1063))*(LOG10('GUIA DE APLICAÇÃO'!E1064))*'GUIA DE APLICAÇÃO'!E1062)," ")</f>
        <v xml:space="preserve"> </v>
      </c>
      <c r="F999" s="1161" t="str">
        <f>IF('GUIA DE APLICAÇÃO'!F1063&gt;0.001,((1/LOG10('GUIA DE APLICAÇÃO'!F1063))*(LOG10('GUIA DE APLICAÇÃO'!F1064))*'GUIA DE APLICAÇÃO'!F1062)," ")</f>
        <v xml:space="preserve"> </v>
      </c>
      <c r="G999" s="1161" t="str">
        <f>IF('GUIA DE APLICAÇÃO'!G1063&gt;0.001,((1/LOG10('GUIA DE APLICAÇÃO'!G1063))*(LOG10('GUIA DE APLICAÇÃO'!G1064))*'GUIA DE APLICAÇÃO'!G1062)," ")</f>
        <v xml:space="preserve"> </v>
      </c>
      <c r="H999" s="1161" t="str">
        <f>IF('GUIA DE APLICAÇÃO'!H1063&gt;0.001,((1/LOG10('GUIA DE APLICAÇÃO'!H1063))*(LOG10('GUIA DE APLICAÇÃO'!H1064))*'GUIA DE APLICAÇÃO'!H1062)," ")</f>
        <v xml:space="preserve"> </v>
      </c>
      <c r="I999" s="1161" t="str">
        <f>IF('GUIA DE APLICAÇÃO'!I1063&gt;0.001,((1/LOG10('GUIA DE APLICAÇÃO'!I1063))*(LOG10('GUIA DE APLICAÇÃO'!I1064))*'GUIA DE APLICAÇÃO'!I1062)," ")</f>
        <v xml:space="preserve"> </v>
      </c>
      <c r="J999" s="1161" t="str">
        <f>IF('GUIA DE APLICAÇÃO'!J1063&gt;0.001,((1/LOG10('GUIA DE APLICAÇÃO'!J1063))*(LOG10('GUIA DE APLICAÇÃO'!J1064))*'GUIA DE APLICAÇÃO'!J1062)," ")</f>
        <v xml:space="preserve"> </v>
      </c>
      <c r="K999" s="1161" t="str">
        <f>IF('GUIA DE APLICAÇÃO'!K1063&gt;0.001,((1/LOG10('GUIA DE APLICAÇÃO'!K1063))*(LOG10('GUIA DE APLICAÇÃO'!K1064))*'GUIA DE APLICAÇÃO'!K1062)," ")</f>
        <v xml:space="preserve"> </v>
      </c>
      <c r="L999" s="1161" t="str">
        <f>IF('GUIA DE APLICAÇÃO'!L1063&gt;0.001,((1/LOG10('GUIA DE APLICAÇÃO'!L1063))*(LOG10('GUIA DE APLICAÇÃO'!L1064))*'GUIA DE APLICAÇÃO'!L1062)," ")</f>
        <v xml:space="preserve"> </v>
      </c>
      <c r="M999" s="1161" t="str">
        <f>IF('GUIA DE APLICAÇÃO'!D1085&gt;0.001,((1/LOG10('GUIA DE APLICAÇÃO'!D1085))*(LOG10('GUIA DE APLICAÇÃO'!D1086))*'GUIA DE APLICAÇÃO'!D1084)," ")</f>
        <v xml:space="preserve"> </v>
      </c>
      <c r="N999" s="1161" t="str">
        <f>IF('GUIA DE APLICAÇÃO'!E1085&gt;0.001,((1/LOG10('GUIA DE APLICAÇÃO'!E1085))*(LOG10('GUIA DE APLICAÇÃO'!E1086))*'GUIA DE APLICAÇÃO'!E1084)," ")</f>
        <v xml:space="preserve"> </v>
      </c>
      <c r="O999" s="378"/>
      <c r="P999" s="378"/>
      <c r="Q999" s="378"/>
      <c r="R999" s="378"/>
      <c r="S999" s="378"/>
      <c r="T999" s="378"/>
      <c r="U999" s="378"/>
      <c r="V999" s="378"/>
      <c r="W999" s="378"/>
      <c r="X999" s="378"/>
      <c r="Y999" s="378"/>
      <c r="Z999" s="378"/>
      <c r="AA999" s="378"/>
      <c r="AB999" s="378"/>
      <c r="AC999" s="378"/>
      <c r="AD999" s="378"/>
      <c r="AE999" s="378"/>
      <c r="AF999" s="378"/>
      <c r="AG999" s="378"/>
      <c r="AH999" s="378"/>
      <c r="AI999" s="378"/>
      <c r="AJ999" s="378"/>
      <c r="AK999" s="378"/>
      <c r="AL999" s="378"/>
      <c r="AM999" s="378"/>
      <c r="AN999" s="378"/>
      <c r="AO999" s="378"/>
      <c r="AP999" s="378"/>
      <c r="AQ999" s="378"/>
      <c r="AR999" s="378"/>
      <c r="AS999" s="378"/>
      <c r="AT999" s="378"/>
      <c r="AU999" s="378"/>
    </row>
    <row r="1000" spans="1:47" x14ac:dyDescent="0.25">
      <c r="A1000" s="378"/>
      <c r="B1000" s="1161">
        <f>IF('GUIA DE APLICAÇÃO'!K1045&gt;0.001,('GUIA DE APLICAÇÃO'!K1045*'GUIA DE APLICAÇÃO'!K1046*'GUIA DE APLICAÇÃO'!K1047),0)</f>
        <v>0</v>
      </c>
      <c r="C1000" s="1161">
        <f>IF('GUIA DE APLICAÇÃO'!L1045&gt;0.001,('GUIA DE APLICAÇÃO'!L1045*'GUIA DE APLICAÇÃO'!L1046*'GUIA DE APLICAÇÃO'!L1047),0)</f>
        <v>0</v>
      </c>
      <c r="D1000" s="1161">
        <f>IF('GUIA DE APLICAÇÃO'!D1068&gt;0.001,('GUIA DE APLICAÇÃO'!D1068*'GUIA DE APLICAÇÃO'!D1069*'GUIA DE APLICAÇÃO'!D1070),0)</f>
        <v>0</v>
      </c>
      <c r="E1000" s="1161">
        <f>IF('GUIA DE APLICAÇÃO'!E1068&gt;0.001,('GUIA DE APLICAÇÃO'!E1068*'GUIA DE APLICAÇÃO'!E1069*'GUIA DE APLICAÇÃO'!E1070),0)</f>
        <v>0</v>
      </c>
      <c r="F1000" s="1161">
        <f>IF('GUIA DE APLICAÇÃO'!F1068&gt;0.001,('GUIA DE APLICAÇÃO'!F1068*'GUIA DE APLICAÇÃO'!F1069*'GUIA DE APLICAÇÃO'!F1070),0)</f>
        <v>0</v>
      </c>
      <c r="G1000" s="1161">
        <f>IF('GUIA DE APLICAÇÃO'!G1068&gt;0.001,('GUIA DE APLICAÇÃO'!G1068*'GUIA DE APLICAÇÃO'!G1069*'GUIA DE APLICAÇÃO'!G1070),0)</f>
        <v>0</v>
      </c>
      <c r="H1000" s="1161">
        <f>IF('GUIA DE APLICAÇÃO'!H1068&gt;0.001,('GUIA DE APLICAÇÃO'!H1068*'GUIA DE APLICAÇÃO'!H1069*'GUIA DE APLICAÇÃO'!H1070),0)</f>
        <v>0</v>
      </c>
      <c r="I1000" s="1161">
        <f>IF('GUIA DE APLICAÇÃO'!I1068&gt;0.001,('GUIA DE APLICAÇÃO'!I1068*'GUIA DE APLICAÇÃO'!I1069*'GUIA DE APLICAÇÃO'!I1070),0)</f>
        <v>0</v>
      </c>
      <c r="J1000" s="1161">
        <f>IF('GUIA DE APLICAÇÃO'!J1068&gt;0.001,('GUIA DE APLICAÇÃO'!J1068*'GUIA DE APLICAÇÃO'!J1069*'GUIA DE APLICAÇÃO'!J1070),0)</f>
        <v>0</v>
      </c>
      <c r="K1000" s="1161">
        <f>IF('GUIA DE APLICAÇÃO'!K1068&gt;0.001,('GUIA DE APLICAÇÃO'!K1068*'GUIA DE APLICAÇÃO'!K1069*'GUIA DE APLICAÇÃO'!K1070),0)</f>
        <v>0</v>
      </c>
      <c r="L1000" s="1161">
        <f>IF('GUIA DE APLICAÇÃO'!L1068&gt;0.001,('GUIA DE APLICAÇÃO'!L1068*'GUIA DE APLICAÇÃO'!L1069*'GUIA DE APLICAÇÃO'!L1070),0)</f>
        <v>0</v>
      </c>
      <c r="M1000" s="1161">
        <f>IF('GUIA DE APLICAÇÃO'!D1090&gt;0.001,('GUIA DE APLICAÇÃO'!D1090*'GUIA DE APLICAÇÃO'!D1091*'GUIA DE APLICAÇÃO'!D1092),0)</f>
        <v>0</v>
      </c>
      <c r="N1000" s="1161">
        <f>IF('GUIA DE APLICAÇÃO'!E1090&gt;0.001,('GUIA DE APLICAÇÃO'!E1090*'GUIA DE APLICAÇÃO'!E1091*'GUIA DE APLICAÇÃO'!E1092),0)</f>
        <v>0</v>
      </c>
      <c r="O1000" s="378"/>
      <c r="P1000" s="378"/>
      <c r="Q1000" s="378"/>
      <c r="R1000" s="378"/>
      <c r="S1000" s="378"/>
      <c r="T1000" s="378"/>
      <c r="U1000" s="378"/>
      <c r="V1000" s="378"/>
      <c r="W1000" s="378"/>
      <c r="X1000" s="378"/>
      <c r="Y1000" s="378"/>
      <c r="Z1000" s="378"/>
      <c r="AA1000" s="378"/>
      <c r="AB1000" s="378"/>
      <c r="AC1000" s="378"/>
      <c r="AD1000" s="378"/>
      <c r="AE1000" s="378"/>
      <c r="AF1000" s="378"/>
      <c r="AG1000" s="378"/>
      <c r="AH1000" s="378"/>
      <c r="AI1000" s="378"/>
      <c r="AJ1000" s="378"/>
      <c r="AK1000" s="378"/>
      <c r="AL1000" s="378"/>
      <c r="AM1000" s="378"/>
      <c r="AN1000" s="378"/>
      <c r="AO1000" s="378"/>
      <c r="AP1000" s="378"/>
      <c r="AQ1000" s="378"/>
      <c r="AR1000" s="378"/>
      <c r="AS1000" s="378"/>
      <c r="AT1000" s="378"/>
      <c r="AU1000" s="378"/>
    </row>
    <row r="1001" spans="1:47" x14ac:dyDescent="0.25">
      <c r="A1001" s="378"/>
      <c r="B1001" s="1161"/>
      <c r="C1001" s="1161"/>
      <c r="D1001" s="1161"/>
      <c r="E1001" s="1161"/>
      <c r="F1001" s="1161"/>
      <c r="G1001" s="1161"/>
      <c r="H1001" s="1161"/>
      <c r="I1001" s="1161"/>
      <c r="J1001" s="1161"/>
      <c r="K1001" s="1161"/>
      <c r="L1001" s="1161"/>
      <c r="M1001" s="1161"/>
      <c r="N1001" s="1161"/>
      <c r="O1001" s="378"/>
      <c r="P1001" s="378"/>
      <c r="Q1001" s="378"/>
      <c r="R1001" s="378"/>
      <c r="S1001" s="378"/>
      <c r="T1001" s="378"/>
      <c r="U1001" s="378"/>
      <c r="V1001" s="378"/>
      <c r="W1001" s="378"/>
      <c r="X1001" s="378"/>
      <c r="Y1001" s="378"/>
      <c r="Z1001" s="378"/>
      <c r="AA1001" s="378"/>
      <c r="AB1001" s="378"/>
      <c r="AC1001" s="378"/>
      <c r="AD1001" s="378"/>
      <c r="AE1001" s="378"/>
      <c r="AF1001" s="378"/>
      <c r="AG1001" s="378"/>
      <c r="AH1001" s="378"/>
      <c r="AI1001" s="378"/>
      <c r="AJ1001" s="378"/>
      <c r="AK1001" s="378"/>
      <c r="AL1001" s="378"/>
      <c r="AM1001" s="378"/>
      <c r="AN1001" s="378"/>
      <c r="AO1001" s="378"/>
      <c r="AP1001" s="378"/>
      <c r="AQ1001" s="378"/>
      <c r="AR1001" s="378"/>
      <c r="AS1001" s="378"/>
      <c r="AT1001" s="378"/>
      <c r="AU1001" s="378"/>
    </row>
    <row r="1002" spans="1:47" x14ac:dyDescent="0.25">
      <c r="A1002" s="378"/>
      <c r="B1002" s="1161" t="e">
        <f>IF('GUIA DE APLICAÇÃO'!K1048&gt;0.01,('GUIA DE APLICAÇÃO'!K1048*'GUIA DE APLICAÇÃO'!K1043)," ")</f>
        <v>#VALUE!</v>
      </c>
      <c r="C1002" s="1161" t="e">
        <f>IF('GUIA DE APLICAÇÃO'!L1048&gt;0.01,('GUIA DE APLICAÇÃO'!L1048*'GUIA DE APLICAÇÃO'!L1043)," ")</f>
        <v>#VALUE!</v>
      </c>
      <c r="D1002" s="1161" t="e">
        <f>IF('GUIA DE APLICAÇÃO'!D1071&gt;0.01,('GUIA DE APLICAÇÃO'!D1071*'GUIA DE APLICAÇÃO'!D1066)," ")</f>
        <v>#VALUE!</v>
      </c>
      <c r="E1002" s="1161" t="e">
        <f>IF('GUIA DE APLICAÇÃO'!E1071&gt;0.01,('GUIA DE APLICAÇÃO'!E1071*'GUIA DE APLICAÇÃO'!E1066)," ")</f>
        <v>#VALUE!</v>
      </c>
      <c r="F1002" s="1161" t="e">
        <f>IF('GUIA DE APLICAÇÃO'!F1071&gt;0.01,('GUIA DE APLICAÇÃO'!F1071*'GUIA DE APLICAÇÃO'!F1066)," ")</f>
        <v>#VALUE!</v>
      </c>
      <c r="G1002" s="1161" t="e">
        <f>IF('GUIA DE APLICAÇÃO'!G1071&gt;0.01,('GUIA DE APLICAÇÃO'!G1071*'GUIA DE APLICAÇÃO'!G1066)," ")</f>
        <v>#VALUE!</v>
      </c>
      <c r="H1002" s="1161" t="e">
        <f>IF('GUIA DE APLICAÇÃO'!H1071&gt;0.01,('GUIA DE APLICAÇÃO'!H1071*'GUIA DE APLICAÇÃO'!H1066)," ")</f>
        <v>#VALUE!</v>
      </c>
      <c r="I1002" s="1161" t="e">
        <f>IF('GUIA DE APLICAÇÃO'!I1071&gt;0.01,('GUIA DE APLICAÇÃO'!I1071*'GUIA DE APLICAÇÃO'!I1066)," ")</f>
        <v>#VALUE!</v>
      </c>
      <c r="J1002" s="1161" t="e">
        <f>IF('GUIA DE APLICAÇÃO'!J1071&gt;0.01,('GUIA DE APLICAÇÃO'!J1071*'GUIA DE APLICAÇÃO'!J1066)," ")</f>
        <v>#VALUE!</v>
      </c>
      <c r="K1002" s="1161" t="e">
        <f>IF('GUIA DE APLICAÇÃO'!K1071&gt;0.01,('GUIA DE APLICAÇÃO'!K1071*'GUIA DE APLICAÇÃO'!K1066)," ")</f>
        <v>#VALUE!</v>
      </c>
      <c r="L1002" s="1161" t="e">
        <f>IF('GUIA DE APLICAÇÃO'!L1071&gt;0.01,('GUIA DE APLICAÇÃO'!L1071*'GUIA DE APLICAÇÃO'!L1066)," ")</f>
        <v>#VALUE!</v>
      </c>
      <c r="M1002" s="1161" t="e">
        <f>IF('GUIA DE APLICAÇÃO'!D1093&gt;0.01,('GUIA DE APLICAÇÃO'!D1093*'GUIA DE APLICAÇÃO'!D1088)," ")</f>
        <v>#VALUE!</v>
      </c>
      <c r="N1002" s="1161" t="e">
        <f>IF('GUIA DE APLICAÇÃO'!E1093&gt;0.01,('GUIA DE APLICAÇÃO'!E1093*'GUIA DE APLICAÇÃO'!E1088)," ")</f>
        <v>#VALUE!</v>
      </c>
      <c r="O1002" s="378"/>
      <c r="P1002" s="378"/>
      <c r="Q1002" s="378"/>
      <c r="R1002" s="378"/>
      <c r="S1002" s="378"/>
      <c r="T1002" s="378"/>
      <c r="U1002" s="378"/>
      <c r="V1002" s="378"/>
      <c r="W1002" s="378"/>
      <c r="X1002" s="378"/>
      <c r="Y1002" s="378"/>
      <c r="Z1002" s="378"/>
      <c r="AA1002" s="378"/>
      <c r="AB1002" s="378"/>
      <c r="AC1002" s="378"/>
      <c r="AD1002" s="378"/>
      <c r="AE1002" s="378"/>
      <c r="AF1002" s="378"/>
      <c r="AG1002" s="378"/>
      <c r="AH1002" s="378"/>
      <c r="AI1002" s="378"/>
      <c r="AJ1002" s="378"/>
      <c r="AK1002" s="378"/>
      <c r="AL1002" s="378"/>
      <c r="AM1002" s="378"/>
      <c r="AN1002" s="378"/>
      <c r="AO1002" s="378"/>
      <c r="AP1002" s="378"/>
      <c r="AQ1002" s="378"/>
      <c r="AR1002" s="378"/>
      <c r="AS1002" s="378"/>
      <c r="AT1002" s="378"/>
      <c r="AU1002" s="378"/>
    </row>
    <row r="1003" spans="1:47" x14ac:dyDescent="0.25">
      <c r="A1003" s="378"/>
      <c r="B1003" s="378"/>
      <c r="C1003" s="378"/>
      <c r="D1003" s="378"/>
      <c r="E1003" s="378"/>
      <c r="F1003" s="378"/>
      <c r="G1003" s="378"/>
      <c r="H1003" s="378"/>
      <c r="I1003" s="378"/>
      <c r="J1003" s="378"/>
      <c r="K1003" s="378"/>
      <c r="L1003" s="378"/>
      <c r="M1003" s="378"/>
      <c r="N1003" s="378"/>
      <c r="O1003" s="378"/>
      <c r="P1003" s="378"/>
      <c r="Q1003" s="378"/>
      <c r="R1003" s="378"/>
      <c r="S1003" s="378"/>
      <c r="T1003" s="378"/>
      <c r="U1003" s="378"/>
      <c r="V1003" s="378"/>
      <c r="W1003" s="378"/>
      <c r="X1003" s="378"/>
      <c r="Y1003" s="378"/>
      <c r="Z1003" s="378"/>
      <c r="AA1003" s="378"/>
      <c r="AB1003" s="378"/>
      <c r="AC1003" s="378"/>
      <c r="AD1003" s="378"/>
      <c r="AE1003" s="378"/>
      <c r="AF1003" s="378"/>
      <c r="AG1003" s="378"/>
      <c r="AH1003" s="378"/>
      <c r="AI1003" s="378"/>
      <c r="AJ1003" s="378"/>
      <c r="AK1003" s="378"/>
      <c r="AL1003" s="378"/>
      <c r="AM1003" s="378"/>
      <c r="AN1003" s="378"/>
      <c r="AO1003" s="378"/>
      <c r="AP1003" s="378"/>
      <c r="AQ1003" s="378"/>
      <c r="AR1003" s="378"/>
      <c r="AS1003" s="378"/>
      <c r="AT1003" s="378"/>
      <c r="AU1003" s="378"/>
    </row>
    <row r="1004" spans="1:47" x14ac:dyDescent="0.25">
      <c r="A1004" s="378"/>
      <c r="B1004" s="1161">
        <f>'GUIA DE APLICAÇÃO'!F1075</f>
        <v>0</v>
      </c>
      <c r="C1004" s="1161">
        <f>'GUIA DE APLICAÇÃO'!G1075</f>
        <v>0</v>
      </c>
      <c r="D1004" s="1161">
        <f>'GUIA DE APLICAÇÃO'!H1075</f>
        <v>0</v>
      </c>
      <c r="E1004" s="1046"/>
      <c r="F1004" s="378"/>
      <c r="G1004" s="378"/>
      <c r="H1004" s="378"/>
      <c r="I1004" s="378"/>
      <c r="J1004" s="378"/>
      <c r="K1004" s="378"/>
      <c r="L1004" s="378"/>
      <c r="M1004" s="378"/>
      <c r="N1004" s="378"/>
      <c r="O1004" s="378"/>
      <c r="P1004" s="378"/>
      <c r="Q1004" s="378"/>
      <c r="R1004" s="378"/>
      <c r="S1004" s="378"/>
      <c r="T1004" s="378"/>
      <c r="U1004" s="378"/>
      <c r="V1004" s="378"/>
      <c r="W1004" s="378"/>
      <c r="X1004" s="378"/>
      <c r="Y1004" s="378"/>
      <c r="Z1004" s="378"/>
      <c r="AA1004" s="378"/>
      <c r="AB1004" s="378"/>
      <c r="AC1004" s="378"/>
      <c r="AD1004" s="378"/>
      <c r="AE1004" s="378"/>
      <c r="AF1004" s="378"/>
      <c r="AG1004" s="378"/>
      <c r="AH1004" s="378"/>
      <c r="AI1004" s="378"/>
      <c r="AJ1004" s="378"/>
      <c r="AK1004" s="378"/>
      <c r="AL1004" s="378"/>
      <c r="AM1004" s="378"/>
      <c r="AN1004" s="378"/>
      <c r="AO1004" s="378"/>
      <c r="AP1004" s="378"/>
      <c r="AQ1004" s="378"/>
      <c r="AR1004" s="378"/>
      <c r="AS1004" s="378"/>
      <c r="AT1004" s="378"/>
      <c r="AU1004" s="378"/>
    </row>
    <row r="1005" spans="1:47" x14ac:dyDescent="0.25">
      <c r="A1005" s="378"/>
      <c r="B1005" s="1161" t="str">
        <f>IF('GUIA DE APLICAÇÃO'!F1085&gt;0.001,((1/LOG10('GUIA DE APLICAÇÃO'!F1085))*(LOG10('GUIA DE APLICAÇÃO'!F1086))*'GUIA DE APLICAÇÃO'!F1084)," ")</f>
        <v xml:space="preserve"> </v>
      </c>
      <c r="C1005" s="1161" t="str">
        <f>IF('GUIA DE APLICAÇÃO'!G1085&gt;0.001,((1/LOG10('GUIA DE APLICAÇÃO'!G1085))*(LOG10('GUIA DE APLICAÇÃO'!G1086))*'GUIA DE APLICAÇÃO'!G1084)," ")</f>
        <v xml:space="preserve"> </v>
      </c>
      <c r="D1005" s="1161" t="str">
        <f>IF('GUIA DE APLICAÇÃO'!H1085&gt;0.001,((1/LOG10('GUIA DE APLICAÇÃO'!H1085))*(LOG10('GUIA DE APLICAÇÃO'!H1086))*'GUIA DE APLICAÇÃO'!H1084)," ")</f>
        <v xml:space="preserve"> </v>
      </c>
      <c r="E1005" s="1161" t="str">
        <f>IF('GUIA DE APLICAÇÃO'!I1085&gt;0.001,((1/LOG10('GUIA DE APLICAÇÃO'!I1085))*(LOG10('GUIA DE APLICAÇÃO'!I1086))*'GUIA DE APLICAÇÃO'!I1084)," ")</f>
        <v xml:space="preserve"> </v>
      </c>
      <c r="F1005" s="378"/>
      <c r="G1005" s="378"/>
      <c r="H1005" s="378"/>
      <c r="I1005" s="378"/>
      <c r="J1005" s="378"/>
      <c r="K1005" s="378"/>
      <c r="L1005" s="378"/>
      <c r="M1005" s="378"/>
      <c r="N1005" s="378"/>
      <c r="O1005" s="378"/>
      <c r="P1005" s="378"/>
      <c r="Q1005" s="378"/>
      <c r="R1005" s="378"/>
      <c r="S1005" s="378"/>
      <c r="T1005" s="378"/>
      <c r="U1005" s="378"/>
      <c r="V1005" s="378"/>
      <c r="W1005" s="378"/>
      <c r="X1005" s="378"/>
      <c r="Y1005" s="378"/>
      <c r="Z1005" s="378"/>
      <c r="AA1005" s="378"/>
      <c r="AB1005" s="378"/>
      <c r="AC1005" s="378"/>
      <c r="AD1005" s="378"/>
      <c r="AE1005" s="378"/>
      <c r="AF1005" s="378"/>
      <c r="AG1005" s="378"/>
      <c r="AH1005" s="378"/>
      <c r="AI1005" s="378"/>
      <c r="AJ1005" s="378"/>
      <c r="AK1005" s="378"/>
      <c r="AL1005" s="378"/>
      <c r="AM1005" s="378"/>
      <c r="AN1005" s="378"/>
      <c r="AO1005" s="378"/>
      <c r="AP1005" s="378"/>
      <c r="AQ1005" s="378"/>
      <c r="AR1005" s="378"/>
      <c r="AS1005" s="378"/>
      <c r="AT1005" s="378"/>
      <c r="AU1005" s="378"/>
    </row>
    <row r="1006" spans="1:47" x14ac:dyDescent="0.25">
      <c r="A1006" s="378"/>
      <c r="B1006" s="1161">
        <f>IF('GUIA DE APLICAÇÃO'!F1090&gt;0.001,('GUIA DE APLICAÇÃO'!F1090*'GUIA DE APLICAÇÃO'!F1091*'GUIA DE APLICAÇÃO'!F1092),0)</f>
        <v>0</v>
      </c>
      <c r="C1006" s="1161">
        <f>IF('GUIA DE APLICAÇÃO'!G1090&gt;0.001,('GUIA DE APLICAÇÃO'!G1090*'GUIA DE APLICAÇÃO'!G1091*'GUIA DE APLICAÇÃO'!G1092),0)</f>
        <v>0</v>
      </c>
      <c r="D1006" s="1161">
        <f>IF('GUIA DE APLICAÇÃO'!H1090&gt;0.001,('GUIA DE APLICAÇÃO'!H1090*'GUIA DE APLICAÇÃO'!H1091*'GUIA DE APLICAÇÃO'!H1092),0)</f>
        <v>0</v>
      </c>
      <c r="E1006" s="1161">
        <f>IF('GUIA DE APLICAÇÃO'!I1090&gt;0.001,('GUIA DE APLICAÇÃO'!I1090*'GUIA DE APLICAÇÃO'!I1091*'GUIA DE APLICAÇÃO'!I1092),0)</f>
        <v>0</v>
      </c>
      <c r="F1006" s="378"/>
      <c r="G1006" s="378"/>
      <c r="H1006" s="378"/>
      <c r="I1006" s="378"/>
      <c r="J1006" s="378"/>
      <c r="K1006" s="378"/>
      <c r="L1006" s="378"/>
      <c r="M1006" s="378"/>
      <c r="N1006" s="378"/>
      <c r="O1006" s="378"/>
      <c r="P1006" s="378"/>
      <c r="Q1006" s="378"/>
      <c r="R1006" s="378"/>
      <c r="S1006" s="378"/>
      <c r="T1006" s="378"/>
      <c r="U1006" s="378"/>
      <c r="V1006" s="378"/>
      <c r="W1006" s="378"/>
      <c r="X1006" s="378"/>
      <c r="Y1006" s="378"/>
      <c r="Z1006" s="378"/>
      <c r="AA1006" s="378"/>
      <c r="AB1006" s="378"/>
      <c r="AC1006" s="378"/>
      <c r="AD1006" s="378"/>
      <c r="AE1006" s="378"/>
      <c r="AF1006" s="378"/>
      <c r="AG1006" s="378"/>
      <c r="AH1006" s="378"/>
      <c r="AI1006" s="378"/>
      <c r="AJ1006" s="378"/>
      <c r="AK1006" s="378"/>
      <c r="AL1006" s="378"/>
      <c r="AM1006" s="378"/>
      <c r="AN1006" s="378"/>
      <c r="AO1006" s="378"/>
      <c r="AP1006" s="378"/>
      <c r="AQ1006" s="378"/>
      <c r="AR1006" s="378"/>
      <c r="AS1006" s="378"/>
      <c r="AT1006" s="378"/>
      <c r="AU1006" s="378"/>
    </row>
    <row r="1007" spans="1:47" x14ac:dyDescent="0.25">
      <c r="A1007" s="378"/>
      <c r="B1007" s="1161"/>
      <c r="C1007" s="1161"/>
      <c r="D1007" s="1161"/>
      <c r="E1007" s="1161"/>
      <c r="F1007" s="378"/>
      <c r="G1007" s="378"/>
      <c r="H1007" s="378"/>
      <c r="I1007" s="378"/>
      <c r="J1007" s="378"/>
      <c r="K1007" s="378"/>
      <c r="L1007" s="378"/>
      <c r="M1007" s="378"/>
      <c r="N1007" s="378"/>
      <c r="O1007" s="378"/>
      <c r="P1007" s="378"/>
      <c r="Q1007" s="378"/>
      <c r="R1007" s="378"/>
      <c r="S1007" s="378"/>
      <c r="T1007" s="378"/>
      <c r="U1007" s="378"/>
      <c r="V1007" s="378"/>
      <c r="W1007" s="378"/>
      <c r="X1007" s="378"/>
      <c r="Y1007" s="378"/>
      <c r="Z1007" s="378"/>
      <c r="AA1007" s="378"/>
      <c r="AB1007" s="378"/>
      <c r="AC1007" s="378"/>
      <c r="AD1007" s="378"/>
      <c r="AE1007" s="378"/>
      <c r="AF1007" s="378"/>
      <c r="AG1007" s="378"/>
      <c r="AH1007" s="378"/>
      <c r="AI1007" s="378"/>
      <c r="AJ1007" s="378"/>
      <c r="AK1007" s="378"/>
      <c r="AL1007" s="378"/>
      <c r="AM1007" s="378"/>
      <c r="AN1007" s="378"/>
      <c r="AO1007" s="378"/>
      <c r="AP1007" s="378"/>
      <c r="AQ1007" s="378"/>
      <c r="AR1007" s="378"/>
      <c r="AS1007" s="378"/>
      <c r="AT1007" s="378"/>
      <c r="AU1007" s="378"/>
    </row>
    <row r="1008" spans="1:47" x14ac:dyDescent="0.25">
      <c r="A1008" s="378"/>
      <c r="B1008" s="1161" t="e">
        <f>IF('GUIA DE APLICAÇÃO'!F1093&gt;0.01,('GUIA DE APLICAÇÃO'!F1093*'GUIA DE APLICAÇÃO'!F1088)," ")</f>
        <v>#VALUE!</v>
      </c>
      <c r="C1008" s="1161" t="e">
        <f>IF('GUIA DE APLICAÇÃO'!G1093&gt;0.01,('GUIA DE APLICAÇÃO'!G1093*'GUIA DE APLICAÇÃO'!G1088)," ")</f>
        <v>#VALUE!</v>
      </c>
      <c r="D1008" s="1161" t="e">
        <f>IF('GUIA DE APLICAÇÃO'!H1093&gt;0.01,('GUIA DE APLICAÇÃO'!H1093*'GUIA DE APLICAÇÃO'!H1088)," ")</f>
        <v>#VALUE!</v>
      </c>
      <c r="E1008" s="1161" t="e">
        <f>IF('GUIA DE APLICAÇÃO'!I1093&gt;0.01,('GUIA DE APLICAÇÃO'!I1093*'GUIA DE APLICAÇÃO'!I1088)," ")</f>
        <v>#VALUE!</v>
      </c>
      <c r="F1008" s="378"/>
      <c r="G1008" s="378"/>
      <c r="H1008" s="378"/>
      <c r="I1008" s="378"/>
      <c r="J1008" s="378"/>
      <c r="K1008" s="378"/>
      <c r="L1008" s="378"/>
      <c r="M1008" s="378"/>
      <c r="N1008" s="378"/>
      <c r="O1008" s="378"/>
      <c r="P1008" s="378"/>
      <c r="Q1008" s="378"/>
      <c r="R1008" s="378"/>
      <c r="S1008" s="378"/>
      <c r="T1008" s="378"/>
      <c r="U1008" s="378"/>
      <c r="V1008" s="378"/>
      <c r="W1008" s="378"/>
      <c r="X1008" s="378"/>
      <c r="Y1008" s="378"/>
      <c r="Z1008" s="378"/>
      <c r="AA1008" s="378"/>
      <c r="AB1008" s="378"/>
      <c r="AC1008" s="378"/>
      <c r="AD1008" s="378"/>
      <c r="AE1008" s="378"/>
      <c r="AF1008" s="378"/>
      <c r="AG1008" s="378"/>
      <c r="AH1008" s="378"/>
      <c r="AI1008" s="378"/>
      <c r="AJ1008" s="378"/>
      <c r="AK1008" s="378"/>
      <c r="AL1008" s="378"/>
      <c r="AM1008" s="378"/>
      <c r="AN1008" s="378"/>
      <c r="AO1008" s="378"/>
      <c r="AP1008" s="378"/>
      <c r="AQ1008" s="378"/>
      <c r="AR1008" s="378"/>
      <c r="AS1008" s="378"/>
      <c r="AT1008" s="378"/>
      <c r="AU1008" s="378"/>
    </row>
    <row r="1009" spans="1:47" x14ac:dyDescent="0.25">
      <c r="A1009" s="378"/>
      <c r="B1009" s="378"/>
      <c r="C1009" s="378"/>
      <c r="D1009" s="378"/>
      <c r="E1009" s="378"/>
      <c r="F1009" s="378"/>
      <c r="G1009" s="378"/>
      <c r="H1009" s="378"/>
      <c r="I1009" s="378"/>
      <c r="J1009" s="378"/>
      <c r="K1009" s="378"/>
      <c r="L1009" s="378"/>
      <c r="M1009" s="378"/>
      <c r="N1009" s="378"/>
      <c r="O1009" s="378"/>
      <c r="P1009" s="378"/>
      <c r="Q1009" s="378"/>
      <c r="R1009" s="378"/>
      <c r="S1009" s="378"/>
      <c r="T1009" s="378"/>
      <c r="U1009" s="378"/>
      <c r="V1009" s="378"/>
      <c r="W1009" s="378"/>
      <c r="X1009" s="378"/>
      <c r="Y1009" s="378"/>
      <c r="Z1009" s="378"/>
      <c r="AA1009" s="378"/>
      <c r="AB1009" s="378"/>
      <c r="AC1009" s="378"/>
      <c r="AD1009" s="378"/>
      <c r="AE1009" s="378"/>
      <c r="AF1009" s="378"/>
      <c r="AG1009" s="378"/>
      <c r="AH1009" s="378"/>
      <c r="AI1009" s="378"/>
      <c r="AJ1009" s="378"/>
      <c r="AK1009" s="378"/>
      <c r="AL1009" s="378"/>
      <c r="AM1009" s="378"/>
      <c r="AN1009" s="378"/>
      <c r="AO1009" s="378"/>
      <c r="AP1009" s="378"/>
      <c r="AQ1009" s="378"/>
      <c r="AR1009" s="378"/>
      <c r="AS1009" s="378"/>
      <c r="AT1009" s="378"/>
      <c r="AU1009" s="378"/>
    </row>
    <row r="1010" spans="1:47" s="532" customFormat="1" x14ac:dyDescent="0.25">
      <c r="A1010" s="378"/>
      <c r="B1010" s="378"/>
      <c r="C1010" s="378"/>
      <c r="D1010" s="378"/>
      <c r="E1010" s="378"/>
      <c r="F1010" s="378"/>
      <c r="G1010" s="378"/>
      <c r="H1010" s="378"/>
      <c r="I1010" s="378"/>
      <c r="J1010" s="378"/>
      <c r="K1010" s="378"/>
      <c r="L1010" s="378"/>
      <c r="M1010" s="378"/>
      <c r="N1010" s="378"/>
      <c r="O1010" s="378"/>
      <c r="P1010" s="378"/>
      <c r="Q1010" s="378"/>
      <c r="R1010" s="378"/>
      <c r="S1010" s="378"/>
      <c r="T1010" s="378"/>
      <c r="U1010" s="378"/>
      <c r="V1010" s="378"/>
      <c r="W1010" s="378"/>
      <c r="X1010" s="378"/>
      <c r="Y1010" s="378"/>
      <c r="Z1010" s="378"/>
      <c r="AA1010" s="378"/>
      <c r="AB1010" s="378"/>
      <c r="AC1010" s="378"/>
      <c r="AD1010" s="378"/>
      <c r="AE1010" s="378"/>
      <c r="AF1010" s="378"/>
      <c r="AG1010" s="378"/>
      <c r="AH1010" s="378"/>
      <c r="AI1010" s="378"/>
      <c r="AJ1010" s="378"/>
      <c r="AK1010" s="378"/>
      <c r="AL1010" s="378"/>
      <c r="AM1010" s="378"/>
      <c r="AN1010" s="378"/>
      <c r="AO1010" s="378"/>
      <c r="AP1010" s="378"/>
      <c r="AQ1010" s="378"/>
      <c r="AR1010" s="378"/>
      <c r="AS1010" s="378"/>
      <c r="AT1010" s="378"/>
      <c r="AU1010" s="378"/>
    </row>
    <row r="1011" spans="1:47" s="532" customFormat="1" x14ac:dyDescent="0.25">
      <c r="A1011" s="378"/>
      <c r="B1011" s="378"/>
      <c r="C1011" s="378"/>
      <c r="D1011" s="378"/>
      <c r="E1011" s="378"/>
      <c r="F1011" s="378"/>
      <c r="G1011" s="378"/>
      <c r="H1011" s="378"/>
      <c r="I1011" s="378"/>
      <c r="J1011" s="378"/>
      <c r="K1011" s="378"/>
      <c r="L1011" s="378"/>
      <c r="M1011" s="378"/>
      <c r="N1011" s="378"/>
      <c r="O1011" s="378"/>
      <c r="P1011" s="378"/>
      <c r="Q1011" s="378"/>
      <c r="R1011" s="378"/>
      <c r="S1011" s="378"/>
      <c r="T1011" s="378"/>
      <c r="U1011" s="378"/>
      <c r="V1011" s="378"/>
      <c r="W1011" s="378"/>
      <c r="X1011" s="378"/>
      <c r="Y1011" s="378"/>
      <c r="Z1011" s="378"/>
      <c r="AA1011" s="378"/>
      <c r="AB1011" s="378"/>
      <c r="AC1011" s="378"/>
      <c r="AD1011" s="378"/>
      <c r="AE1011" s="378"/>
      <c r="AF1011" s="378"/>
      <c r="AG1011" s="378"/>
      <c r="AH1011" s="378"/>
      <c r="AI1011" s="378"/>
      <c r="AJ1011" s="378"/>
      <c r="AK1011" s="378"/>
      <c r="AL1011" s="378"/>
      <c r="AM1011" s="378"/>
      <c r="AN1011" s="378"/>
      <c r="AO1011" s="378"/>
      <c r="AP1011" s="378"/>
      <c r="AQ1011" s="378"/>
      <c r="AR1011" s="378"/>
      <c r="AS1011" s="378"/>
      <c r="AT1011" s="378"/>
      <c r="AU1011" s="378"/>
    </row>
    <row r="1012" spans="1:47" s="532" customFormat="1" x14ac:dyDescent="0.25">
      <c r="A1012" s="378"/>
      <c r="B1012" s="378"/>
      <c r="C1012" s="378"/>
      <c r="D1012" s="378"/>
      <c r="E1012" s="378"/>
      <c r="F1012" s="378"/>
      <c r="G1012" s="378"/>
      <c r="H1012" s="378"/>
      <c r="I1012" s="378"/>
      <c r="J1012" s="378"/>
      <c r="K1012" s="378"/>
      <c r="L1012" s="378"/>
      <c r="M1012" s="378"/>
      <c r="N1012" s="378"/>
      <c r="O1012" s="378"/>
      <c r="P1012" s="378"/>
      <c r="Q1012" s="378"/>
      <c r="R1012" s="378"/>
      <c r="S1012" s="378"/>
      <c r="T1012" s="378"/>
      <c r="U1012" s="378"/>
      <c r="V1012" s="378"/>
      <c r="W1012" s="378"/>
      <c r="X1012" s="378"/>
      <c r="Y1012" s="378"/>
      <c r="Z1012" s="378"/>
      <c r="AA1012" s="378"/>
      <c r="AB1012" s="378"/>
      <c r="AC1012" s="378"/>
      <c r="AD1012" s="378"/>
      <c r="AE1012" s="378"/>
      <c r="AF1012" s="378"/>
      <c r="AG1012" s="378"/>
      <c r="AH1012" s="378"/>
      <c r="AI1012" s="378"/>
      <c r="AJ1012" s="378"/>
      <c r="AK1012" s="378"/>
      <c r="AL1012" s="378"/>
      <c r="AM1012" s="378"/>
      <c r="AN1012" s="378"/>
      <c r="AO1012" s="378"/>
      <c r="AP1012" s="378"/>
      <c r="AQ1012" s="378"/>
      <c r="AR1012" s="378"/>
      <c r="AS1012" s="378"/>
      <c r="AT1012" s="378"/>
      <c r="AU1012" s="378"/>
    </row>
    <row r="1013" spans="1:47" s="532" customFormat="1" x14ac:dyDescent="0.25">
      <c r="A1013" s="378"/>
      <c r="B1013" s="378"/>
      <c r="C1013" s="378"/>
      <c r="D1013" s="378"/>
      <c r="E1013" s="378"/>
      <c r="F1013" s="378"/>
      <c r="G1013" s="378"/>
      <c r="H1013" s="378"/>
      <c r="I1013" s="378"/>
      <c r="J1013" s="378"/>
      <c r="K1013" s="378"/>
      <c r="L1013" s="378"/>
      <c r="M1013" s="378"/>
      <c r="N1013" s="378"/>
      <c r="O1013" s="378"/>
      <c r="P1013" s="378"/>
      <c r="Q1013" s="378"/>
      <c r="R1013" s="378"/>
      <c r="S1013" s="378"/>
      <c r="T1013" s="378"/>
      <c r="U1013" s="378"/>
      <c r="V1013" s="378"/>
      <c r="W1013" s="378"/>
      <c r="X1013" s="378"/>
      <c r="Y1013" s="378"/>
      <c r="Z1013" s="378"/>
      <c r="AA1013" s="378"/>
      <c r="AB1013" s="378"/>
      <c r="AC1013" s="378"/>
      <c r="AD1013" s="378"/>
      <c r="AE1013" s="378"/>
      <c r="AF1013" s="378"/>
      <c r="AG1013" s="378"/>
      <c r="AH1013" s="378"/>
      <c r="AI1013" s="378"/>
      <c r="AJ1013" s="378"/>
      <c r="AK1013" s="378"/>
      <c r="AL1013" s="378"/>
      <c r="AM1013" s="378"/>
      <c r="AN1013" s="378"/>
      <c r="AO1013" s="378"/>
      <c r="AP1013" s="378"/>
      <c r="AQ1013" s="378"/>
      <c r="AR1013" s="378"/>
      <c r="AS1013" s="378"/>
      <c r="AT1013" s="378"/>
      <c r="AU1013" s="378"/>
    </row>
    <row r="1014" spans="1:47" s="532" customFormat="1" x14ac:dyDescent="0.25">
      <c r="A1014" s="378"/>
      <c r="B1014" s="378"/>
      <c r="C1014" s="378"/>
      <c r="D1014" s="378"/>
      <c r="E1014" s="378"/>
      <c r="F1014" s="378"/>
      <c r="G1014" s="378"/>
      <c r="H1014" s="378"/>
      <c r="I1014" s="378"/>
      <c r="J1014" s="378"/>
      <c r="K1014" s="378"/>
      <c r="L1014" s="378"/>
      <c r="M1014" s="378"/>
      <c r="N1014" s="378"/>
      <c r="O1014" s="378"/>
      <c r="P1014" s="378"/>
      <c r="Q1014" s="378"/>
      <c r="R1014" s="378"/>
      <c r="S1014" s="378"/>
      <c r="T1014" s="378"/>
      <c r="U1014" s="378"/>
      <c r="V1014" s="378"/>
      <c r="W1014" s="378"/>
      <c r="X1014" s="378"/>
      <c r="Y1014" s="378"/>
      <c r="Z1014" s="378"/>
      <c r="AA1014" s="378"/>
      <c r="AB1014" s="378"/>
      <c r="AC1014" s="378"/>
      <c r="AD1014" s="378"/>
      <c r="AE1014" s="378"/>
      <c r="AF1014" s="378"/>
      <c r="AG1014" s="378"/>
      <c r="AH1014" s="378"/>
      <c r="AI1014" s="378"/>
      <c r="AJ1014" s="378"/>
      <c r="AK1014" s="378"/>
      <c r="AL1014" s="378"/>
      <c r="AM1014" s="378"/>
      <c r="AN1014" s="378"/>
      <c r="AO1014" s="378"/>
      <c r="AP1014" s="378"/>
      <c r="AQ1014" s="378"/>
      <c r="AR1014" s="378"/>
      <c r="AS1014" s="378"/>
      <c r="AT1014" s="378"/>
      <c r="AU1014" s="378"/>
    </row>
    <row r="1015" spans="1:47" s="532" customFormat="1" x14ac:dyDescent="0.25">
      <c r="A1015" s="378"/>
      <c r="B1015" s="378"/>
      <c r="C1015" s="378"/>
      <c r="D1015" s="378"/>
      <c r="E1015" s="378"/>
      <c r="F1015" s="378"/>
      <c r="G1015" s="378"/>
      <c r="H1015" s="378"/>
      <c r="I1015" s="378"/>
      <c r="J1015" s="378"/>
      <c r="K1015" s="378"/>
      <c r="L1015" s="378"/>
      <c r="M1015" s="378"/>
      <c r="N1015" s="378"/>
      <c r="O1015" s="378"/>
      <c r="P1015" s="378"/>
      <c r="Q1015" s="378"/>
      <c r="R1015" s="378"/>
      <c r="S1015" s="378"/>
      <c r="T1015" s="378"/>
      <c r="U1015" s="378"/>
      <c r="V1015" s="378"/>
      <c r="W1015" s="378"/>
      <c r="X1015" s="378"/>
      <c r="Y1015" s="378"/>
      <c r="Z1015" s="378"/>
      <c r="AA1015" s="378"/>
      <c r="AB1015" s="378"/>
      <c r="AC1015" s="378"/>
      <c r="AD1015" s="378"/>
      <c r="AE1015" s="378"/>
      <c r="AF1015" s="378"/>
      <c r="AG1015" s="378"/>
      <c r="AH1015" s="378"/>
      <c r="AI1015" s="378"/>
      <c r="AJ1015" s="378"/>
      <c r="AK1015" s="378"/>
      <c r="AL1015" s="378"/>
      <c r="AM1015" s="378"/>
      <c r="AN1015" s="378"/>
      <c r="AO1015" s="378"/>
      <c r="AP1015" s="378"/>
      <c r="AQ1015" s="378"/>
      <c r="AR1015" s="378"/>
      <c r="AS1015" s="378"/>
      <c r="AT1015" s="378"/>
      <c r="AU1015" s="378"/>
    </row>
    <row r="1016" spans="1:47" s="532" customFormat="1" x14ac:dyDescent="0.25">
      <c r="A1016" s="378"/>
      <c r="B1016" s="378"/>
      <c r="C1016" s="378"/>
      <c r="D1016" s="378"/>
      <c r="E1016" s="378"/>
      <c r="F1016" s="378"/>
      <c r="G1016" s="378"/>
      <c r="H1016" s="378"/>
      <c r="I1016" s="378"/>
      <c r="J1016" s="378"/>
      <c r="K1016" s="378"/>
      <c r="L1016" s="378"/>
      <c r="M1016" s="378"/>
      <c r="N1016" s="378"/>
      <c r="O1016" s="378"/>
      <c r="P1016" s="378"/>
      <c r="Q1016" s="378"/>
      <c r="R1016" s="378"/>
      <c r="S1016" s="378"/>
      <c r="T1016" s="378"/>
      <c r="U1016" s="378"/>
      <c r="V1016" s="378"/>
      <c r="W1016" s="378"/>
      <c r="X1016" s="378"/>
      <c r="Y1016" s="378"/>
      <c r="Z1016" s="378"/>
      <c r="AA1016" s="378"/>
      <c r="AB1016" s="378"/>
      <c r="AC1016" s="378"/>
      <c r="AD1016" s="378"/>
      <c r="AE1016" s="378"/>
      <c r="AF1016" s="378"/>
      <c r="AG1016" s="378"/>
      <c r="AH1016" s="378"/>
      <c r="AI1016" s="378"/>
      <c r="AJ1016" s="378"/>
      <c r="AK1016" s="378"/>
      <c r="AL1016" s="378"/>
      <c r="AM1016" s="378"/>
      <c r="AN1016" s="378"/>
      <c r="AO1016" s="378"/>
      <c r="AP1016" s="378"/>
      <c r="AQ1016" s="378"/>
      <c r="AR1016" s="378"/>
      <c r="AS1016" s="378"/>
      <c r="AT1016" s="378"/>
      <c r="AU1016" s="378"/>
    </row>
    <row r="1017" spans="1:47" s="532" customFormat="1" x14ac:dyDescent="0.25">
      <c r="A1017" s="378"/>
      <c r="B1017" s="378"/>
      <c r="C1017" s="378"/>
      <c r="D1017" s="378"/>
      <c r="E1017" s="378"/>
      <c r="F1017" s="378"/>
      <c r="G1017" s="378"/>
      <c r="H1017" s="378"/>
      <c r="I1017" s="378"/>
      <c r="J1017" s="378"/>
      <c r="K1017" s="378"/>
      <c r="L1017" s="378"/>
      <c r="M1017" s="378"/>
      <c r="N1017" s="378"/>
      <c r="O1017" s="378"/>
      <c r="P1017" s="378"/>
      <c r="Q1017" s="378"/>
      <c r="R1017" s="378"/>
      <c r="S1017" s="378"/>
      <c r="T1017" s="378"/>
      <c r="U1017" s="378"/>
      <c r="V1017" s="378"/>
      <c r="W1017" s="378"/>
      <c r="X1017" s="378"/>
      <c r="Y1017" s="378"/>
      <c r="Z1017" s="378"/>
      <c r="AA1017" s="378"/>
      <c r="AB1017" s="378"/>
      <c r="AC1017" s="378"/>
      <c r="AD1017" s="378"/>
      <c r="AE1017" s="378"/>
      <c r="AF1017" s="378"/>
      <c r="AG1017" s="378"/>
      <c r="AH1017" s="378"/>
      <c r="AI1017" s="378"/>
      <c r="AJ1017" s="378"/>
      <c r="AK1017" s="378"/>
      <c r="AL1017" s="378"/>
      <c r="AM1017" s="378"/>
      <c r="AN1017" s="378"/>
      <c r="AO1017" s="378"/>
      <c r="AP1017" s="378"/>
      <c r="AQ1017" s="378"/>
      <c r="AR1017" s="378"/>
      <c r="AS1017" s="378"/>
      <c r="AT1017" s="378"/>
      <c r="AU1017" s="378"/>
    </row>
    <row r="1018" spans="1:47" s="532" customFormat="1" x14ac:dyDescent="0.25">
      <c r="A1018" s="378"/>
      <c r="B1018" s="378"/>
      <c r="C1018" s="378"/>
      <c r="D1018" s="378"/>
      <c r="E1018" s="378"/>
      <c r="F1018" s="378"/>
      <c r="G1018" s="378"/>
      <c r="H1018" s="378"/>
      <c r="I1018" s="378"/>
      <c r="J1018" s="378"/>
      <c r="K1018" s="378"/>
      <c r="L1018" s="378"/>
      <c r="M1018" s="378"/>
      <c r="N1018" s="378"/>
      <c r="O1018" s="378"/>
      <c r="P1018" s="378"/>
      <c r="Q1018" s="378"/>
      <c r="R1018" s="378"/>
      <c r="S1018" s="378"/>
      <c r="T1018" s="378"/>
      <c r="U1018" s="378"/>
      <c r="V1018" s="378"/>
      <c r="W1018" s="378"/>
      <c r="X1018" s="378"/>
      <c r="Y1018" s="378"/>
      <c r="Z1018" s="378"/>
      <c r="AA1018" s="378"/>
      <c r="AB1018" s="378"/>
      <c r="AC1018" s="378"/>
      <c r="AD1018" s="378"/>
      <c r="AE1018" s="378"/>
      <c r="AF1018" s="378"/>
      <c r="AG1018" s="378"/>
      <c r="AH1018" s="378"/>
      <c r="AI1018" s="378"/>
      <c r="AJ1018" s="378"/>
      <c r="AK1018" s="378"/>
      <c r="AL1018" s="378"/>
      <c r="AM1018" s="378"/>
      <c r="AN1018" s="378"/>
      <c r="AO1018" s="378"/>
      <c r="AP1018" s="378"/>
      <c r="AQ1018" s="378"/>
      <c r="AR1018" s="378"/>
      <c r="AS1018" s="378"/>
      <c r="AT1018" s="378"/>
      <c r="AU1018" s="378"/>
    </row>
    <row r="1019" spans="1:47" s="532" customFormat="1" x14ac:dyDescent="0.25">
      <c r="A1019" s="378"/>
      <c r="B1019" s="378"/>
      <c r="C1019" s="378"/>
      <c r="D1019" s="378"/>
      <c r="E1019" s="378"/>
      <c r="F1019" s="378"/>
      <c r="G1019" s="378"/>
      <c r="H1019" s="378"/>
      <c r="I1019" s="378"/>
      <c r="J1019" s="378"/>
      <c r="K1019" s="378"/>
      <c r="L1019" s="378"/>
      <c r="M1019" s="378"/>
      <c r="N1019" s="378"/>
      <c r="O1019" s="378"/>
      <c r="P1019" s="378"/>
      <c r="Q1019" s="378"/>
      <c r="R1019" s="378"/>
      <c r="S1019" s="378"/>
      <c r="T1019" s="378"/>
      <c r="U1019" s="378"/>
      <c r="V1019" s="378"/>
      <c r="W1019" s="378"/>
      <c r="X1019" s="378"/>
      <c r="Y1019" s="378"/>
      <c r="Z1019" s="378"/>
      <c r="AA1019" s="378"/>
      <c r="AB1019" s="378"/>
      <c r="AC1019" s="378"/>
      <c r="AD1019" s="378"/>
      <c r="AE1019" s="378"/>
      <c r="AF1019" s="378"/>
      <c r="AG1019" s="378"/>
      <c r="AH1019" s="378"/>
      <c r="AI1019" s="378"/>
      <c r="AJ1019" s="378"/>
      <c r="AK1019" s="378"/>
      <c r="AL1019" s="378"/>
      <c r="AM1019" s="378"/>
      <c r="AN1019" s="378"/>
      <c r="AO1019" s="378"/>
      <c r="AP1019" s="378"/>
      <c r="AQ1019" s="378"/>
      <c r="AR1019" s="378"/>
      <c r="AS1019" s="378"/>
      <c r="AT1019" s="378"/>
      <c r="AU1019" s="378"/>
    </row>
    <row r="1020" spans="1:47" s="532" customFormat="1" x14ac:dyDescent="0.25">
      <c r="A1020" s="378"/>
      <c r="B1020" s="378"/>
      <c r="C1020" s="378"/>
      <c r="D1020" s="378"/>
      <c r="E1020" s="378"/>
      <c r="F1020" s="378"/>
      <c r="G1020" s="378"/>
      <c r="H1020" s="378"/>
      <c r="I1020" s="378"/>
      <c r="J1020" s="378"/>
      <c r="K1020" s="378"/>
      <c r="L1020" s="378"/>
      <c r="M1020" s="378"/>
      <c r="N1020" s="378"/>
      <c r="O1020" s="378"/>
      <c r="P1020" s="378"/>
      <c r="Q1020" s="378"/>
      <c r="R1020" s="378"/>
      <c r="S1020" s="378"/>
      <c r="T1020" s="378"/>
      <c r="U1020" s="378"/>
      <c r="V1020" s="378"/>
      <c r="W1020" s="378"/>
      <c r="X1020" s="378"/>
      <c r="Y1020" s="378"/>
      <c r="Z1020" s="378"/>
      <c r="AA1020" s="378"/>
      <c r="AB1020" s="378"/>
      <c r="AC1020" s="378"/>
      <c r="AD1020" s="378"/>
      <c r="AE1020" s="378"/>
      <c r="AF1020" s="378"/>
      <c r="AG1020" s="378"/>
      <c r="AH1020" s="378"/>
      <c r="AI1020" s="378"/>
      <c r="AJ1020" s="378"/>
      <c r="AK1020" s="378"/>
      <c r="AL1020" s="378"/>
      <c r="AM1020" s="378"/>
      <c r="AN1020" s="378"/>
      <c r="AO1020" s="378"/>
      <c r="AP1020" s="378"/>
      <c r="AQ1020" s="378"/>
      <c r="AR1020" s="378"/>
      <c r="AS1020" s="378"/>
      <c r="AT1020" s="378"/>
      <c r="AU1020" s="378"/>
    </row>
    <row r="1021" spans="1:47" s="532" customFormat="1" x14ac:dyDescent="0.25">
      <c r="A1021" s="378"/>
      <c r="B1021" s="378"/>
      <c r="C1021" s="378"/>
      <c r="D1021" s="378"/>
      <c r="E1021" s="378"/>
      <c r="F1021" s="378"/>
      <c r="G1021" s="378"/>
      <c r="H1021" s="378"/>
      <c r="I1021" s="378"/>
      <c r="J1021" s="378"/>
      <c r="K1021" s="378"/>
      <c r="L1021" s="378"/>
      <c r="M1021" s="378"/>
      <c r="N1021" s="378"/>
      <c r="O1021" s="378"/>
      <c r="P1021" s="378"/>
      <c r="Q1021" s="378"/>
      <c r="R1021" s="378"/>
      <c r="S1021" s="378"/>
      <c r="T1021" s="378"/>
      <c r="U1021" s="378"/>
      <c r="V1021" s="378"/>
      <c r="W1021" s="378"/>
      <c r="X1021" s="378"/>
      <c r="Y1021" s="378"/>
      <c r="Z1021" s="378"/>
      <c r="AA1021" s="378"/>
      <c r="AB1021" s="378"/>
      <c r="AC1021" s="378"/>
      <c r="AD1021" s="378"/>
      <c r="AE1021" s="378"/>
      <c r="AF1021" s="378"/>
      <c r="AG1021" s="378"/>
      <c r="AH1021" s="378"/>
      <c r="AI1021" s="378"/>
      <c r="AJ1021" s="378"/>
      <c r="AK1021" s="378"/>
      <c r="AL1021" s="378"/>
      <c r="AM1021" s="378"/>
      <c r="AN1021" s="378"/>
      <c r="AO1021" s="378"/>
      <c r="AP1021" s="378"/>
      <c r="AQ1021" s="378"/>
      <c r="AR1021" s="378"/>
      <c r="AS1021" s="378"/>
      <c r="AT1021" s="378"/>
      <c r="AU1021" s="378"/>
    </row>
    <row r="1022" spans="1:47" s="532" customFormat="1" x14ac:dyDescent="0.25">
      <c r="A1022" s="378"/>
      <c r="B1022" s="378"/>
      <c r="C1022" s="378"/>
      <c r="D1022" s="378"/>
      <c r="E1022" s="378"/>
      <c r="F1022" s="378"/>
      <c r="G1022" s="378"/>
      <c r="H1022" s="378"/>
      <c r="I1022" s="378"/>
      <c r="J1022" s="378"/>
      <c r="K1022" s="378"/>
      <c r="L1022" s="378"/>
      <c r="M1022" s="378"/>
      <c r="N1022" s="378"/>
      <c r="O1022" s="378"/>
      <c r="P1022" s="378"/>
      <c r="Q1022" s="378"/>
      <c r="R1022" s="378"/>
      <c r="S1022" s="378"/>
      <c r="T1022" s="378"/>
      <c r="U1022" s="378"/>
      <c r="V1022" s="378"/>
      <c r="W1022" s="378"/>
      <c r="X1022" s="378"/>
      <c r="Y1022" s="378"/>
      <c r="Z1022" s="378"/>
      <c r="AA1022" s="378"/>
      <c r="AB1022" s="378"/>
      <c r="AC1022" s="378"/>
      <c r="AD1022" s="378"/>
      <c r="AE1022" s="378"/>
      <c r="AF1022" s="378"/>
      <c r="AG1022" s="378"/>
      <c r="AH1022" s="378"/>
      <c r="AI1022" s="378"/>
      <c r="AJ1022" s="378"/>
      <c r="AK1022" s="378"/>
      <c r="AL1022" s="378"/>
      <c r="AM1022" s="378"/>
      <c r="AN1022" s="378"/>
      <c r="AO1022" s="378"/>
      <c r="AP1022" s="378"/>
      <c r="AQ1022" s="378"/>
      <c r="AR1022" s="378"/>
      <c r="AS1022" s="378"/>
      <c r="AT1022" s="378"/>
      <c r="AU1022" s="378"/>
    </row>
    <row r="1023" spans="1:47" s="532" customFormat="1" x14ac:dyDescent="0.25">
      <c r="A1023" s="378"/>
      <c r="B1023" s="378"/>
      <c r="C1023" s="378"/>
      <c r="D1023" s="378"/>
      <c r="E1023" s="378"/>
      <c r="F1023" s="378"/>
      <c r="G1023" s="378"/>
      <c r="H1023" s="378"/>
      <c r="I1023" s="378"/>
      <c r="J1023" s="378"/>
      <c r="K1023" s="378"/>
      <c r="L1023" s="378"/>
      <c r="M1023" s="378"/>
      <c r="N1023" s="378"/>
      <c r="O1023" s="378"/>
      <c r="P1023" s="378"/>
      <c r="Q1023" s="378"/>
      <c r="R1023" s="378"/>
      <c r="S1023" s="378"/>
      <c r="T1023" s="378"/>
      <c r="U1023" s="378"/>
      <c r="V1023" s="378"/>
      <c r="W1023" s="378"/>
      <c r="X1023" s="378"/>
      <c r="Y1023" s="378"/>
      <c r="Z1023" s="378"/>
      <c r="AA1023" s="378"/>
      <c r="AB1023" s="378"/>
      <c r="AC1023" s="378"/>
      <c r="AD1023" s="378"/>
      <c r="AE1023" s="378"/>
      <c r="AF1023" s="378"/>
      <c r="AG1023" s="378"/>
      <c r="AH1023" s="378"/>
      <c r="AI1023" s="378"/>
      <c r="AJ1023" s="378"/>
      <c r="AK1023" s="378"/>
      <c r="AL1023" s="378"/>
      <c r="AM1023" s="378"/>
      <c r="AN1023" s="378"/>
      <c r="AO1023" s="378"/>
      <c r="AP1023" s="378"/>
      <c r="AQ1023" s="378"/>
      <c r="AR1023" s="378"/>
      <c r="AS1023" s="378"/>
      <c r="AT1023" s="378"/>
      <c r="AU1023" s="378"/>
    </row>
    <row r="1024" spans="1:47" s="532" customFormat="1" x14ac:dyDescent="0.25">
      <c r="A1024" s="378"/>
      <c r="B1024" s="378"/>
      <c r="C1024" s="378"/>
      <c r="D1024" s="378"/>
      <c r="E1024" s="378"/>
      <c r="F1024" s="378"/>
      <c r="G1024" s="378"/>
      <c r="H1024" s="378"/>
      <c r="I1024" s="378"/>
      <c r="J1024" s="378"/>
      <c r="K1024" s="378"/>
      <c r="L1024" s="378"/>
      <c r="M1024" s="378"/>
      <c r="N1024" s="378"/>
      <c r="O1024" s="378"/>
      <c r="P1024" s="378"/>
      <c r="Q1024" s="378"/>
      <c r="R1024" s="378"/>
      <c r="S1024" s="378"/>
      <c r="T1024" s="378"/>
      <c r="U1024" s="378"/>
      <c r="V1024" s="378"/>
      <c r="W1024" s="378"/>
      <c r="X1024" s="378"/>
      <c r="Y1024" s="378"/>
      <c r="Z1024" s="378"/>
      <c r="AA1024" s="378"/>
      <c r="AB1024" s="378"/>
      <c r="AC1024" s="378"/>
      <c r="AD1024" s="378"/>
      <c r="AE1024" s="378"/>
      <c r="AF1024" s="378"/>
      <c r="AG1024" s="378"/>
      <c r="AH1024" s="378"/>
      <c r="AI1024" s="378"/>
      <c r="AJ1024" s="378"/>
      <c r="AK1024" s="378"/>
      <c r="AL1024" s="378"/>
      <c r="AM1024" s="378"/>
      <c r="AN1024" s="378"/>
      <c r="AO1024" s="378"/>
      <c r="AP1024" s="378"/>
      <c r="AQ1024" s="378"/>
      <c r="AR1024" s="378"/>
      <c r="AS1024" s="378"/>
      <c r="AT1024" s="378"/>
      <c r="AU1024" s="378"/>
    </row>
    <row r="1025" spans="1:47" s="532" customFormat="1" x14ac:dyDescent="0.25">
      <c r="A1025" s="378"/>
      <c r="B1025" s="378"/>
      <c r="C1025" s="378"/>
      <c r="D1025" s="378"/>
      <c r="E1025" s="378"/>
      <c r="F1025" s="378"/>
      <c r="G1025" s="378"/>
      <c r="H1025" s="378"/>
      <c r="I1025" s="378"/>
      <c r="J1025" s="378"/>
      <c r="K1025" s="378"/>
      <c r="L1025" s="378"/>
      <c r="M1025" s="378"/>
      <c r="N1025" s="378"/>
      <c r="O1025" s="378"/>
      <c r="P1025" s="378"/>
      <c r="Q1025" s="378"/>
      <c r="R1025" s="378"/>
      <c r="S1025" s="378"/>
      <c r="T1025" s="378"/>
      <c r="U1025" s="378"/>
      <c r="V1025" s="378"/>
      <c r="W1025" s="378"/>
      <c r="X1025" s="378"/>
      <c r="Y1025" s="378"/>
      <c r="Z1025" s="378"/>
      <c r="AA1025" s="378"/>
      <c r="AB1025" s="378"/>
      <c r="AC1025" s="378"/>
      <c r="AD1025" s="378"/>
      <c r="AE1025" s="378"/>
      <c r="AF1025" s="378"/>
      <c r="AG1025" s="378"/>
      <c r="AH1025" s="378"/>
      <c r="AI1025" s="378"/>
      <c r="AJ1025" s="378"/>
      <c r="AK1025" s="378"/>
      <c r="AL1025" s="378"/>
      <c r="AM1025" s="378"/>
      <c r="AN1025" s="378"/>
      <c r="AO1025" s="378"/>
      <c r="AP1025" s="378"/>
      <c r="AQ1025" s="378"/>
      <c r="AR1025" s="378"/>
      <c r="AS1025" s="378"/>
      <c r="AT1025" s="378"/>
      <c r="AU1025" s="378"/>
    </row>
    <row r="1026" spans="1:47" s="532" customFormat="1" x14ac:dyDescent="0.25">
      <c r="A1026" s="378"/>
      <c r="B1026" s="378"/>
      <c r="C1026" s="378"/>
      <c r="D1026" s="378"/>
      <c r="E1026" s="378"/>
      <c r="F1026" s="378"/>
      <c r="G1026" s="378"/>
      <c r="H1026" s="378"/>
      <c r="I1026" s="378"/>
      <c r="J1026" s="378"/>
      <c r="K1026" s="378"/>
      <c r="L1026" s="378"/>
      <c r="M1026" s="378"/>
      <c r="N1026" s="378"/>
      <c r="O1026" s="378"/>
      <c r="P1026" s="378"/>
      <c r="Q1026" s="378"/>
      <c r="R1026" s="378"/>
      <c r="S1026" s="378"/>
      <c r="T1026" s="378"/>
      <c r="U1026" s="378"/>
      <c r="V1026" s="378"/>
      <c r="W1026" s="378"/>
      <c r="X1026" s="378"/>
      <c r="Y1026" s="378"/>
      <c r="Z1026" s="378"/>
      <c r="AA1026" s="378"/>
      <c r="AB1026" s="378"/>
      <c r="AC1026" s="378"/>
      <c r="AD1026" s="378"/>
      <c r="AE1026" s="378"/>
      <c r="AF1026" s="378"/>
      <c r="AG1026" s="378"/>
      <c r="AH1026" s="378"/>
      <c r="AI1026" s="378"/>
      <c r="AJ1026" s="378"/>
      <c r="AK1026" s="378"/>
      <c r="AL1026" s="378"/>
      <c r="AM1026" s="378"/>
      <c r="AN1026" s="378"/>
      <c r="AO1026" s="378"/>
      <c r="AP1026" s="378"/>
      <c r="AQ1026" s="378"/>
      <c r="AR1026" s="378"/>
      <c r="AS1026" s="378"/>
      <c r="AT1026" s="378"/>
      <c r="AU1026" s="378"/>
    </row>
    <row r="1027" spans="1:47" s="532" customFormat="1" x14ac:dyDescent="0.25">
      <c r="A1027" s="378"/>
      <c r="B1027" s="378"/>
      <c r="C1027" s="378"/>
      <c r="D1027" s="378"/>
      <c r="E1027" s="378"/>
      <c r="F1027" s="378"/>
      <c r="G1027" s="378"/>
      <c r="H1027" s="378"/>
      <c r="I1027" s="378"/>
      <c r="J1027" s="378"/>
      <c r="K1027" s="378"/>
      <c r="L1027" s="378"/>
      <c r="M1027" s="378"/>
      <c r="N1027" s="378"/>
      <c r="O1027" s="378"/>
      <c r="P1027" s="378"/>
      <c r="Q1027" s="378"/>
      <c r="R1027" s="378"/>
      <c r="S1027" s="378"/>
      <c r="T1027" s="378"/>
      <c r="U1027" s="378"/>
      <c r="V1027" s="378"/>
      <c r="W1027" s="378"/>
      <c r="X1027" s="378"/>
      <c r="Y1027" s="378"/>
      <c r="Z1027" s="378"/>
      <c r="AA1027" s="378"/>
      <c r="AB1027" s="378"/>
      <c r="AC1027" s="378"/>
      <c r="AD1027" s="378"/>
      <c r="AE1027" s="378"/>
      <c r="AF1027" s="378"/>
      <c r="AG1027" s="378"/>
      <c r="AH1027" s="378"/>
      <c r="AI1027" s="378"/>
      <c r="AJ1027" s="378"/>
      <c r="AK1027" s="378"/>
      <c r="AL1027" s="378"/>
      <c r="AM1027" s="378"/>
      <c r="AN1027" s="378"/>
      <c r="AO1027" s="378"/>
      <c r="AP1027" s="378"/>
      <c r="AQ1027" s="378"/>
      <c r="AR1027" s="378"/>
      <c r="AS1027" s="378"/>
      <c r="AT1027" s="378"/>
      <c r="AU1027" s="378"/>
    </row>
    <row r="1028" spans="1:47" s="532" customFormat="1" x14ac:dyDescent="0.25">
      <c r="A1028" s="378"/>
      <c r="B1028" s="378"/>
      <c r="C1028" s="378"/>
      <c r="D1028" s="378"/>
      <c r="E1028" s="378"/>
      <c r="F1028" s="378"/>
      <c r="G1028" s="378"/>
      <c r="H1028" s="378"/>
      <c r="I1028" s="378"/>
      <c r="J1028" s="378"/>
      <c r="K1028" s="378"/>
      <c r="L1028" s="378"/>
      <c r="M1028" s="378"/>
      <c r="N1028" s="378"/>
      <c r="O1028" s="378"/>
      <c r="P1028" s="378"/>
      <c r="Q1028" s="378"/>
      <c r="R1028" s="378"/>
      <c r="S1028" s="378"/>
      <c r="T1028" s="378"/>
      <c r="U1028" s="378"/>
      <c r="V1028" s="378"/>
      <c r="W1028" s="378"/>
      <c r="X1028" s="378"/>
      <c r="Y1028" s="378"/>
      <c r="Z1028" s="378"/>
      <c r="AA1028" s="378"/>
      <c r="AB1028" s="378"/>
      <c r="AC1028" s="378"/>
      <c r="AD1028" s="378"/>
      <c r="AE1028" s="378"/>
      <c r="AF1028" s="378"/>
      <c r="AG1028" s="378"/>
      <c r="AH1028" s="378"/>
      <c r="AI1028" s="378"/>
      <c r="AJ1028" s="378"/>
      <c r="AK1028" s="378"/>
      <c r="AL1028" s="378"/>
      <c r="AM1028" s="378"/>
      <c r="AN1028" s="378"/>
      <c r="AO1028" s="378"/>
      <c r="AP1028" s="378"/>
      <c r="AQ1028" s="378"/>
      <c r="AR1028" s="378"/>
      <c r="AS1028" s="378"/>
      <c r="AT1028" s="378"/>
      <c r="AU1028" s="378"/>
    </row>
    <row r="1029" spans="1:47" s="477" customFormat="1" x14ac:dyDescent="0.25">
      <c r="A1029" s="378"/>
      <c r="B1029" s="378"/>
      <c r="C1029" s="378"/>
      <c r="D1029" s="378"/>
      <c r="E1029" s="378"/>
      <c r="F1029" s="378"/>
      <c r="G1029" s="378"/>
      <c r="H1029" s="378"/>
      <c r="I1029" s="378"/>
      <c r="J1029" s="378"/>
      <c r="K1029" s="378"/>
      <c r="L1029" s="378"/>
      <c r="M1029" s="378"/>
      <c r="N1029" s="378"/>
      <c r="O1029" s="378"/>
      <c r="P1029" s="378"/>
      <c r="Q1029" s="378"/>
      <c r="R1029" s="378"/>
      <c r="S1029" s="378"/>
      <c r="T1029" s="378"/>
      <c r="U1029" s="378"/>
      <c r="V1029" s="378"/>
      <c r="W1029" s="378"/>
      <c r="X1029" s="378"/>
      <c r="Y1029" s="378"/>
      <c r="Z1029" s="378"/>
      <c r="AA1029" s="378"/>
      <c r="AB1029" s="378"/>
      <c r="AC1029" s="378"/>
      <c r="AD1029" s="378"/>
      <c r="AE1029" s="378"/>
      <c r="AF1029" s="378"/>
      <c r="AG1029" s="378"/>
      <c r="AH1029" s="378"/>
      <c r="AI1029" s="378"/>
      <c r="AJ1029" s="378"/>
      <c r="AK1029" s="378"/>
      <c r="AL1029" s="378"/>
      <c r="AM1029" s="378"/>
      <c r="AN1029" s="378"/>
      <c r="AO1029" s="378"/>
      <c r="AP1029" s="378"/>
      <c r="AQ1029" s="378"/>
      <c r="AR1029" s="378"/>
      <c r="AS1029" s="378"/>
      <c r="AT1029" s="378"/>
      <c r="AU1029" s="378"/>
    </row>
    <row r="1030" spans="1:47" s="18" customFormat="1" x14ac:dyDescent="0.25">
      <c r="A1030" s="378"/>
      <c r="B1030" s="2107" t="str">
        <f>+'3 INDICADORES'!B285:C285</f>
        <v>14.1 - Nome comercial do produto</v>
      </c>
      <c r="C1030" s="2108"/>
      <c r="D1030" s="1229"/>
      <c r="E1030" s="1229"/>
      <c r="F1030" s="1229"/>
      <c r="G1030" s="1229"/>
      <c r="H1030" s="1229"/>
      <c r="I1030" s="1229"/>
      <c r="J1030" s="1230"/>
      <c r="K1030" s="1230"/>
      <c r="L1030" s="1229"/>
      <c r="M1030" s="328"/>
      <c r="N1030" s="378"/>
      <c r="O1030" s="378"/>
      <c r="P1030" s="378"/>
      <c r="Q1030" s="378"/>
      <c r="R1030" s="378"/>
      <c r="S1030" s="378"/>
      <c r="T1030" s="378"/>
      <c r="U1030" s="378"/>
      <c r="V1030" s="378"/>
      <c r="W1030" s="378"/>
      <c r="X1030" s="378"/>
      <c r="Y1030" s="378"/>
      <c r="Z1030" s="378"/>
      <c r="AA1030" s="378"/>
      <c r="AB1030" s="378"/>
      <c r="AC1030" s="378"/>
      <c r="AD1030" s="378"/>
      <c r="AE1030" s="378"/>
      <c r="AF1030" s="378"/>
      <c r="AG1030" s="378"/>
      <c r="AH1030" s="378"/>
      <c r="AI1030" s="378"/>
      <c r="AJ1030" s="378"/>
      <c r="AK1030" s="378"/>
      <c r="AL1030" s="378"/>
      <c r="AM1030" s="378"/>
      <c r="AN1030" s="378"/>
      <c r="AO1030" s="378"/>
      <c r="AP1030" s="378"/>
      <c r="AQ1030" s="378"/>
      <c r="AR1030" s="378"/>
      <c r="AS1030" s="378"/>
      <c r="AT1030" s="378"/>
      <c r="AU1030" s="378"/>
    </row>
    <row r="1031" spans="1:47" s="18" customFormat="1" x14ac:dyDescent="0.25">
      <c r="A1031" s="378"/>
      <c r="B1031" s="2109" t="str">
        <f>+'3 INDICADORES'!B286:C286</f>
        <v>14.2 - Descrição da cultura ou do talhão</v>
      </c>
      <c r="C1031" s="2136"/>
      <c r="D1031" s="422"/>
      <c r="E1031" s="422"/>
      <c r="F1031" s="422"/>
      <c r="G1031" s="422"/>
      <c r="H1031" s="422"/>
      <c r="I1031" s="422"/>
      <c r="J1031" s="422"/>
      <c r="K1031" s="422"/>
      <c r="L1031" s="422"/>
      <c r="M1031" s="328"/>
      <c r="N1031" s="378"/>
      <c r="O1031" s="378"/>
      <c r="P1031" s="378"/>
      <c r="Q1031" s="378"/>
      <c r="R1031" s="378"/>
      <c r="S1031" s="378"/>
      <c r="T1031" s="378"/>
      <c r="U1031" s="378"/>
      <c r="V1031" s="378"/>
      <c r="W1031" s="378"/>
      <c r="X1031" s="378"/>
      <c r="Y1031" s="378"/>
      <c r="Z1031" s="378"/>
      <c r="AA1031" s="378"/>
      <c r="AB1031" s="378"/>
      <c r="AC1031" s="378"/>
      <c r="AD1031" s="378"/>
      <c r="AE1031" s="378"/>
      <c r="AF1031" s="378"/>
      <c r="AG1031" s="378"/>
      <c r="AH1031" s="378"/>
      <c r="AI1031" s="378"/>
      <c r="AJ1031" s="378"/>
      <c r="AK1031" s="378"/>
      <c r="AL1031" s="378"/>
      <c r="AM1031" s="378"/>
      <c r="AN1031" s="378"/>
      <c r="AO1031" s="378"/>
      <c r="AP1031" s="378"/>
      <c r="AQ1031" s="378"/>
      <c r="AR1031" s="378"/>
      <c r="AS1031" s="378"/>
      <c r="AT1031" s="378"/>
      <c r="AU1031" s="378"/>
    </row>
    <row r="1032" spans="1:47" s="18" customFormat="1" x14ac:dyDescent="0.25">
      <c r="A1032" s="378"/>
      <c r="B1032" s="2109" t="str">
        <f>+'3 INDICADORES'!B287:C287</f>
        <v>14.3 - Área aplicada (ha)</v>
      </c>
      <c r="C1032" s="2136"/>
      <c r="D1032" s="1243"/>
      <c r="E1032" s="1243"/>
      <c r="F1032" s="1243"/>
      <c r="G1032" s="1243"/>
      <c r="H1032" s="1243"/>
      <c r="I1032" s="1243"/>
      <c r="J1032" s="1243"/>
      <c r="K1032" s="1243"/>
      <c r="L1032" s="1243"/>
      <c r="M1032" s="328"/>
      <c r="N1032" s="378"/>
      <c r="O1032" s="378"/>
      <c r="P1032" s="378"/>
      <c r="Q1032" s="378"/>
      <c r="R1032" s="378"/>
      <c r="S1032" s="378"/>
      <c r="T1032" s="378"/>
      <c r="U1032" s="378"/>
      <c r="V1032" s="378"/>
      <c r="W1032" s="378"/>
      <c r="X1032" s="378"/>
      <c r="Y1032" s="378"/>
      <c r="Z1032" s="378"/>
      <c r="AA1032" s="378"/>
      <c r="AB1032" s="378"/>
      <c r="AC1032" s="378"/>
      <c r="AD1032" s="378"/>
      <c r="AE1032" s="378"/>
      <c r="AF1032" s="378"/>
      <c r="AG1032" s="378"/>
      <c r="AH1032" s="378"/>
      <c r="AI1032" s="378"/>
      <c r="AJ1032" s="378"/>
      <c r="AK1032" s="378"/>
      <c r="AL1032" s="378"/>
      <c r="AM1032" s="378"/>
      <c r="AN1032" s="378"/>
      <c r="AO1032" s="378"/>
      <c r="AP1032" s="378"/>
      <c r="AQ1032" s="378"/>
      <c r="AR1032" s="378"/>
      <c r="AS1032" s="378"/>
      <c r="AT1032" s="378"/>
      <c r="AU1032" s="378"/>
    </row>
    <row r="1033" spans="1:47" s="18" customFormat="1" x14ac:dyDescent="0.25">
      <c r="A1033" s="378"/>
      <c r="B1033" s="2047" t="str">
        <f>+'3 INDICADORES'!B288:C288</f>
        <v xml:space="preserve">14.4 - Volume aplicado L/ha ou kg/ha </v>
      </c>
      <c r="C1033" s="2047"/>
      <c r="D1033" s="1231"/>
      <c r="E1033" s="1231"/>
      <c r="F1033" s="1231"/>
      <c r="G1033" s="1231"/>
      <c r="H1033" s="1231"/>
      <c r="I1033" s="1231"/>
      <c r="J1033" s="1231"/>
      <c r="K1033" s="1231"/>
      <c r="L1033" s="1231"/>
      <c r="M1033" s="328"/>
      <c r="N1033" s="378"/>
      <c r="O1033" s="378"/>
      <c r="P1033" s="378"/>
      <c r="Q1033" s="378"/>
      <c r="R1033" s="378"/>
      <c r="S1033" s="378"/>
      <c r="T1033" s="378"/>
      <c r="U1033" s="378"/>
      <c r="V1033" s="378"/>
      <c r="W1033" s="378"/>
      <c r="X1033" s="378"/>
      <c r="Y1033" s="378"/>
      <c r="Z1033" s="378"/>
      <c r="AA1033" s="378"/>
      <c r="AB1033" s="378"/>
      <c r="AC1033" s="378"/>
      <c r="AD1033" s="378"/>
      <c r="AE1033" s="378"/>
      <c r="AF1033" s="378"/>
      <c r="AG1033" s="378"/>
      <c r="AH1033" s="378"/>
      <c r="AI1033" s="378"/>
      <c r="AJ1033" s="378"/>
      <c r="AK1033" s="378"/>
      <c r="AL1033" s="378"/>
      <c r="AM1033" s="378"/>
      <c r="AN1033" s="378"/>
      <c r="AO1033" s="378"/>
      <c r="AP1033" s="378"/>
      <c r="AQ1033" s="378"/>
      <c r="AR1033" s="378"/>
      <c r="AS1033" s="378"/>
      <c r="AT1033" s="378"/>
      <c r="AU1033" s="378"/>
    </row>
    <row r="1034" spans="1:47" s="18" customFormat="1" x14ac:dyDescent="0.25">
      <c r="A1034" s="378"/>
      <c r="B1034" s="2109" t="str">
        <f>+'3 INDICADORES'!B289:C289</f>
        <v>Volume total aplicado por produto</v>
      </c>
      <c r="C1034" s="2110"/>
      <c r="D1034" s="1244">
        <f t="shared" ref="D1034:L1034" si="0">+D1033*D1032</f>
        <v>0</v>
      </c>
      <c r="E1034" s="1244">
        <f t="shared" si="0"/>
        <v>0</v>
      </c>
      <c r="F1034" s="1244">
        <f t="shared" si="0"/>
        <v>0</v>
      </c>
      <c r="G1034" s="1244">
        <f t="shared" si="0"/>
        <v>0</v>
      </c>
      <c r="H1034" s="1244">
        <f t="shared" si="0"/>
        <v>0</v>
      </c>
      <c r="I1034" s="1244">
        <f t="shared" si="0"/>
        <v>0</v>
      </c>
      <c r="J1034" s="1244">
        <f t="shared" si="0"/>
        <v>0</v>
      </c>
      <c r="K1034" s="1244">
        <f t="shared" si="0"/>
        <v>0</v>
      </c>
      <c r="L1034" s="1244">
        <f t="shared" si="0"/>
        <v>0</v>
      </c>
      <c r="M1034" s="378"/>
      <c r="N1034" s="378"/>
      <c r="O1034" s="378"/>
      <c r="P1034" s="378"/>
      <c r="Q1034" s="378"/>
      <c r="R1034" s="378"/>
      <c r="S1034" s="378"/>
      <c r="T1034" s="378"/>
      <c r="U1034" s="378"/>
      <c r="V1034" s="378"/>
      <c r="W1034" s="378"/>
      <c r="X1034" s="378"/>
      <c r="Y1034" s="378"/>
      <c r="Z1034" s="378"/>
      <c r="AA1034" s="378"/>
      <c r="AB1034" s="378"/>
      <c r="AC1034" s="378"/>
      <c r="AD1034" s="378"/>
      <c r="AE1034" s="378"/>
      <c r="AF1034" s="378"/>
      <c r="AG1034" s="378"/>
      <c r="AH1034" s="378"/>
      <c r="AI1034" s="378"/>
      <c r="AJ1034" s="378"/>
      <c r="AK1034" s="378"/>
      <c r="AL1034" s="378"/>
      <c r="AM1034" s="378"/>
      <c r="AN1034" s="378"/>
      <c r="AO1034" s="378"/>
      <c r="AP1034" s="378"/>
      <c r="AQ1034" s="378"/>
      <c r="AR1034" s="378"/>
      <c r="AS1034" s="378"/>
      <c r="AT1034" s="378"/>
      <c r="AU1034" s="378"/>
    </row>
    <row r="1035" spans="1:47" s="18" customFormat="1" x14ac:dyDescent="0.25">
      <c r="A1035" s="378"/>
      <c r="B1035" s="38"/>
      <c r="C1035" s="38"/>
      <c r="D1035" s="38"/>
      <c r="E1035" s="38"/>
      <c r="F1035" s="38"/>
      <c r="G1035" s="38"/>
      <c r="H1035" s="38"/>
      <c r="I1035" s="245"/>
      <c r="J1035" s="13"/>
      <c r="K1035" s="38"/>
      <c r="L1035" s="38"/>
      <c r="M1035" s="378"/>
      <c r="N1035" s="378"/>
      <c r="O1035" s="378"/>
      <c r="P1035" s="378"/>
      <c r="Q1035" s="378"/>
      <c r="R1035" s="378"/>
      <c r="S1035" s="378"/>
      <c r="T1035" s="378"/>
      <c r="U1035" s="378"/>
      <c r="V1035" s="378"/>
      <c r="W1035" s="378"/>
      <c r="X1035" s="378"/>
      <c r="Y1035" s="378"/>
      <c r="Z1035" s="378"/>
      <c r="AA1035" s="378"/>
      <c r="AB1035" s="378"/>
      <c r="AC1035" s="378"/>
      <c r="AD1035" s="378"/>
      <c r="AE1035" s="378"/>
      <c r="AF1035" s="378"/>
      <c r="AG1035" s="378"/>
      <c r="AH1035" s="378"/>
      <c r="AI1035" s="378"/>
      <c r="AJ1035" s="378"/>
      <c r="AK1035" s="378"/>
      <c r="AL1035" s="378"/>
      <c r="AM1035" s="378"/>
      <c r="AN1035" s="378"/>
      <c r="AO1035" s="378"/>
      <c r="AP1035" s="378"/>
      <c r="AQ1035" s="378"/>
      <c r="AR1035" s="378"/>
      <c r="AS1035" s="378"/>
      <c r="AT1035" s="378"/>
      <c r="AU1035" s="378"/>
    </row>
    <row r="1036" spans="1:47" s="18" customFormat="1" x14ac:dyDescent="0.25">
      <c r="A1036" s="378"/>
      <c r="B1036" s="2107" t="str">
        <f>+'3 INDICADORES'!B291:C291</f>
        <v>14.5 - Princípio ativo do produto</v>
      </c>
      <c r="C1036" s="2108"/>
      <c r="D1036" s="1253"/>
      <c r="E1036" s="1253"/>
      <c r="F1036" s="1253"/>
      <c r="G1036" s="1253"/>
      <c r="H1036" s="1253"/>
      <c r="I1036" s="1253"/>
      <c r="J1036" s="1253"/>
      <c r="K1036" s="1253"/>
      <c r="L1036" s="425"/>
      <c r="M1036" s="378"/>
      <c r="N1036" s="378"/>
      <c r="O1036" s="378"/>
      <c r="P1036" s="378"/>
      <c r="Q1036" s="378"/>
      <c r="R1036" s="378"/>
      <c r="S1036" s="378"/>
      <c r="T1036" s="378"/>
      <c r="U1036" s="378"/>
      <c r="V1036" s="378"/>
      <c r="W1036" s="378"/>
      <c r="X1036" s="378"/>
      <c r="Y1036" s="378"/>
      <c r="Z1036" s="378"/>
      <c r="AA1036" s="378"/>
      <c r="AB1036" s="378"/>
      <c r="AC1036" s="378"/>
      <c r="AD1036" s="378"/>
      <c r="AE1036" s="378"/>
      <c r="AF1036" s="378"/>
      <c r="AG1036" s="378"/>
      <c r="AH1036" s="378"/>
      <c r="AI1036" s="378"/>
      <c r="AJ1036" s="378"/>
      <c r="AK1036" s="378"/>
      <c r="AL1036" s="378"/>
      <c r="AM1036" s="378"/>
      <c r="AN1036" s="378"/>
      <c r="AO1036" s="378"/>
      <c r="AP1036" s="378"/>
      <c r="AQ1036" s="378"/>
      <c r="AR1036" s="378"/>
      <c r="AS1036" s="378"/>
      <c r="AT1036" s="378"/>
      <c r="AU1036" s="378"/>
    </row>
    <row r="1037" spans="1:47" s="532" customFormat="1" x14ac:dyDescent="0.25">
      <c r="A1037" s="378"/>
      <c r="B1037" s="2047" t="str">
        <f>+'3 INDICADORES'!B292:C292</f>
        <v>14.6 - Toxicidade para peixes - 96h LC50 (mg L-1)</v>
      </c>
      <c r="C1037" s="2047"/>
      <c r="D1037" s="1257"/>
      <c r="E1037" s="1257"/>
      <c r="F1037" s="1257"/>
      <c r="G1037" s="1257"/>
      <c r="H1037" s="1257"/>
      <c r="I1037" s="1257"/>
      <c r="J1037" s="1257"/>
      <c r="K1037" s="1257"/>
      <c r="L1037" s="1399"/>
      <c r="M1037" s="378"/>
      <c r="N1037" s="378"/>
      <c r="O1037" s="378"/>
      <c r="P1037" s="378"/>
      <c r="Q1037" s="378"/>
      <c r="R1037" s="378"/>
      <c r="S1037" s="378"/>
      <c r="T1037" s="378"/>
      <c r="U1037" s="378"/>
      <c r="V1037" s="378"/>
      <c r="W1037" s="378"/>
      <c r="X1037" s="378"/>
      <c r="Y1037" s="378"/>
      <c r="Z1037" s="378"/>
      <c r="AA1037" s="378"/>
      <c r="AB1037" s="378"/>
      <c r="AC1037" s="378"/>
      <c r="AD1037" s="378"/>
      <c r="AE1037" s="378"/>
      <c r="AF1037" s="378"/>
      <c r="AG1037" s="378"/>
      <c r="AH1037" s="378"/>
      <c r="AI1037" s="378"/>
      <c r="AJ1037" s="378"/>
      <c r="AK1037" s="378"/>
      <c r="AL1037" s="378"/>
      <c r="AM1037" s="378"/>
      <c r="AN1037" s="378"/>
      <c r="AO1037" s="378"/>
      <c r="AP1037" s="378"/>
      <c r="AQ1037" s="378"/>
      <c r="AR1037" s="378"/>
      <c r="AS1037" s="378"/>
      <c r="AT1037" s="378"/>
      <c r="AU1037" s="378"/>
    </row>
    <row r="1038" spans="1:47" s="532" customFormat="1" x14ac:dyDescent="0.25">
      <c r="A1038" s="378"/>
      <c r="B1038" s="2047" t="str">
        <f>+'3 INDICADORES'!B293:C293</f>
        <v>14.7 - Toxicidade - DAH (mg kg-1 dia-1)</v>
      </c>
      <c r="C1038" s="2047"/>
      <c r="D1038" s="1258"/>
      <c r="E1038" s="1258"/>
      <c r="F1038" s="1258"/>
      <c r="G1038" s="1258"/>
      <c r="H1038" s="1258"/>
      <c r="I1038" s="1258"/>
      <c r="J1038" s="1258"/>
      <c r="K1038" s="1258"/>
      <c r="L1038" s="1400"/>
      <c r="M1038" s="378"/>
      <c r="N1038" s="378"/>
      <c r="O1038" s="378"/>
      <c r="P1038" s="378"/>
      <c r="Q1038" s="378"/>
      <c r="R1038" s="378"/>
      <c r="S1038" s="378"/>
      <c r="T1038" s="378"/>
      <c r="U1038" s="378"/>
      <c r="V1038" s="378"/>
      <c r="W1038" s="378"/>
      <c r="X1038" s="378"/>
      <c r="Y1038" s="378"/>
      <c r="Z1038" s="378"/>
      <c r="AA1038" s="378"/>
      <c r="AB1038" s="378"/>
      <c r="AC1038" s="378"/>
      <c r="AD1038" s="378"/>
      <c r="AE1038" s="378"/>
      <c r="AF1038" s="378"/>
      <c r="AG1038" s="378"/>
      <c r="AH1038" s="378"/>
      <c r="AI1038" s="378"/>
      <c r="AJ1038" s="378"/>
      <c r="AK1038" s="378"/>
      <c r="AL1038" s="378"/>
      <c r="AM1038" s="378"/>
      <c r="AN1038" s="378"/>
      <c r="AO1038" s="378"/>
      <c r="AP1038" s="378"/>
      <c r="AQ1038" s="378"/>
      <c r="AR1038" s="378"/>
      <c r="AS1038" s="378"/>
      <c r="AT1038" s="378"/>
      <c r="AU1038" s="378"/>
    </row>
    <row r="1039" spans="1:47" s="532" customFormat="1" x14ac:dyDescent="0.25">
      <c r="A1039" s="378"/>
      <c r="B1039" s="2047" t="str">
        <f>+'3 INDICADORES'!B294:C294</f>
        <v>Índice para toxicidade do produto</v>
      </c>
      <c r="C1039" s="2047"/>
      <c r="D1039" s="1259"/>
      <c r="E1039" s="1259"/>
      <c r="F1039" s="1259"/>
      <c r="G1039" s="1259"/>
      <c r="H1039" s="1259"/>
      <c r="I1039" s="1259"/>
      <c r="J1039" s="1259"/>
      <c r="K1039" s="1259"/>
      <c r="L1039" s="1242"/>
      <c r="M1039" s="378"/>
      <c r="N1039" s="378"/>
      <c r="O1039" s="378"/>
      <c r="P1039" s="378"/>
      <c r="Q1039" s="378"/>
      <c r="R1039" s="378"/>
      <c r="S1039" s="378"/>
      <c r="T1039" s="378"/>
      <c r="U1039" s="378"/>
      <c r="V1039" s="378"/>
      <c r="W1039" s="378"/>
      <c r="X1039" s="378"/>
      <c r="Y1039" s="378"/>
      <c r="Z1039" s="378"/>
      <c r="AA1039" s="378"/>
      <c r="AB1039" s="378"/>
      <c r="AC1039" s="378"/>
      <c r="AD1039" s="378"/>
      <c r="AE1039" s="378"/>
      <c r="AF1039" s="378"/>
      <c r="AG1039" s="378"/>
      <c r="AH1039" s="378"/>
      <c r="AI1039" s="378"/>
      <c r="AJ1039" s="378"/>
      <c r="AK1039" s="378"/>
      <c r="AL1039" s="378"/>
      <c r="AM1039" s="378"/>
      <c r="AN1039" s="378"/>
      <c r="AO1039" s="378"/>
      <c r="AP1039" s="378"/>
      <c r="AQ1039" s="378"/>
      <c r="AR1039" s="378"/>
      <c r="AS1039" s="378"/>
      <c r="AT1039" s="378"/>
      <c r="AU1039" s="378"/>
    </row>
    <row r="1040" spans="1:47" s="532" customFormat="1" x14ac:dyDescent="0.25">
      <c r="A1040" s="378"/>
      <c r="B1040" s="2047" t="str">
        <f>+'3 INDICADORES'!B295:C295</f>
        <v>14.8 - Koc</v>
      </c>
      <c r="C1040" s="2047"/>
      <c r="D1040" s="1262"/>
      <c r="E1040" s="1260"/>
      <c r="F1040" s="1260"/>
      <c r="G1040" s="1262"/>
      <c r="H1040" s="1260"/>
      <c r="I1040" s="1260"/>
      <c r="J1040" s="1260"/>
      <c r="K1040" s="1260"/>
      <c r="L1040" s="1401"/>
      <c r="M1040" s="378"/>
      <c r="N1040" s="378"/>
      <c r="O1040" s="378"/>
      <c r="P1040" s="378"/>
      <c r="Q1040" s="378"/>
      <c r="R1040" s="378"/>
      <c r="S1040" s="378"/>
      <c r="T1040" s="378"/>
      <c r="U1040" s="378"/>
      <c r="V1040" s="378"/>
      <c r="W1040" s="378"/>
      <c r="X1040" s="378"/>
      <c r="Y1040" s="378"/>
      <c r="Z1040" s="378"/>
      <c r="AA1040" s="378"/>
      <c r="AB1040" s="378"/>
      <c r="AC1040" s="378"/>
      <c r="AD1040" s="378"/>
      <c r="AE1040" s="378"/>
      <c r="AF1040" s="378"/>
      <c r="AG1040" s="378"/>
      <c r="AH1040" s="378"/>
      <c r="AI1040" s="378"/>
      <c r="AJ1040" s="378"/>
      <c r="AK1040" s="378"/>
      <c r="AL1040" s="378"/>
      <c r="AM1040" s="378"/>
      <c r="AN1040" s="378"/>
      <c r="AO1040" s="378"/>
      <c r="AP1040" s="378"/>
      <c r="AQ1040" s="378"/>
      <c r="AR1040" s="378"/>
      <c r="AS1040" s="378"/>
      <c r="AT1040" s="378"/>
      <c r="AU1040" s="378"/>
    </row>
    <row r="1041" spans="1:47" s="532" customFormat="1" x14ac:dyDescent="0.25">
      <c r="A1041" s="378"/>
      <c r="B1041" s="2047" t="str">
        <f>+'3 INDICADORES'!B296:C296</f>
        <v>14.9 - t1/2 (DT50)</v>
      </c>
      <c r="C1041" s="2047"/>
      <c r="D1041" s="1261"/>
      <c r="E1041" s="1261"/>
      <c r="F1041" s="1261"/>
      <c r="G1041" s="1261"/>
      <c r="H1041" s="1261"/>
      <c r="I1041" s="1261"/>
      <c r="J1041" s="1261"/>
      <c r="K1041" s="1261"/>
      <c r="L1041" s="1402"/>
      <c r="M1041" s="378"/>
      <c r="N1041" s="378"/>
      <c r="O1041" s="378"/>
      <c r="P1041" s="378"/>
      <c r="Q1041" s="378"/>
      <c r="R1041" s="378"/>
      <c r="S1041" s="378"/>
      <c r="T1041" s="378"/>
      <c r="U1041" s="378"/>
      <c r="V1041" s="378"/>
      <c r="W1041" s="378"/>
      <c r="X1041" s="378"/>
      <c r="Y1041" s="378"/>
      <c r="Z1041" s="378"/>
      <c r="AA1041" s="378"/>
      <c r="AB1041" s="378"/>
      <c r="AC1041" s="378"/>
      <c r="AD1041" s="378"/>
      <c r="AE1041" s="378"/>
      <c r="AF1041" s="378"/>
      <c r="AG1041" s="378"/>
      <c r="AH1041" s="378"/>
      <c r="AI1041" s="378"/>
      <c r="AJ1041" s="378"/>
      <c r="AK1041" s="378"/>
      <c r="AL1041" s="378"/>
      <c r="AM1041" s="378"/>
      <c r="AN1041" s="378"/>
      <c r="AO1041" s="378"/>
      <c r="AP1041" s="378"/>
      <c r="AQ1041" s="378"/>
      <c r="AR1041" s="378"/>
      <c r="AS1041" s="378"/>
      <c r="AT1041" s="378"/>
      <c r="AU1041" s="378"/>
    </row>
    <row r="1042" spans="1:47" s="532" customFormat="1" x14ac:dyDescent="0.25">
      <c r="A1042" s="378"/>
      <c r="B1042" s="1728" t="s">
        <v>947</v>
      </c>
      <c r="C1042" s="1729"/>
      <c r="D1042" s="1408" t="str">
        <f t="shared" ref="D1042:L1042" si="1">IF(OR(D1041=0,D1040=0),"",IF(LOG10(D1041)*(4-LOG10(D1040))&lt;=0,0,IF(OR(LOG10(D1041)*(4-LOG10(D1040))&gt;0,),(LOG10(D1041)*(4-LOG10(D1040))),IF((LOG10(D1041)*(4-LOG10(D1040))&gt;0),(LOG10(D1041)*(4-LOG10(D1040)))))))</f>
        <v/>
      </c>
      <c r="E1042" s="1408" t="str">
        <f t="shared" si="1"/>
        <v/>
      </c>
      <c r="F1042" s="1408" t="str">
        <f t="shared" si="1"/>
        <v/>
      </c>
      <c r="G1042" s="1408" t="str">
        <f t="shared" si="1"/>
        <v/>
      </c>
      <c r="H1042" s="1408" t="str">
        <f t="shared" si="1"/>
        <v/>
      </c>
      <c r="I1042" s="1408" t="str">
        <f t="shared" si="1"/>
        <v/>
      </c>
      <c r="J1042" s="1408" t="str">
        <f t="shared" si="1"/>
        <v/>
      </c>
      <c r="K1042" s="1408" t="str">
        <f t="shared" si="1"/>
        <v/>
      </c>
      <c r="L1042" s="1420" t="str">
        <f t="shared" si="1"/>
        <v/>
      </c>
      <c r="M1042" s="378"/>
      <c r="N1042" s="378"/>
      <c r="O1042" s="378"/>
      <c r="P1042" s="378"/>
      <c r="Q1042" s="378"/>
      <c r="R1042" s="378"/>
      <c r="S1042" s="378"/>
      <c r="T1042" s="378"/>
      <c r="U1042" s="378"/>
      <c r="V1042" s="378"/>
      <c r="W1042" s="378"/>
      <c r="X1042" s="378"/>
      <c r="Y1042" s="378"/>
      <c r="Z1042" s="378"/>
      <c r="AA1042" s="378"/>
      <c r="AB1042" s="378"/>
      <c r="AC1042" s="378"/>
      <c r="AD1042" s="378"/>
      <c r="AE1042" s="378"/>
      <c r="AF1042" s="378"/>
      <c r="AG1042" s="378"/>
      <c r="AH1042" s="378"/>
      <c r="AI1042" s="378"/>
      <c r="AJ1042" s="378"/>
      <c r="AK1042" s="378"/>
      <c r="AL1042" s="378"/>
      <c r="AM1042" s="378"/>
      <c r="AN1042" s="378"/>
      <c r="AO1042" s="378"/>
      <c r="AP1042" s="378"/>
      <c r="AQ1042" s="378"/>
      <c r="AR1042" s="378"/>
      <c r="AS1042" s="378"/>
      <c r="AT1042" s="378"/>
      <c r="AU1042" s="378"/>
    </row>
    <row r="1043" spans="1:47" s="532" customFormat="1" x14ac:dyDescent="0.25">
      <c r="A1043" s="378"/>
      <c r="B1043" s="2103" t="s">
        <v>948</v>
      </c>
      <c r="C1043" s="2104"/>
      <c r="D1043" s="1421" t="str">
        <f>IF(D1037&gt;0,(IF(OR('GUIA DE APLICAÇÃO'!H987=0.83,'GUIA DE APLICAÇÃO'!H987&lt;0.83),1,IF(OR(AND(0.83&lt;'GUIA DE APLICAÇÃO'!H987,'GUIA DE APLICAÇÃO'!H987&lt;=1.66)),2,IF('GUIA DE APLICAÇÃO'!H987&gt;1.66,3,"")))),"")</f>
        <v/>
      </c>
      <c r="E1043" s="1421" t="str">
        <f>IF(E1037&gt;0,(IF(OR('GUIA DE APLICAÇÃO'!I987=0.83,'GUIA DE APLICAÇÃO'!I987&lt;0.83),1,IF(OR(AND(0.83&lt;'GUIA DE APLICAÇÃO'!I987,'GUIA DE APLICAÇÃO'!I987&lt;=1.66)),2,IF('GUIA DE APLICAÇÃO'!I987&gt;1.66,3,"")))),"")</f>
        <v/>
      </c>
      <c r="F1043" s="1421" t="str">
        <f>IF(F1037&gt;0,(IF(OR('GUIA DE APLICAÇÃO'!J987=0.83,'GUIA DE APLICAÇÃO'!J987&lt;0.83),1,IF(OR(AND(0.83&lt;'GUIA DE APLICAÇÃO'!J987,'GUIA DE APLICAÇÃO'!J987&lt;=1.66)),2,IF('GUIA DE APLICAÇÃO'!J987&gt;1.66,3,"")))),"")</f>
        <v/>
      </c>
      <c r="G1043" s="1421" t="str">
        <f>IF(G1037&gt;0,(IF(OR('GUIA DE APLICAÇÃO'!K987=0.83,'GUIA DE APLICAÇÃO'!K987&lt;0.83),1,IF(OR(AND(0.83&lt;'GUIA DE APLICAÇÃO'!K987,'GUIA DE APLICAÇÃO'!K987&lt;=1.66)),2,IF('GUIA DE APLICAÇÃO'!K987&gt;1.66,3,"")))),"")</f>
        <v/>
      </c>
      <c r="H1043" s="1421" t="str">
        <f>IF(H1037&gt;0,(IF(OR('GUIA DE APLICAÇÃO'!L987=0.83,'GUIA DE APLICAÇÃO'!L987&lt;0.83),1,IF(OR(AND(0.83&lt;'GUIA DE APLICAÇÃO'!L987,'GUIA DE APLICAÇÃO'!L987&lt;=1.66)),2,IF('GUIA DE APLICAÇÃO'!L987&gt;1.66,3,"")))),"")</f>
        <v/>
      </c>
      <c r="I1043" s="1421" t="str">
        <f>IF(I1037&gt;0,(IF(OR('GUIA DE APLICAÇÃO'!M987=0.83,'GUIA DE APLICAÇÃO'!M987&lt;0.83),1,IF(OR(AND(0.83&lt;'GUIA DE APLICAÇÃO'!M987,'GUIA DE APLICAÇÃO'!M987&lt;=1.66)),2,IF('GUIA DE APLICAÇÃO'!M987&gt;1.66,3,"")))),"")</f>
        <v/>
      </c>
      <c r="J1043" s="1421" t="str">
        <f>IF(J1037&gt;0,(IF(OR('GUIA DE APLICAÇÃO'!N987=0.83,'GUIA DE APLICAÇÃO'!N987&lt;0.83),1,IF(OR(AND(0.83&lt;'GUIA DE APLICAÇÃO'!N987,'GUIA DE APLICAÇÃO'!N987&lt;=1.66)),2,IF('GUIA DE APLICAÇÃO'!N987&gt;1.66,3,"")))),"")</f>
        <v/>
      </c>
      <c r="K1043" s="1421" t="str">
        <f>IF(K1037&gt;0,(IF(OR('GUIA DE APLICAÇÃO'!B999=0.83,'GUIA DE APLICAÇÃO'!B999&lt;0.83),1,IF(OR(AND(0.83&lt;'GUIA DE APLICAÇÃO'!B999,'GUIA DE APLICAÇÃO'!B999&lt;=1.66)),2,IF('GUIA DE APLICAÇÃO'!B999&gt;1.66,3,"")))),"")</f>
        <v/>
      </c>
      <c r="L1043" s="1421" t="str">
        <f>IF(L1037&gt;0,(IF(OR('GUIA DE APLICAÇÃO'!C999=0.83,'GUIA DE APLICAÇÃO'!C999&lt;0.83),1,IF(OR(AND(0.83&lt;'GUIA DE APLICAÇÃO'!C999,'GUIA DE APLICAÇÃO'!C999&lt;=1.66)),2,IF('GUIA DE APLICAÇÃO'!C999&gt;1.66,3,"")))),"")</f>
        <v/>
      </c>
      <c r="M1043" s="378"/>
      <c r="N1043" s="378"/>
      <c r="O1043" s="378"/>
      <c r="P1043" s="378"/>
      <c r="Q1043" s="378"/>
      <c r="R1043" s="378"/>
      <c r="S1043" s="378"/>
      <c r="T1043" s="378"/>
      <c r="U1043" s="378"/>
      <c r="V1043" s="378"/>
      <c r="W1043" s="378"/>
      <c r="X1043" s="378"/>
      <c r="Y1043" s="378"/>
      <c r="Z1043" s="378"/>
      <c r="AA1043" s="378"/>
      <c r="AB1043" s="378"/>
      <c r="AC1043" s="378"/>
      <c r="AD1043" s="378"/>
      <c r="AE1043" s="378"/>
      <c r="AF1043" s="378"/>
      <c r="AG1043" s="378"/>
      <c r="AH1043" s="378"/>
      <c r="AI1043" s="378"/>
      <c r="AJ1043" s="378"/>
      <c r="AK1043" s="378"/>
      <c r="AL1043" s="378"/>
      <c r="AM1043" s="378"/>
      <c r="AN1043" s="378"/>
      <c r="AO1043" s="378"/>
      <c r="AP1043" s="378"/>
      <c r="AQ1043" s="378"/>
      <c r="AR1043" s="378"/>
      <c r="AS1043" s="378"/>
      <c r="AT1043" s="378"/>
      <c r="AU1043" s="378"/>
    </row>
    <row r="1044" spans="1:47" s="532" customFormat="1" x14ac:dyDescent="0.25">
      <c r="A1044" s="378"/>
      <c r="B1044" s="38"/>
      <c r="C1044" s="38"/>
      <c r="D1044" s="38"/>
      <c r="E1044" s="38"/>
      <c r="F1044" s="38"/>
      <c r="G1044" s="38"/>
      <c r="H1044" s="38"/>
      <c r="I1044" s="245"/>
      <c r="J1044" s="13"/>
      <c r="K1044" s="38"/>
      <c r="L1044" s="244"/>
      <c r="M1044" s="378"/>
      <c r="N1044" s="378"/>
      <c r="O1044" s="378"/>
      <c r="P1044" s="378"/>
      <c r="Q1044" s="378"/>
      <c r="R1044" s="378"/>
      <c r="S1044" s="378"/>
      <c r="T1044" s="378"/>
      <c r="U1044" s="378"/>
      <c r="V1044" s="378"/>
      <c r="W1044" s="378"/>
      <c r="X1044" s="378"/>
      <c r="Y1044" s="378"/>
      <c r="Z1044" s="378"/>
      <c r="AA1044" s="378"/>
      <c r="AB1044" s="378"/>
      <c r="AC1044" s="378"/>
      <c r="AD1044" s="378"/>
      <c r="AE1044" s="378"/>
      <c r="AF1044" s="378"/>
      <c r="AG1044" s="378"/>
      <c r="AH1044" s="378"/>
      <c r="AI1044" s="378"/>
      <c r="AJ1044" s="378"/>
      <c r="AK1044" s="378"/>
      <c r="AL1044" s="378"/>
      <c r="AM1044" s="378"/>
      <c r="AN1044" s="378"/>
      <c r="AO1044" s="378"/>
      <c r="AP1044" s="378"/>
      <c r="AQ1044" s="378"/>
      <c r="AR1044" s="378"/>
      <c r="AS1044" s="378"/>
      <c r="AT1044" s="378"/>
      <c r="AU1044" s="378"/>
    </row>
    <row r="1045" spans="1:47" s="18" customFormat="1" ht="37.5" customHeight="1" x14ac:dyDescent="0.25">
      <c r="A1045" s="378"/>
      <c r="B1045" s="2124" t="str">
        <f>+'3 INDICADORES'!B300:C300</f>
        <v>14.10 - Conteúdo de argila no solo (no talhão)        &gt; 60% (1);     30% - 60% (2);        &lt;30% (3)</v>
      </c>
      <c r="C1045" s="2125"/>
      <c r="D1045" s="423"/>
      <c r="E1045" s="418"/>
      <c r="F1045" s="418"/>
      <c r="G1045" s="418"/>
      <c r="H1045" s="418"/>
      <c r="I1045" s="418"/>
      <c r="J1045" s="418"/>
      <c r="K1045" s="418"/>
      <c r="L1045" s="418"/>
      <c r="M1045" s="328"/>
      <c r="N1045" s="378"/>
      <c r="O1045" s="378"/>
      <c r="P1045" s="378"/>
      <c r="Q1045" s="378"/>
      <c r="R1045" s="378"/>
      <c r="S1045" s="378"/>
      <c r="T1045" s="378"/>
      <c r="U1045" s="378"/>
      <c r="V1045" s="378"/>
      <c r="W1045" s="378"/>
      <c r="X1045" s="378"/>
      <c r="Y1045" s="378"/>
      <c r="Z1045" s="378"/>
      <c r="AA1045" s="378"/>
      <c r="AB1045" s="378"/>
      <c r="AC1045" s="378"/>
      <c r="AD1045" s="378"/>
      <c r="AE1045" s="378"/>
      <c r="AF1045" s="378"/>
      <c r="AG1045" s="378"/>
      <c r="AH1045" s="378"/>
      <c r="AI1045" s="378"/>
      <c r="AJ1045" s="378"/>
      <c r="AK1045" s="378"/>
      <c r="AL1045" s="378"/>
      <c r="AM1045" s="378"/>
      <c r="AN1045" s="378"/>
      <c r="AO1045" s="378"/>
      <c r="AP1045" s="378"/>
      <c r="AQ1045" s="378"/>
      <c r="AR1045" s="378"/>
      <c r="AS1045" s="378"/>
      <c r="AT1045" s="378"/>
      <c r="AU1045" s="378"/>
    </row>
    <row r="1046" spans="1:47" s="18" customFormat="1" ht="41.25" customHeight="1" x14ac:dyDescent="0.25">
      <c r="A1046" s="378"/>
      <c r="B1046" s="2124" t="str">
        <f>+'3 INDICADORES'!B301:C301</f>
        <v>14.11 - Distância do curso d' água (borda do talhão)  &gt;1.000m (1);  300 - 1.000m (2);  &lt;300m (3)</v>
      </c>
      <c r="C1046" s="2126"/>
      <c r="D1046" s="423"/>
      <c r="E1046" s="418"/>
      <c r="F1046" s="418"/>
      <c r="G1046" s="418"/>
      <c r="H1046" s="418"/>
      <c r="I1046" s="418"/>
      <c r="J1046" s="418"/>
      <c r="K1046" s="418"/>
      <c r="L1046" s="418"/>
      <c r="M1046" s="328"/>
      <c r="N1046" s="378"/>
      <c r="O1046" s="378"/>
      <c r="P1046" s="378"/>
      <c r="Q1046" s="378"/>
      <c r="R1046" s="378"/>
      <c r="S1046" s="378"/>
      <c r="T1046" s="378"/>
      <c r="U1046" s="378"/>
      <c r="V1046" s="378"/>
      <c r="W1046" s="378"/>
      <c r="X1046" s="378"/>
      <c r="Y1046" s="378"/>
      <c r="Z1046" s="378"/>
      <c r="AA1046" s="378"/>
      <c r="AB1046" s="378"/>
      <c r="AC1046" s="378"/>
      <c r="AD1046" s="378"/>
      <c r="AE1046" s="378"/>
      <c r="AF1046" s="378"/>
      <c r="AG1046" s="378"/>
      <c r="AH1046" s="378"/>
      <c r="AI1046" s="378"/>
      <c r="AJ1046" s="378"/>
      <c r="AK1046" s="378"/>
      <c r="AL1046" s="378"/>
      <c r="AM1046" s="378"/>
      <c r="AN1046" s="378"/>
      <c r="AO1046" s="378"/>
      <c r="AP1046" s="378"/>
      <c r="AQ1046" s="378"/>
      <c r="AR1046" s="378"/>
      <c r="AS1046" s="378"/>
      <c r="AT1046" s="378"/>
      <c r="AU1046" s="378"/>
    </row>
    <row r="1047" spans="1:47" s="18" customFormat="1" ht="38.25" customHeight="1" x14ac:dyDescent="0.25">
      <c r="A1047" s="378"/>
      <c r="B1047" s="2124" t="str">
        <f>+'3 INDICADORES'!B302:C302</f>
        <v>14.12 - Tipo de manejo do solo: Solo protegido (1); Solo sem revolvimento (2); Solo com revolvimento (3)</v>
      </c>
      <c r="C1047" s="2126"/>
      <c r="D1047" s="423"/>
      <c r="E1047" s="418"/>
      <c r="F1047" s="418"/>
      <c r="G1047" s="418"/>
      <c r="H1047" s="418"/>
      <c r="I1047" s="418"/>
      <c r="J1047" s="418"/>
      <c r="K1047" s="418"/>
      <c r="L1047" s="418"/>
      <c r="M1047" s="328"/>
      <c r="N1047" s="378"/>
      <c r="O1047" s="378"/>
      <c r="P1047" s="378"/>
      <c r="Q1047" s="378"/>
      <c r="R1047" s="378"/>
      <c r="S1047" s="378"/>
      <c r="T1047" s="378"/>
      <c r="U1047" s="378"/>
      <c r="V1047" s="378"/>
      <c r="W1047" s="378"/>
      <c r="X1047" s="378"/>
      <c r="Y1047" s="378"/>
      <c r="Z1047" s="378"/>
      <c r="AA1047" s="378"/>
      <c r="AB1047" s="378"/>
      <c r="AC1047" s="378"/>
      <c r="AD1047" s="378"/>
      <c r="AE1047" s="378"/>
      <c r="AF1047" s="378"/>
      <c r="AG1047" s="378"/>
      <c r="AH1047" s="378"/>
      <c r="AI1047" s="378"/>
      <c r="AJ1047" s="378"/>
      <c r="AK1047" s="378"/>
      <c r="AL1047" s="378"/>
      <c r="AM1047" s="378"/>
      <c r="AN1047" s="378"/>
      <c r="AO1047" s="378"/>
      <c r="AP1047" s="378"/>
      <c r="AQ1047" s="378"/>
      <c r="AR1047" s="378"/>
      <c r="AS1047" s="378"/>
      <c r="AT1047" s="378"/>
      <c r="AU1047" s="378"/>
    </row>
    <row r="1048" spans="1:47" s="18" customFormat="1" ht="14.25" customHeight="1" x14ac:dyDescent="0.25">
      <c r="A1048" s="378"/>
      <c r="B1048" s="2120" t="str">
        <f>+'3 INDICADORES'!B303:C303</f>
        <v>Vulnerabilidade do talhão:</v>
      </c>
      <c r="C1048" s="2121"/>
      <c r="D1048" s="1422" t="str">
        <f>IF(D1033&gt;0,(IF(OR(AND(1&lt;='GUIA DE APLICAÇÃO'!H988,'GUIA DE APLICAÇÃO'!H988&lt;=3)),1,IF(OR(AND(3&lt;'GUIA DE APLICAÇÃO'!H988,'GUIA DE APLICAÇÃO'!H988&lt;=9)),2,IF('GUIA DE APLICAÇÃO'!H988&gt;9,3)))),"")</f>
        <v/>
      </c>
      <c r="E1048" s="1422" t="str">
        <f>IF(E1033&gt;0,(IF(OR(AND(1&lt;='GUIA DE APLICAÇÃO'!I988,'GUIA DE APLICAÇÃO'!I988&lt;=3)),1,IF(OR(AND(3&lt;'GUIA DE APLICAÇÃO'!I988,'GUIA DE APLICAÇÃO'!I988&lt;=9)),2,IF('GUIA DE APLICAÇÃO'!I988&gt;9,3)))),"")</f>
        <v/>
      </c>
      <c r="F1048" s="1422" t="str">
        <f>IF(F1033&gt;0,(IF(OR(AND(1&lt;='GUIA DE APLICAÇÃO'!J988,'GUIA DE APLICAÇÃO'!J988&lt;=3)),1,IF(OR(AND(3&lt;'GUIA DE APLICAÇÃO'!J988,'GUIA DE APLICAÇÃO'!J988&lt;=9)),2,IF('GUIA DE APLICAÇÃO'!J988&gt;9,3)))),"")</f>
        <v/>
      </c>
      <c r="G1048" s="1422" t="str">
        <f>IF(G1033&gt;0,(IF(OR(AND(1&lt;='GUIA DE APLICAÇÃO'!K988,'GUIA DE APLICAÇÃO'!K988&lt;=3)),1,IF(OR(AND(3&lt;'GUIA DE APLICAÇÃO'!K988,'GUIA DE APLICAÇÃO'!K988&lt;=9)),2,IF('GUIA DE APLICAÇÃO'!K988&gt;9,3)))),"")</f>
        <v/>
      </c>
      <c r="H1048" s="1422" t="str">
        <f>IF(H1033&gt;0,(IF(OR(AND(1&lt;='GUIA DE APLICAÇÃO'!L988,'GUIA DE APLICAÇÃO'!L988&lt;=3)),1,IF(OR(AND(3&lt;'GUIA DE APLICAÇÃO'!L988,'GUIA DE APLICAÇÃO'!L988&lt;=9)),2,IF('GUIA DE APLICAÇÃO'!L988&gt;9,3)))),"")</f>
        <v/>
      </c>
      <c r="I1048" s="1422" t="str">
        <f>IF(I1033&gt;0,(IF(OR(AND(1&lt;='GUIA DE APLICAÇÃO'!M988,'GUIA DE APLICAÇÃO'!M988&lt;=3)),1,IF(OR(AND(3&lt;'GUIA DE APLICAÇÃO'!M988,'GUIA DE APLICAÇÃO'!M988&lt;=9)),2,IF('GUIA DE APLICAÇÃO'!M988&gt;9,3)))),"")</f>
        <v/>
      </c>
      <c r="J1048" s="1422" t="str">
        <f>IF(J1033&gt;0,(IF(OR(AND(1&lt;='GUIA DE APLICAÇÃO'!N988,'GUIA DE APLICAÇÃO'!N988&lt;=3)),1,IF(OR(AND(3&lt;'GUIA DE APLICAÇÃO'!N988,'GUIA DE APLICAÇÃO'!N988&lt;=9)),2,IF('GUIA DE APLICAÇÃO'!N988&gt;9,3)))),"")</f>
        <v/>
      </c>
      <c r="K1048" s="1422" t="str">
        <f>IF(K1033&gt;0,(IF(OR(AND(1&lt;='GUIA DE APLICAÇÃO'!B1000,'GUIA DE APLICAÇÃO'!B1000&lt;=3)),1,IF(OR(AND(3&lt;'GUIA DE APLICAÇÃO'!B1000,'GUIA DE APLICAÇÃO'!B1000&lt;=9)),2,IF('GUIA DE APLICAÇÃO'!B1000&gt;9,3)))),"")</f>
        <v/>
      </c>
      <c r="L1048" s="1422" t="str">
        <f>IF(L1033&gt;0,(IF(OR(AND(1&lt;='GUIA DE APLICAÇÃO'!C1000,'GUIA DE APLICAÇÃO'!C1000&lt;=3)),1,IF(OR(AND(3&lt;'GUIA DE APLICAÇÃO'!C1000,'GUIA DE APLICAÇÃO'!C1000&lt;=9)),2,IF('GUIA DE APLICAÇÃO'!C1000&gt;9,3)))),"")</f>
        <v/>
      </c>
      <c r="M1048" s="378"/>
      <c r="N1048" s="378"/>
      <c r="O1048" s="378"/>
      <c r="P1048" s="378"/>
      <c r="Q1048" s="378"/>
      <c r="R1048" s="378"/>
      <c r="S1048" s="378"/>
      <c r="T1048" s="378"/>
      <c r="U1048" s="378"/>
      <c r="V1048" s="378"/>
      <c r="W1048" s="378"/>
      <c r="X1048" s="378"/>
      <c r="Y1048" s="378"/>
      <c r="Z1048" s="378"/>
      <c r="AA1048" s="378"/>
      <c r="AB1048" s="378"/>
      <c r="AC1048" s="378"/>
      <c r="AD1048" s="378"/>
      <c r="AE1048" s="378"/>
      <c r="AF1048" s="378"/>
      <c r="AG1048" s="378"/>
      <c r="AH1048" s="378"/>
      <c r="AI1048" s="378"/>
      <c r="AJ1048" s="378"/>
      <c r="AK1048" s="378"/>
      <c r="AL1048" s="378"/>
      <c r="AM1048" s="378"/>
      <c r="AN1048" s="378"/>
      <c r="AO1048" s="378"/>
      <c r="AP1048" s="378"/>
      <c r="AQ1048" s="378"/>
      <c r="AR1048" s="378"/>
      <c r="AS1048" s="378"/>
      <c r="AT1048" s="378"/>
      <c r="AU1048" s="378"/>
    </row>
    <row r="1049" spans="1:47" s="18" customFormat="1" x14ac:dyDescent="0.25">
      <c r="A1049" s="378"/>
      <c r="B1049" s="38"/>
      <c r="C1049" s="38"/>
      <c r="D1049" s="38"/>
      <c r="E1049" s="38"/>
      <c r="F1049" s="38"/>
      <c r="G1049" s="38"/>
      <c r="H1049" s="38"/>
      <c r="I1049" s="245"/>
      <c r="J1049" s="13"/>
      <c r="K1049" s="38"/>
      <c r="L1049" s="13"/>
      <c r="M1049" s="378"/>
      <c r="N1049" s="378"/>
      <c r="O1049" s="378"/>
      <c r="P1049" s="378"/>
      <c r="Q1049" s="378"/>
      <c r="R1049" s="378"/>
      <c r="S1049" s="378"/>
      <c r="T1049" s="378"/>
      <c r="U1049" s="378"/>
      <c r="V1049" s="378"/>
      <c r="W1049" s="378"/>
      <c r="X1049" s="378"/>
      <c r="Y1049" s="378"/>
      <c r="Z1049" s="378"/>
      <c r="AA1049" s="378"/>
      <c r="AB1049" s="378"/>
      <c r="AC1049" s="378"/>
      <c r="AD1049" s="378"/>
      <c r="AE1049" s="378"/>
      <c r="AF1049" s="378"/>
      <c r="AG1049" s="378"/>
      <c r="AH1049" s="378"/>
      <c r="AI1049" s="378"/>
      <c r="AJ1049" s="378"/>
      <c r="AK1049" s="378"/>
      <c r="AL1049" s="378"/>
      <c r="AM1049" s="378"/>
      <c r="AN1049" s="378"/>
      <c r="AO1049" s="378"/>
      <c r="AP1049" s="378"/>
      <c r="AQ1049" s="378"/>
      <c r="AR1049" s="378"/>
      <c r="AS1049" s="378"/>
      <c r="AT1049" s="378"/>
      <c r="AU1049" s="378"/>
    </row>
    <row r="1050" spans="1:47" s="18" customFormat="1" x14ac:dyDescent="0.25">
      <c r="A1050" s="378"/>
      <c r="B1050" s="2111" t="s">
        <v>949</v>
      </c>
      <c r="C1050" s="2112"/>
      <c r="D1050" s="1423" t="str">
        <f>IF(D1033&gt;0,(IF(OR(AND(1&lt;='GUIA DE APLICAÇÃO'!H990,'GUIA DE APLICAÇÃO'!H990&lt;=2)),1,IF(OR(AND(2&lt;'GUIA DE APLICAÇÃO'!H990,'GUIA DE APLICAÇÃO'!H990&lt;=4)),2,IF('GUIA DE APLICAÇÃO'!H990&gt;4,3)))),"")</f>
        <v/>
      </c>
      <c r="E1050" s="1423" t="str">
        <f>IF(E1033&gt;0,(IF(OR(AND(1&lt;='GUIA DE APLICAÇÃO'!I990,'GUIA DE APLICAÇÃO'!I990&lt;=2)),1,IF(OR(AND(2&lt;'GUIA DE APLICAÇÃO'!I990,'GUIA DE APLICAÇÃO'!I990&lt;=4)),2,IF('GUIA DE APLICAÇÃO'!I990&gt;4,3)))),"")</f>
        <v/>
      </c>
      <c r="F1050" s="1423" t="str">
        <f>IF(F1033&gt;0,(IF(OR(AND(1&lt;='GUIA DE APLICAÇÃO'!J990,'GUIA DE APLICAÇÃO'!J990&lt;=2)),1,IF(OR(AND(2&lt;'GUIA DE APLICAÇÃO'!J990,'GUIA DE APLICAÇÃO'!J990&lt;=4)),2,IF('GUIA DE APLICAÇÃO'!J990&gt;4,3)))),"")</f>
        <v/>
      </c>
      <c r="G1050" s="1423" t="str">
        <f>IF(G1033&gt;0,(IF(OR(AND(1&lt;='GUIA DE APLICAÇÃO'!K990,'GUIA DE APLICAÇÃO'!K990&lt;=2)),1,IF(OR(AND(2&lt;'GUIA DE APLICAÇÃO'!K990,'GUIA DE APLICAÇÃO'!K990&lt;=4)),2,IF('GUIA DE APLICAÇÃO'!K990&gt;4,3)))),"")</f>
        <v/>
      </c>
      <c r="H1050" s="1423" t="str">
        <f>IF(H1033&gt;0,(IF(OR(AND(1&lt;='GUIA DE APLICAÇÃO'!L990,'GUIA DE APLICAÇÃO'!L990&lt;=2)),1,IF(OR(AND(2&lt;'GUIA DE APLICAÇÃO'!L990,'GUIA DE APLICAÇÃO'!L990&lt;=4)),2,IF('GUIA DE APLICAÇÃO'!L990&gt;4,3)))),"")</f>
        <v/>
      </c>
      <c r="I1050" s="1423" t="str">
        <f>IF(I1033&gt;0,(IF(OR(AND(1&lt;='GUIA DE APLICAÇÃO'!M990,'GUIA DE APLICAÇÃO'!M990&lt;=2)),1,IF(OR(AND(2&lt;'GUIA DE APLICAÇÃO'!M990,'GUIA DE APLICAÇÃO'!M990&lt;=4)),2,IF('GUIA DE APLICAÇÃO'!M990&gt;4,3)))),"")</f>
        <v/>
      </c>
      <c r="J1050" s="1423" t="str">
        <f>IF(J1033&gt;0,(IF(OR(AND(1&lt;='GUIA DE APLICAÇÃO'!N990,'GUIA DE APLICAÇÃO'!N990&lt;=2)),1,IF(OR(AND(2&lt;'GUIA DE APLICAÇÃO'!N990,'GUIA DE APLICAÇÃO'!N990&lt;=4)),2,IF('GUIA DE APLICAÇÃO'!N990&gt;4,3)))),"")</f>
        <v/>
      </c>
      <c r="K1050" s="1423" t="str">
        <f>IF(K1033&gt;0,(IF(OR(AND(1&lt;='GUIA DE APLICAÇÃO'!B1002,'GUIA DE APLICAÇÃO'!B1002&lt;=2)),1,IF(OR(AND(2&lt;'GUIA DE APLICAÇÃO'!B1002,'GUIA DE APLICAÇÃO'!B1002&lt;=4)),2,IF('GUIA DE APLICAÇÃO'!B1002&gt;4,3)))),"")</f>
        <v/>
      </c>
      <c r="L1050" s="1423" t="str">
        <f>IF(L1033&gt;0,(IF(OR(AND(1&lt;='GUIA DE APLICAÇÃO'!C1002,'GUIA DE APLICAÇÃO'!C1002&lt;=2)),1,IF(OR(AND(2&lt;'GUIA DE APLICAÇÃO'!C1002,'GUIA DE APLICAÇÃO'!C1002&lt;=4)),2,IF('GUIA DE APLICAÇÃO'!C1002&gt;4,3)))),"")</f>
        <v/>
      </c>
      <c r="M1050" s="378"/>
      <c r="N1050" s="378"/>
      <c r="O1050" s="378"/>
      <c r="P1050" s="378"/>
      <c r="Q1050" s="378"/>
      <c r="R1050" s="378"/>
      <c r="S1050" s="378"/>
      <c r="T1050" s="378"/>
      <c r="U1050" s="378"/>
      <c r="V1050" s="378"/>
      <c r="W1050" s="378"/>
      <c r="X1050" s="378"/>
      <c r="Y1050" s="378"/>
      <c r="Z1050" s="378"/>
      <c r="AA1050" s="378"/>
      <c r="AB1050" s="378"/>
      <c r="AC1050" s="378"/>
      <c r="AD1050" s="378"/>
      <c r="AE1050" s="378"/>
      <c r="AF1050" s="378"/>
      <c r="AG1050" s="378"/>
      <c r="AH1050" s="378"/>
      <c r="AI1050" s="378"/>
      <c r="AJ1050" s="378"/>
      <c r="AK1050" s="378"/>
      <c r="AL1050" s="378"/>
      <c r="AM1050" s="378"/>
      <c r="AN1050" s="378"/>
      <c r="AO1050" s="378"/>
      <c r="AP1050" s="378"/>
      <c r="AQ1050" s="378"/>
      <c r="AR1050" s="378"/>
      <c r="AS1050" s="378"/>
      <c r="AT1050" s="378"/>
      <c r="AU1050" s="378"/>
    </row>
    <row r="1051" spans="1:47" s="18" customFormat="1" x14ac:dyDescent="0.25">
      <c r="A1051" s="378"/>
      <c r="B1051" s="3"/>
      <c r="C1051" s="3"/>
      <c r="D1051" s="3"/>
      <c r="E1051" s="3"/>
      <c r="F1051" s="3"/>
      <c r="G1051" s="3"/>
      <c r="H1051" s="3"/>
      <c r="I1051" s="3"/>
      <c r="J1051" s="3"/>
      <c r="K1051" s="3"/>
      <c r="L1051" s="3"/>
      <c r="M1051" s="378"/>
      <c r="N1051" s="378"/>
      <c r="O1051" s="378"/>
      <c r="P1051" s="378"/>
      <c r="Q1051" s="378"/>
      <c r="R1051" s="378"/>
      <c r="S1051" s="378"/>
      <c r="T1051" s="378"/>
      <c r="U1051" s="378"/>
      <c r="V1051" s="378"/>
      <c r="W1051" s="378"/>
      <c r="X1051" s="378"/>
      <c r="Y1051" s="378"/>
      <c r="Z1051" s="378"/>
      <c r="AA1051" s="378"/>
      <c r="AB1051" s="378"/>
      <c r="AC1051" s="378"/>
      <c r="AD1051" s="378"/>
      <c r="AE1051" s="378"/>
      <c r="AF1051" s="378"/>
      <c r="AG1051" s="378"/>
      <c r="AH1051" s="378"/>
      <c r="AI1051" s="378"/>
      <c r="AJ1051" s="378"/>
      <c r="AK1051" s="378"/>
      <c r="AL1051" s="378"/>
      <c r="AM1051" s="378"/>
      <c r="AN1051" s="378"/>
      <c r="AO1051" s="378"/>
      <c r="AP1051" s="378"/>
      <c r="AQ1051" s="378"/>
      <c r="AR1051" s="378"/>
      <c r="AS1051" s="378"/>
      <c r="AT1051" s="378"/>
      <c r="AU1051" s="378"/>
    </row>
    <row r="1052" spans="1:47" s="18" customFormat="1" x14ac:dyDescent="0.25">
      <c r="A1052" s="378"/>
      <c r="B1052" s="3"/>
      <c r="C1052" s="3"/>
      <c r="D1052" s="3"/>
      <c r="E1052" s="3"/>
      <c r="F1052" s="3"/>
      <c r="G1052" s="3"/>
      <c r="H1052" s="3"/>
      <c r="I1052" s="3"/>
      <c r="J1052" s="3"/>
      <c r="K1052" s="3"/>
      <c r="L1052" s="3"/>
      <c r="M1052" s="378"/>
      <c r="N1052" s="378"/>
      <c r="O1052" s="378"/>
      <c r="P1052" s="378"/>
      <c r="Q1052" s="378"/>
      <c r="R1052" s="378"/>
      <c r="S1052" s="378"/>
      <c r="T1052" s="378"/>
      <c r="U1052" s="378"/>
      <c r="V1052" s="378"/>
      <c r="W1052" s="378"/>
      <c r="X1052" s="378"/>
      <c r="Y1052" s="378"/>
      <c r="Z1052" s="378"/>
      <c r="AA1052" s="378"/>
      <c r="AB1052" s="378"/>
      <c r="AC1052" s="378"/>
      <c r="AD1052" s="378"/>
      <c r="AE1052" s="378"/>
      <c r="AF1052" s="378"/>
      <c r="AG1052" s="378"/>
      <c r="AH1052" s="378"/>
      <c r="AI1052" s="378"/>
      <c r="AJ1052" s="378"/>
      <c r="AK1052" s="378"/>
      <c r="AL1052" s="378"/>
      <c r="AM1052" s="378"/>
      <c r="AN1052" s="378"/>
      <c r="AO1052" s="378"/>
      <c r="AP1052" s="378"/>
      <c r="AQ1052" s="378"/>
      <c r="AR1052" s="378"/>
      <c r="AS1052" s="378"/>
      <c r="AT1052" s="378"/>
      <c r="AU1052" s="378"/>
    </row>
    <row r="1053" spans="1:47" s="18" customFormat="1" x14ac:dyDescent="0.25">
      <c r="A1053" s="378"/>
      <c r="B1053" s="2107" t="str">
        <f>+'3 INDICADORES'!B285:C285</f>
        <v>14.1 - Nome comercial do produto</v>
      </c>
      <c r="C1053" s="2108"/>
      <c r="D1053" s="1229"/>
      <c r="E1053" s="1229"/>
      <c r="F1053" s="1229"/>
      <c r="G1053" s="1229"/>
      <c r="H1053" s="1229"/>
      <c r="I1053" s="1229"/>
      <c r="J1053" s="1229"/>
      <c r="K1053" s="1229"/>
      <c r="L1053" s="1229"/>
      <c r="M1053" s="328"/>
      <c r="N1053" s="378"/>
      <c r="O1053" s="378"/>
      <c r="P1053" s="378"/>
      <c r="Q1053" s="378"/>
      <c r="R1053" s="378"/>
      <c r="S1053" s="378"/>
      <c r="T1053" s="378"/>
      <c r="U1053" s="378"/>
      <c r="V1053" s="378"/>
      <c r="W1053" s="378"/>
      <c r="X1053" s="378"/>
      <c r="Y1053" s="378"/>
      <c r="Z1053" s="378"/>
      <c r="AA1053" s="378"/>
      <c r="AB1053" s="378"/>
      <c r="AC1053" s="378"/>
      <c r="AD1053" s="378"/>
      <c r="AE1053" s="378"/>
      <c r="AF1053" s="378"/>
      <c r="AG1053" s="378"/>
      <c r="AH1053" s="378"/>
      <c r="AI1053" s="378"/>
      <c r="AJ1053" s="378"/>
      <c r="AK1053" s="378"/>
      <c r="AL1053" s="378"/>
      <c r="AM1053" s="378"/>
      <c r="AN1053" s="378"/>
      <c r="AO1053" s="378"/>
      <c r="AP1053" s="378"/>
      <c r="AQ1053" s="378"/>
      <c r="AR1053" s="378"/>
      <c r="AS1053" s="378"/>
      <c r="AT1053" s="378"/>
      <c r="AU1053" s="378"/>
    </row>
    <row r="1054" spans="1:47" s="18" customFormat="1" x14ac:dyDescent="0.25">
      <c r="A1054" s="378"/>
      <c r="B1054" s="2107" t="str">
        <f>+'3 INDICADORES'!B286:C286</f>
        <v>14.2 - Descrição da cultura ou do talhão</v>
      </c>
      <c r="C1054" s="2108"/>
      <c r="D1054" s="422"/>
      <c r="E1054" s="422"/>
      <c r="F1054" s="422"/>
      <c r="G1054" s="422"/>
      <c r="H1054" s="422"/>
      <c r="I1054" s="422"/>
      <c r="J1054" s="422"/>
      <c r="K1054" s="422"/>
      <c r="L1054" s="422"/>
      <c r="M1054" s="328"/>
      <c r="N1054" s="378"/>
      <c r="O1054" s="378"/>
      <c r="P1054" s="378"/>
      <c r="Q1054" s="378"/>
      <c r="R1054" s="378"/>
      <c r="S1054" s="378"/>
      <c r="T1054" s="378"/>
      <c r="U1054" s="378"/>
      <c r="V1054" s="378"/>
      <c r="W1054" s="378"/>
      <c r="X1054" s="378"/>
      <c r="Y1054" s="378"/>
      <c r="Z1054" s="378"/>
      <c r="AA1054" s="378"/>
      <c r="AB1054" s="378"/>
      <c r="AC1054" s="378"/>
      <c r="AD1054" s="378"/>
      <c r="AE1054" s="378"/>
      <c r="AF1054" s="378"/>
      <c r="AG1054" s="378"/>
      <c r="AH1054" s="378"/>
      <c r="AI1054" s="378"/>
      <c r="AJ1054" s="378"/>
      <c r="AK1054" s="378"/>
      <c r="AL1054" s="378"/>
      <c r="AM1054" s="378"/>
      <c r="AN1054" s="378"/>
      <c r="AO1054" s="378"/>
      <c r="AP1054" s="378"/>
      <c r="AQ1054" s="378"/>
      <c r="AR1054" s="378"/>
      <c r="AS1054" s="378"/>
      <c r="AT1054" s="378"/>
      <c r="AU1054" s="378"/>
    </row>
    <row r="1055" spans="1:47" s="18" customFormat="1" x14ac:dyDescent="0.25">
      <c r="A1055" s="378"/>
      <c r="B1055" s="2107" t="str">
        <f>+'3 INDICADORES'!B287:C287</f>
        <v>14.3 - Área aplicada (ha)</v>
      </c>
      <c r="C1055" s="2108"/>
      <c r="D1055" s="1243"/>
      <c r="E1055" s="1243"/>
      <c r="F1055" s="1243"/>
      <c r="G1055" s="1243"/>
      <c r="H1055" s="1243"/>
      <c r="I1055" s="1243"/>
      <c r="J1055" s="1243"/>
      <c r="K1055" s="1243"/>
      <c r="L1055" s="1243"/>
      <c r="M1055" s="328"/>
      <c r="N1055" s="378"/>
      <c r="O1055" s="378"/>
      <c r="P1055" s="378"/>
      <c r="Q1055" s="378"/>
      <c r="R1055" s="378"/>
      <c r="S1055" s="378"/>
      <c r="T1055" s="378"/>
      <c r="U1055" s="378"/>
      <c r="V1055" s="378"/>
      <c r="W1055" s="378"/>
      <c r="X1055" s="378"/>
      <c r="Y1055" s="378"/>
      <c r="Z1055" s="378"/>
      <c r="AA1055" s="378"/>
      <c r="AB1055" s="378"/>
      <c r="AC1055" s="378"/>
      <c r="AD1055" s="378"/>
      <c r="AE1055" s="378"/>
      <c r="AF1055" s="378"/>
      <c r="AG1055" s="378"/>
      <c r="AH1055" s="378"/>
      <c r="AI1055" s="378"/>
      <c r="AJ1055" s="378"/>
      <c r="AK1055" s="378"/>
      <c r="AL1055" s="378"/>
      <c r="AM1055" s="378"/>
      <c r="AN1055" s="378"/>
      <c r="AO1055" s="378"/>
      <c r="AP1055" s="378"/>
      <c r="AQ1055" s="378"/>
      <c r="AR1055" s="378"/>
      <c r="AS1055" s="378"/>
      <c r="AT1055" s="378"/>
      <c r="AU1055" s="378"/>
    </row>
    <row r="1056" spans="1:47" s="18" customFormat="1" x14ac:dyDescent="0.25">
      <c r="A1056" s="378"/>
      <c r="B1056" s="2107" t="str">
        <f>+'3 INDICADORES'!B288:C288</f>
        <v xml:space="preserve">14.4 - Volume aplicado L/ha ou kg/ha </v>
      </c>
      <c r="C1056" s="2108"/>
      <c r="D1056" s="1231"/>
      <c r="E1056" s="1231"/>
      <c r="F1056" s="1231"/>
      <c r="G1056" s="1231"/>
      <c r="H1056" s="1231"/>
      <c r="I1056" s="1231"/>
      <c r="J1056" s="1231"/>
      <c r="K1056" s="1231"/>
      <c r="L1056" s="1231"/>
      <c r="M1056" s="328"/>
      <c r="N1056" s="378"/>
      <c r="O1056" s="378"/>
      <c r="P1056" s="378"/>
      <c r="Q1056" s="378"/>
      <c r="R1056" s="378"/>
      <c r="S1056" s="378"/>
      <c r="T1056" s="378"/>
      <c r="U1056" s="378"/>
      <c r="V1056" s="378"/>
      <c r="W1056" s="378"/>
      <c r="X1056" s="378"/>
      <c r="Y1056" s="378"/>
      <c r="Z1056" s="378"/>
      <c r="AA1056" s="378"/>
      <c r="AB1056" s="378"/>
      <c r="AC1056" s="378"/>
      <c r="AD1056" s="378"/>
      <c r="AE1056" s="378"/>
      <c r="AF1056" s="378"/>
      <c r="AG1056" s="378"/>
      <c r="AH1056" s="378"/>
      <c r="AI1056" s="378"/>
      <c r="AJ1056" s="378"/>
      <c r="AK1056" s="378"/>
      <c r="AL1056" s="378"/>
      <c r="AM1056" s="378"/>
      <c r="AN1056" s="378"/>
      <c r="AO1056" s="378"/>
      <c r="AP1056" s="378"/>
      <c r="AQ1056" s="378"/>
      <c r="AR1056" s="378"/>
      <c r="AS1056" s="378"/>
      <c r="AT1056" s="378"/>
      <c r="AU1056" s="378"/>
    </row>
    <row r="1057" spans="1:47" s="18" customFormat="1" x14ac:dyDescent="0.25">
      <c r="A1057" s="378"/>
      <c r="B1057" s="2109" t="s">
        <v>483</v>
      </c>
      <c r="C1057" s="2110"/>
      <c r="D1057" s="1232">
        <f t="shared" ref="D1057:L1057" si="2">+D1056*D1055</f>
        <v>0</v>
      </c>
      <c r="E1057" s="1232">
        <f t="shared" si="2"/>
        <v>0</v>
      </c>
      <c r="F1057" s="1232">
        <f t="shared" si="2"/>
        <v>0</v>
      </c>
      <c r="G1057" s="1232">
        <f t="shared" si="2"/>
        <v>0</v>
      </c>
      <c r="H1057" s="1232">
        <f t="shared" si="2"/>
        <v>0</v>
      </c>
      <c r="I1057" s="1232">
        <f t="shared" si="2"/>
        <v>0</v>
      </c>
      <c r="J1057" s="1232">
        <f t="shared" si="2"/>
        <v>0</v>
      </c>
      <c r="K1057" s="1232">
        <f t="shared" si="2"/>
        <v>0</v>
      </c>
      <c r="L1057" s="1232">
        <f t="shared" si="2"/>
        <v>0</v>
      </c>
      <c r="M1057" s="378"/>
      <c r="N1057" s="378"/>
      <c r="O1057" s="378"/>
      <c r="P1057" s="378"/>
      <c r="Q1057" s="378"/>
      <c r="R1057" s="378"/>
      <c r="S1057" s="378"/>
      <c r="T1057" s="378"/>
      <c r="U1057" s="378"/>
      <c r="V1057" s="378"/>
      <c r="W1057" s="378"/>
      <c r="X1057" s="378"/>
      <c r="Y1057" s="378"/>
      <c r="Z1057" s="378"/>
      <c r="AA1057" s="378"/>
      <c r="AB1057" s="378"/>
      <c r="AC1057" s="378"/>
      <c r="AD1057" s="378"/>
      <c r="AE1057" s="378"/>
      <c r="AF1057" s="378"/>
      <c r="AG1057" s="378"/>
      <c r="AH1057" s="378"/>
      <c r="AI1057" s="378"/>
      <c r="AJ1057" s="378"/>
      <c r="AK1057" s="378"/>
      <c r="AL1057" s="378"/>
      <c r="AM1057" s="378"/>
      <c r="AN1057" s="378"/>
      <c r="AO1057" s="378"/>
      <c r="AP1057" s="378"/>
      <c r="AQ1057" s="378"/>
      <c r="AR1057" s="378"/>
      <c r="AS1057" s="378"/>
      <c r="AT1057" s="378"/>
      <c r="AU1057" s="378"/>
    </row>
    <row r="1058" spans="1:47" s="18" customFormat="1" x14ac:dyDescent="0.25">
      <c r="A1058" s="378"/>
      <c r="B1058" s="38"/>
      <c r="C1058" s="38"/>
      <c r="D1058" s="245"/>
      <c r="E1058" s="38"/>
      <c r="F1058" s="13"/>
      <c r="G1058" s="13"/>
      <c r="H1058" s="38"/>
      <c r="I1058" s="38"/>
      <c r="J1058" s="38"/>
      <c r="K1058" s="38"/>
      <c r="L1058" s="38"/>
      <c r="M1058" s="378"/>
      <c r="N1058" s="378"/>
      <c r="O1058" s="378"/>
      <c r="P1058" s="378"/>
      <c r="Q1058" s="378"/>
      <c r="R1058" s="378"/>
      <c r="S1058" s="378"/>
      <c r="T1058" s="378"/>
      <c r="U1058" s="378"/>
      <c r="V1058" s="378"/>
      <c r="W1058" s="378"/>
      <c r="X1058" s="378"/>
      <c r="Y1058" s="378"/>
      <c r="Z1058" s="378"/>
      <c r="AA1058" s="378"/>
      <c r="AB1058" s="378"/>
      <c r="AC1058" s="378"/>
      <c r="AD1058" s="378"/>
      <c r="AE1058" s="378"/>
      <c r="AF1058" s="378"/>
      <c r="AG1058" s="378"/>
      <c r="AH1058" s="378"/>
      <c r="AI1058" s="378"/>
      <c r="AJ1058" s="378"/>
      <c r="AK1058" s="378"/>
      <c r="AL1058" s="378"/>
      <c r="AM1058" s="378"/>
      <c r="AN1058" s="378"/>
      <c r="AO1058" s="378"/>
      <c r="AP1058" s="378"/>
      <c r="AQ1058" s="378"/>
      <c r="AR1058" s="378"/>
      <c r="AS1058" s="378"/>
      <c r="AT1058" s="378"/>
      <c r="AU1058" s="378"/>
    </row>
    <row r="1059" spans="1:47" s="532" customFormat="1" x14ac:dyDescent="0.25">
      <c r="A1059" s="378"/>
      <c r="B1059" s="2107" t="str">
        <f>+'3 INDICADORES'!B291:C291</f>
        <v>14.5 - Princípio ativo do produto</v>
      </c>
      <c r="C1059" s="2108"/>
      <c r="D1059" s="1253"/>
      <c r="E1059" s="1253"/>
      <c r="F1059" s="1253"/>
      <c r="G1059" s="1253"/>
      <c r="H1059" s="1253"/>
      <c r="I1059" s="1253"/>
      <c r="J1059" s="425"/>
      <c r="K1059" s="1253"/>
      <c r="L1059" s="425"/>
      <c r="M1059" s="378"/>
      <c r="N1059" s="378"/>
      <c r="O1059" s="378"/>
      <c r="P1059" s="378"/>
      <c r="Q1059" s="378"/>
      <c r="R1059" s="378"/>
      <c r="S1059" s="378"/>
      <c r="T1059" s="378"/>
      <c r="U1059" s="378"/>
      <c r="V1059" s="378"/>
      <c r="W1059" s="378"/>
      <c r="X1059" s="378"/>
      <c r="Y1059" s="378"/>
      <c r="Z1059" s="378"/>
      <c r="AA1059" s="378"/>
      <c r="AB1059" s="378"/>
      <c r="AC1059" s="378"/>
      <c r="AD1059" s="378"/>
      <c r="AE1059" s="378"/>
      <c r="AF1059" s="378"/>
      <c r="AG1059" s="378"/>
      <c r="AH1059" s="378"/>
      <c r="AI1059" s="378"/>
      <c r="AJ1059" s="378"/>
      <c r="AK1059" s="378"/>
      <c r="AL1059" s="378"/>
      <c r="AM1059" s="378"/>
      <c r="AN1059" s="378"/>
      <c r="AO1059" s="378"/>
      <c r="AP1059" s="378"/>
      <c r="AQ1059" s="378"/>
      <c r="AR1059" s="378"/>
      <c r="AS1059" s="378"/>
      <c r="AT1059" s="378"/>
      <c r="AU1059" s="378"/>
    </row>
    <row r="1060" spans="1:47" s="532" customFormat="1" x14ac:dyDescent="0.25">
      <c r="A1060" s="378"/>
      <c r="B1060" s="2107" t="str">
        <f>+'3 INDICADORES'!B292:C292</f>
        <v>14.6 - Toxicidade para peixes - 96h LC50 (mg L-1)</v>
      </c>
      <c r="C1060" s="2108"/>
      <c r="D1060" s="1257"/>
      <c r="E1060" s="1257"/>
      <c r="F1060" s="1257"/>
      <c r="G1060" s="1257"/>
      <c r="H1060" s="1257"/>
      <c r="I1060" s="1257"/>
      <c r="J1060" s="1399"/>
      <c r="K1060" s="1257"/>
      <c r="L1060" s="1399"/>
      <c r="M1060" s="378"/>
      <c r="N1060" s="378"/>
      <c r="O1060" s="378"/>
      <c r="P1060" s="378"/>
      <c r="Q1060" s="378"/>
      <c r="R1060" s="378"/>
      <c r="S1060" s="378"/>
      <c r="T1060" s="378"/>
      <c r="U1060" s="378"/>
      <c r="V1060" s="378"/>
      <c r="W1060" s="378"/>
      <c r="X1060" s="378"/>
      <c r="Y1060" s="378"/>
      <c r="Z1060" s="378"/>
      <c r="AA1060" s="378"/>
      <c r="AB1060" s="378"/>
      <c r="AC1060" s="378"/>
      <c r="AD1060" s="378"/>
      <c r="AE1060" s="378"/>
      <c r="AF1060" s="378"/>
      <c r="AG1060" s="378"/>
      <c r="AH1060" s="378"/>
      <c r="AI1060" s="378"/>
      <c r="AJ1060" s="378"/>
      <c r="AK1060" s="378"/>
      <c r="AL1060" s="378"/>
      <c r="AM1060" s="378"/>
      <c r="AN1060" s="378"/>
      <c r="AO1060" s="378"/>
      <c r="AP1060" s="378"/>
      <c r="AQ1060" s="378"/>
      <c r="AR1060" s="378"/>
      <c r="AS1060" s="378"/>
      <c r="AT1060" s="378"/>
      <c r="AU1060" s="378"/>
    </row>
    <row r="1061" spans="1:47" s="532" customFormat="1" x14ac:dyDescent="0.25">
      <c r="A1061" s="378"/>
      <c r="B1061" s="2107" t="str">
        <f>+'3 INDICADORES'!B293:C293</f>
        <v>14.7 - Toxicidade - DAH (mg kg-1 dia-1)</v>
      </c>
      <c r="C1061" s="2108"/>
      <c r="D1061" s="1258"/>
      <c r="E1061" s="1258"/>
      <c r="F1061" s="1258"/>
      <c r="G1061" s="1258"/>
      <c r="H1061" s="1258"/>
      <c r="I1061" s="1258"/>
      <c r="J1061" s="1400"/>
      <c r="K1061" s="1258"/>
      <c r="L1061" s="1400"/>
      <c r="M1061" s="378"/>
      <c r="N1061" s="378"/>
      <c r="O1061" s="378"/>
      <c r="P1061" s="378"/>
      <c r="Q1061" s="378"/>
      <c r="R1061" s="378"/>
      <c r="S1061" s="378"/>
      <c r="T1061" s="378"/>
      <c r="U1061" s="378"/>
      <c r="V1061" s="378"/>
      <c r="W1061" s="378"/>
      <c r="X1061" s="378"/>
      <c r="Y1061" s="378"/>
      <c r="Z1061" s="378"/>
      <c r="AA1061" s="378"/>
      <c r="AB1061" s="378"/>
      <c r="AC1061" s="378"/>
      <c r="AD1061" s="378"/>
      <c r="AE1061" s="378"/>
      <c r="AF1061" s="378"/>
      <c r="AG1061" s="378"/>
      <c r="AH1061" s="378"/>
      <c r="AI1061" s="378"/>
      <c r="AJ1061" s="378"/>
      <c r="AK1061" s="378"/>
      <c r="AL1061" s="378"/>
      <c r="AM1061" s="378"/>
      <c r="AN1061" s="378"/>
      <c r="AO1061" s="378"/>
      <c r="AP1061" s="378"/>
      <c r="AQ1061" s="378"/>
      <c r="AR1061" s="378"/>
      <c r="AS1061" s="378"/>
      <c r="AT1061" s="378"/>
      <c r="AU1061" s="378"/>
    </row>
    <row r="1062" spans="1:47" s="532" customFormat="1" x14ac:dyDescent="0.25">
      <c r="A1062" s="378"/>
      <c r="B1062" s="2047" t="s">
        <v>488</v>
      </c>
      <c r="C1062" s="2047"/>
      <c r="D1062" s="1259"/>
      <c r="E1062" s="1259"/>
      <c r="F1062" s="1259"/>
      <c r="G1062" s="1259"/>
      <c r="H1062" s="1259"/>
      <c r="I1062" s="1259"/>
      <c r="J1062" s="1242"/>
      <c r="K1062" s="1259"/>
      <c r="L1062" s="1242"/>
      <c r="M1062" s="378"/>
      <c r="N1062" s="378"/>
      <c r="O1062" s="378"/>
      <c r="P1062" s="378"/>
      <c r="Q1062" s="378"/>
      <c r="R1062" s="378"/>
      <c r="S1062" s="378"/>
      <c r="T1062" s="378"/>
      <c r="U1062" s="378"/>
      <c r="V1062" s="378"/>
      <c r="W1062" s="378"/>
      <c r="X1062" s="378"/>
      <c r="Y1062" s="378"/>
      <c r="Z1062" s="378"/>
      <c r="AA1062" s="378"/>
      <c r="AB1062" s="378"/>
      <c r="AC1062" s="378"/>
      <c r="AD1062" s="378"/>
      <c r="AE1062" s="378"/>
      <c r="AF1062" s="378"/>
      <c r="AG1062" s="378"/>
      <c r="AH1062" s="378"/>
      <c r="AI1062" s="378"/>
      <c r="AJ1062" s="378"/>
      <c r="AK1062" s="378"/>
      <c r="AL1062" s="378"/>
      <c r="AM1062" s="378"/>
      <c r="AN1062" s="378"/>
      <c r="AO1062" s="378"/>
      <c r="AP1062" s="378"/>
      <c r="AQ1062" s="378"/>
      <c r="AR1062" s="378"/>
      <c r="AS1062" s="378"/>
      <c r="AT1062" s="378"/>
      <c r="AU1062" s="378"/>
    </row>
    <row r="1063" spans="1:47" s="532" customFormat="1" x14ac:dyDescent="0.25">
      <c r="A1063" s="378"/>
      <c r="B1063" s="2047" t="str">
        <f>+'3 INDICADORES'!B295:C295</f>
        <v>14.8 - Koc</v>
      </c>
      <c r="C1063" s="2047"/>
      <c r="D1063" s="1260"/>
      <c r="E1063" s="1260"/>
      <c r="F1063" s="1260"/>
      <c r="G1063" s="1260"/>
      <c r="H1063" s="1260"/>
      <c r="I1063" s="1260"/>
      <c r="J1063" s="1401"/>
      <c r="K1063" s="1260"/>
      <c r="L1063" s="1401"/>
      <c r="M1063" s="378"/>
      <c r="N1063" s="378"/>
      <c r="O1063" s="378"/>
      <c r="P1063" s="378"/>
      <c r="Q1063" s="378"/>
      <c r="R1063" s="378"/>
      <c r="S1063" s="378"/>
      <c r="T1063" s="378"/>
      <c r="U1063" s="378"/>
      <c r="V1063" s="378"/>
      <c r="W1063" s="378"/>
      <c r="X1063" s="378"/>
      <c r="Y1063" s="378"/>
      <c r="Z1063" s="378"/>
      <c r="AA1063" s="378"/>
      <c r="AB1063" s="378"/>
      <c r="AC1063" s="378"/>
      <c r="AD1063" s="378"/>
      <c r="AE1063" s="378"/>
      <c r="AF1063" s="378"/>
      <c r="AG1063" s="378"/>
      <c r="AH1063" s="378"/>
      <c r="AI1063" s="378"/>
      <c r="AJ1063" s="378"/>
      <c r="AK1063" s="378"/>
      <c r="AL1063" s="378"/>
      <c r="AM1063" s="378"/>
      <c r="AN1063" s="378"/>
      <c r="AO1063" s="378"/>
      <c r="AP1063" s="378"/>
      <c r="AQ1063" s="378"/>
      <c r="AR1063" s="378"/>
      <c r="AS1063" s="378"/>
      <c r="AT1063" s="378"/>
      <c r="AU1063" s="378"/>
    </row>
    <row r="1064" spans="1:47" s="532" customFormat="1" x14ac:dyDescent="0.25">
      <c r="A1064" s="378"/>
      <c r="B1064" s="2047" t="str">
        <f>+'3 INDICADORES'!B296:C296</f>
        <v>14.9 - t1/2 (DT50)</v>
      </c>
      <c r="C1064" s="2047"/>
      <c r="D1064" s="1261"/>
      <c r="E1064" s="1261"/>
      <c r="F1064" s="1261"/>
      <c r="G1064" s="1261"/>
      <c r="H1064" s="1261"/>
      <c r="I1064" s="1261"/>
      <c r="J1064" s="1402"/>
      <c r="K1064" s="1261"/>
      <c r="L1064" s="1402"/>
      <c r="M1064" s="378"/>
      <c r="N1064" s="378"/>
      <c r="O1064" s="378"/>
      <c r="P1064" s="378"/>
      <c r="Q1064" s="378"/>
      <c r="R1064" s="378"/>
      <c r="S1064" s="378"/>
      <c r="T1064" s="378"/>
      <c r="U1064" s="378"/>
      <c r="V1064" s="378"/>
      <c r="W1064" s="378"/>
      <c r="X1064" s="378"/>
      <c r="Y1064" s="378"/>
      <c r="Z1064" s="378"/>
      <c r="AA1064" s="378"/>
      <c r="AB1064" s="378"/>
      <c r="AC1064" s="378"/>
      <c r="AD1064" s="378"/>
      <c r="AE1064" s="378"/>
      <c r="AF1064" s="378"/>
      <c r="AG1064" s="378"/>
      <c r="AH1064" s="378"/>
      <c r="AI1064" s="378"/>
      <c r="AJ1064" s="378"/>
      <c r="AK1064" s="378"/>
      <c r="AL1064" s="378"/>
      <c r="AM1064" s="378"/>
      <c r="AN1064" s="378"/>
      <c r="AO1064" s="378"/>
      <c r="AP1064" s="378"/>
      <c r="AQ1064" s="378"/>
      <c r="AR1064" s="378"/>
      <c r="AS1064" s="378"/>
      <c r="AT1064" s="378"/>
      <c r="AU1064" s="378"/>
    </row>
    <row r="1065" spans="1:47" s="532" customFormat="1" x14ac:dyDescent="0.25">
      <c r="A1065" s="378"/>
      <c r="B1065" s="2140" t="s">
        <v>947</v>
      </c>
      <c r="C1065" s="2141"/>
      <c r="D1065" s="1408" t="str">
        <f t="shared" ref="D1065:L1065" si="3">IF(OR(D1064=0,D1063=0),"",IF(LOG10(D1064)*(4-LOG10(D1063))&lt;=0,0,IF(OR(LOG10(D1064)*(4-LOG10(D1063))&gt;0,),(LOG10(D1064)*(4-LOG10(D1063))),IF((LOG10(D1064)*(4-LOG10(D1063))&gt;0),(LOG10(D1064)*(4-LOG10(D1063)))))))</f>
        <v/>
      </c>
      <c r="E1065" s="1408" t="str">
        <f t="shared" si="3"/>
        <v/>
      </c>
      <c r="F1065" s="1408" t="str">
        <f t="shared" si="3"/>
        <v/>
      </c>
      <c r="G1065" s="1408" t="str">
        <f t="shared" si="3"/>
        <v/>
      </c>
      <c r="H1065" s="1408" t="str">
        <f t="shared" si="3"/>
        <v/>
      </c>
      <c r="I1065" s="1408" t="str">
        <f t="shared" si="3"/>
        <v/>
      </c>
      <c r="J1065" s="1408" t="str">
        <f t="shared" si="3"/>
        <v/>
      </c>
      <c r="K1065" s="1408" t="str">
        <f t="shared" si="3"/>
        <v/>
      </c>
      <c r="L1065" s="1420" t="str">
        <f t="shared" si="3"/>
        <v/>
      </c>
      <c r="M1065" s="378"/>
      <c r="N1065" s="378"/>
      <c r="O1065" s="378"/>
      <c r="P1065" s="378"/>
      <c r="Q1065" s="378"/>
      <c r="R1065" s="378"/>
      <c r="S1065" s="378"/>
      <c r="T1065" s="378"/>
      <c r="U1065" s="378"/>
      <c r="V1065" s="378"/>
      <c r="W1065" s="378"/>
      <c r="X1065" s="378"/>
      <c r="Y1065" s="378"/>
      <c r="Z1065" s="378"/>
      <c r="AA1065" s="378"/>
      <c r="AB1065" s="378"/>
      <c r="AC1065" s="378"/>
      <c r="AD1065" s="378"/>
      <c r="AE1065" s="378"/>
      <c r="AF1065" s="378"/>
      <c r="AG1065" s="378"/>
      <c r="AH1065" s="378"/>
      <c r="AI1065" s="378"/>
      <c r="AJ1065" s="378"/>
      <c r="AK1065" s="378"/>
      <c r="AL1065" s="378"/>
      <c r="AM1065" s="378"/>
      <c r="AN1065" s="378"/>
      <c r="AO1065" s="378"/>
      <c r="AP1065" s="378"/>
      <c r="AQ1065" s="378"/>
      <c r="AR1065" s="378"/>
      <c r="AS1065" s="378"/>
      <c r="AT1065" s="378"/>
      <c r="AU1065" s="378"/>
    </row>
    <row r="1066" spans="1:47" s="532" customFormat="1" x14ac:dyDescent="0.25">
      <c r="A1066" s="378"/>
      <c r="B1066" s="2113" t="s">
        <v>948</v>
      </c>
      <c r="C1066" s="2114"/>
      <c r="D1066" s="1421" t="str">
        <f>IF(D1060&gt;0,(IF(OR('GUIA DE APLICAÇÃO'!D999=0.83,'GUIA DE APLICAÇÃO'!D999&lt;0.83),1,IF(OR(AND(0.83&lt;'GUIA DE APLICAÇÃO'!D999,'GUIA DE APLICAÇÃO'!D999&lt;=1.66)),2,IF('GUIA DE APLICAÇÃO'!D999&gt;1.66,3,"")))),"")</f>
        <v/>
      </c>
      <c r="E1066" s="1421" t="str">
        <f>IF(E1060&gt;0,(IF(OR('GUIA DE APLICAÇÃO'!E999=0.83,'GUIA DE APLICAÇÃO'!E999&lt;0.83),1,IF(OR(AND(0.83&lt;'GUIA DE APLICAÇÃO'!E999,'GUIA DE APLICAÇÃO'!E999&lt;=1.66)),2,IF('GUIA DE APLICAÇÃO'!E999&gt;1.66,3,"")))),"")</f>
        <v/>
      </c>
      <c r="F1066" s="1421" t="str">
        <f>IF(F1060&gt;0,(IF(OR('GUIA DE APLICAÇÃO'!F999=0.83,'GUIA DE APLICAÇÃO'!F999&lt;0.83),1,IF(OR(AND(0.83&lt;'GUIA DE APLICAÇÃO'!F999,'GUIA DE APLICAÇÃO'!F999&lt;=1.66)),2,IF('GUIA DE APLICAÇÃO'!F999&gt;1.66,3,"")))),"")</f>
        <v/>
      </c>
      <c r="G1066" s="1421" t="str">
        <f>IF(G1060&gt;0,(IF(OR('GUIA DE APLICAÇÃO'!G999=0.83,'GUIA DE APLICAÇÃO'!G999&lt;0.83),1,IF(OR(AND(0.83&lt;'GUIA DE APLICAÇÃO'!G999,'GUIA DE APLICAÇÃO'!G999&lt;=1.66)),2,IF('GUIA DE APLICAÇÃO'!G999&gt;1.66,3,"")))),"")</f>
        <v/>
      </c>
      <c r="H1066" s="1421" t="str">
        <f>IF(H1060&gt;0,(IF(OR('GUIA DE APLICAÇÃO'!H999=0.83,'GUIA DE APLICAÇÃO'!H999&lt;0.83),1,IF(OR(AND(0.83&lt;'GUIA DE APLICAÇÃO'!H999,'GUIA DE APLICAÇÃO'!H999&lt;=1.66)),2,IF('GUIA DE APLICAÇÃO'!H999&gt;1.66,3,"")))),"")</f>
        <v/>
      </c>
      <c r="I1066" s="1421" t="str">
        <f>IF(I1060&gt;0,(IF(OR('GUIA DE APLICAÇÃO'!I999=0.83,'GUIA DE APLICAÇÃO'!I999&lt;0.83),1,IF(OR(AND(0.83&lt;'GUIA DE APLICAÇÃO'!I999,'GUIA DE APLICAÇÃO'!I999&lt;=1.66)),2,IF('GUIA DE APLICAÇÃO'!I999&gt;1.66,3,"")))),"")</f>
        <v/>
      </c>
      <c r="J1066" s="1421" t="str">
        <f>IF(J1060&gt;0,(IF(OR('GUIA DE APLICAÇÃO'!J999=0.83,'GUIA DE APLICAÇÃO'!J999&lt;0.83),1,IF(OR(AND(0.83&lt;'GUIA DE APLICAÇÃO'!J999,'GUIA DE APLICAÇÃO'!J999&lt;=1.66)),2,IF('GUIA DE APLICAÇÃO'!J999&gt;1.66,3,"")))),"")</f>
        <v/>
      </c>
      <c r="K1066" s="1421" t="str">
        <f>IF(K1060&gt;0,(IF(OR('GUIA DE APLICAÇÃO'!K999=0.83,'GUIA DE APLICAÇÃO'!K999&lt;0.83),1,IF(OR(AND(0.83&lt;'GUIA DE APLICAÇÃO'!K999,'GUIA DE APLICAÇÃO'!K999&lt;=1.66)),2,IF('GUIA DE APLICAÇÃO'!K999&gt;1.66,3,"")))),"")</f>
        <v/>
      </c>
      <c r="L1066" s="1421" t="str">
        <f>IF(L1060&gt;0,(IF(OR('GUIA DE APLICAÇÃO'!L999=0.83,'GUIA DE APLICAÇÃO'!L999&lt;0.83),1,IF(OR(AND(0.83&lt;'GUIA DE APLICAÇÃO'!L999,'GUIA DE APLICAÇÃO'!L999&lt;=1.66)),2,IF('GUIA DE APLICAÇÃO'!L999&gt;1.66,3,"")))),"")</f>
        <v/>
      </c>
      <c r="M1066" s="378"/>
      <c r="N1066" s="378"/>
      <c r="O1066" s="378"/>
      <c r="P1066" s="378"/>
      <c r="Q1066" s="378"/>
      <c r="R1066" s="378"/>
      <c r="S1066" s="378"/>
      <c r="T1066" s="378"/>
      <c r="U1066" s="378"/>
      <c r="V1066" s="378"/>
      <c r="W1066" s="378"/>
      <c r="X1066" s="378"/>
      <c r="Y1066" s="378"/>
      <c r="Z1066" s="378"/>
      <c r="AA1066" s="378"/>
      <c r="AB1066" s="378"/>
      <c r="AC1066" s="378"/>
      <c r="AD1066" s="378"/>
      <c r="AE1066" s="378"/>
      <c r="AF1066" s="378"/>
      <c r="AG1066" s="378"/>
      <c r="AH1066" s="378"/>
      <c r="AI1066" s="378"/>
      <c r="AJ1066" s="378"/>
      <c r="AK1066" s="378"/>
      <c r="AL1066" s="378"/>
      <c r="AM1066" s="378"/>
      <c r="AN1066" s="378"/>
      <c r="AO1066" s="378"/>
      <c r="AP1066" s="378"/>
      <c r="AQ1066" s="378"/>
      <c r="AR1066" s="378"/>
      <c r="AS1066" s="378"/>
      <c r="AT1066" s="378"/>
      <c r="AU1066" s="378"/>
    </row>
    <row r="1067" spans="1:47" s="18" customFormat="1" x14ac:dyDescent="0.25">
      <c r="A1067" s="378"/>
      <c r="B1067" s="38"/>
      <c r="C1067" s="38"/>
      <c r="D1067" s="245"/>
      <c r="E1067" s="38"/>
      <c r="F1067" s="13"/>
      <c r="G1067" s="13"/>
      <c r="H1067" s="38"/>
      <c r="I1067" s="38"/>
      <c r="J1067" s="38"/>
      <c r="K1067" s="38"/>
      <c r="L1067" s="38"/>
      <c r="M1067" s="378"/>
      <c r="N1067" s="378"/>
      <c r="O1067" s="378"/>
      <c r="P1067" s="378"/>
      <c r="Q1067" s="378"/>
      <c r="R1067" s="378"/>
      <c r="S1067" s="378"/>
      <c r="T1067" s="378"/>
      <c r="U1067" s="378"/>
      <c r="V1067" s="378"/>
      <c r="W1067" s="378"/>
      <c r="X1067" s="378"/>
      <c r="Y1067" s="378"/>
      <c r="Z1067" s="378"/>
      <c r="AA1067" s="378"/>
      <c r="AB1067" s="378"/>
      <c r="AC1067" s="378"/>
      <c r="AD1067" s="378"/>
      <c r="AE1067" s="378"/>
      <c r="AF1067" s="378"/>
      <c r="AG1067" s="378"/>
      <c r="AH1067" s="378"/>
      <c r="AI1067" s="378"/>
      <c r="AJ1067" s="378"/>
      <c r="AK1067" s="378"/>
      <c r="AL1067" s="378"/>
      <c r="AM1067" s="378"/>
      <c r="AN1067" s="378"/>
      <c r="AO1067" s="378"/>
      <c r="AP1067" s="378"/>
      <c r="AQ1067" s="378"/>
      <c r="AR1067" s="378"/>
      <c r="AS1067" s="378"/>
      <c r="AT1067" s="378"/>
      <c r="AU1067" s="378"/>
    </row>
    <row r="1068" spans="1:47" s="18" customFormat="1" ht="36" customHeight="1" x14ac:dyDescent="0.25">
      <c r="A1068" s="378"/>
      <c r="B1068" s="2124" t="str">
        <f>+'3 INDICADORES'!B300:C300</f>
        <v>14.10 - Conteúdo de argila no solo (no talhão)        &gt; 60% (1);     30% - 60% (2);        &lt;30% (3)</v>
      </c>
      <c r="C1068" s="2125"/>
      <c r="D1068" s="423"/>
      <c r="E1068" s="418"/>
      <c r="F1068" s="418"/>
      <c r="G1068" s="418"/>
      <c r="H1068" s="418"/>
      <c r="I1068" s="418"/>
      <c r="J1068" s="418"/>
      <c r="K1068" s="418"/>
      <c r="L1068" s="418"/>
      <c r="M1068" s="328"/>
      <c r="N1068" s="378"/>
      <c r="O1068" s="378"/>
      <c r="P1068" s="378"/>
      <c r="Q1068" s="378"/>
      <c r="R1068" s="378"/>
      <c r="S1068" s="378"/>
      <c r="T1068" s="378"/>
      <c r="U1068" s="378"/>
      <c r="V1068" s="378"/>
      <c r="W1068" s="378"/>
      <c r="X1068" s="378"/>
      <c r="Y1068" s="378"/>
      <c r="Z1068" s="378"/>
      <c r="AA1068" s="378"/>
      <c r="AB1068" s="378"/>
      <c r="AC1068" s="378"/>
      <c r="AD1068" s="378"/>
      <c r="AE1068" s="378"/>
      <c r="AF1068" s="378"/>
      <c r="AG1068" s="378"/>
      <c r="AH1068" s="378"/>
      <c r="AI1068" s="378"/>
      <c r="AJ1068" s="378"/>
      <c r="AK1068" s="378"/>
      <c r="AL1068" s="378"/>
      <c r="AM1068" s="378"/>
      <c r="AN1068" s="378"/>
      <c r="AO1068" s="378"/>
      <c r="AP1068" s="378"/>
      <c r="AQ1068" s="378"/>
      <c r="AR1068" s="378"/>
      <c r="AS1068" s="378"/>
      <c r="AT1068" s="378"/>
      <c r="AU1068" s="378"/>
    </row>
    <row r="1069" spans="1:47" s="18" customFormat="1" ht="37.5" customHeight="1" x14ac:dyDescent="0.25">
      <c r="A1069" s="378"/>
      <c r="B1069" s="2124" t="str">
        <f>+'3 INDICADORES'!B301:C301</f>
        <v>14.11 - Distância do curso d' água (borda do talhão)  &gt;1.000m (1);  300 - 1.000m (2);  &lt;300m (3)</v>
      </c>
      <c r="C1069" s="2125"/>
      <c r="D1069" s="423"/>
      <c r="E1069" s="418"/>
      <c r="F1069" s="418"/>
      <c r="G1069" s="418"/>
      <c r="H1069" s="418"/>
      <c r="I1069" s="418"/>
      <c r="J1069" s="418"/>
      <c r="K1069" s="418"/>
      <c r="L1069" s="418"/>
      <c r="M1069" s="328"/>
      <c r="N1069" s="378"/>
      <c r="O1069" s="378"/>
      <c r="P1069" s="378"/>
      <c r="Q1069" s="378"/>
      <c r="R1069" s="378"/>
      <c r="S1069" s="378"/>
      <c r="T1069" s="378"/>
      <c r="U1069" s="378"/>
      <c r="V1069" s="378"/>
      <c r="W1069" s="378"/>
      <c r="X1069" s="378"/>
      <c r="Y1069" s="378"/>
      <c r="Z1069" s="378"/>
      <c r="AA1069" s="378"/>
      <c r="AB1069" s="378"/>
      <c r="AC1069" s="378"/>
      <c r="AD1069" s="378"/>
      <c r="AE1069" s="378"/>
      <c r="AF1069" s="378"/>
      <c r="AG1069" s="378"/>
      <c r="AH1069" s="378"/>
      <c r="AI1069" s="378"/>
      <c r="AJ1069" s="378"/>
      <c r="AK1069" s="378"/>
      <c r="AL1069" s="378"/>
      <c r="AM1069" s="378"/>
      <c r="AN1069" s="378"/>
      <c r="AO1069" s="378"/>
      <c r="AP1069" s="378"/>
      <c r="AQ1069" s="378"/>
      <c r="AR1069" s="378"/>
      <c r="AS1069" s="378"/>
      <c r="AT1069" s="378"/>
      <c r="AU1069" s="378"/>
    </row>
    <row r="1070" spans="1:47" s="18" customFormat="1" ht="36.75" customHeight="1" x14ac:dyDescent="0.25">
      <c r="A1070" s="378"/>
      <c r="B1070" s="2124" t="str">
        <f>+'3 INDICADORES'!B302:C302</f>
        <v>14.12 - Tipo de manejo do solo: Solo protegido (1); Solo sem revolvimento (2); Solo com revolvimento (3)</v>
      </c>
      <c r="C1070" s="2125"/>
      <c r="D1070" s="423"/>
      <c r="E1070" s="418"/>
      <c r="F1070" s="418"/>
      <c r="G1070" s="418"/>
      <c r="H1070" s="418"/>
      <c r="I1070" s="418"/>
      <c r="J1070" s="418"/>
      <c r="K1070" s="418"/>
      <c r="L1070" s="418"/>
      <c r="M1070" s="328"/>
      <c r="N1070" s="378"/>
      <c r="O1070" s="378"/>
      <c r="P1070" s="378"/>
      <c r="Q1070" s="378"/>
      <c r="R1070" s="378"/>
      <c r="S1070" s="378"/>
      <c r="T1070" s="378"/>
      <c r="U1070" s="378"/>
      <c r="V1070" s="378"/>
      <c r="W1070" s="378"/>
      <c r="X1070" s="378"/>
      <c r="Y1070" s="378"/>
      <c r="Z1070" s="378"/>
      <c r="AA1070" s="378"/>
      <c r="AB1070" s="378"/>
      <c r="AC1070" s="378"/>
      <c r="AD1070" s="378"/>
      <c r="AE1070" s="378"/>
      <c r="AF1070" s="378"/>
      <c r="AG1070" s="378"/>
      <c r="AH1070" s="378"/>
      <c r="AI1070" s="378"/>
      <c r="AJ1070" s="378"/>
      <c r="AK1070" s="378"/>
      <c r="AL1070" s="378"/>
      <c r="AM1070" s="378"/>
      <c r="AN1070" s="378"/>
      <c r="AO1070" s="378"/>
      <c r="AP1070" s="378"/>
      <c r="AQ1070" s="378"/>
      <c r="AR1070" s="378"/>
      <c r="AS1070" s="378"/>
      <c r="AT1070" s="378"/>
      <c r="AU1070" s="378"/>
    </row>
    <row r="1071" spans="1:47" s="18" customFormat="1" ht="15" customHeight="1" x14ac:dyDescent="0.25">
      <c r="A1071" s="378"/>
      <c r="B1071" s="2120" t="s">
        <v>950</v>
      </c>
      <c r="C1071" s="2139"/>
      <c r="D1071" s="1422" t="str">
        <f>IF(D1056&gt;0,(IF(OR(AND(1&lt;='GUIA DE APLICAÇÃO'!D1000,'GUIA DE APLICAÇÃO'!D1000&lt;=3)),1,IF(OR(AND(3&lt;'GUIA DE APLICAÇÃO'!D1000,'GUIA DE APLICAÇÃO'!D1000&lt;=9)),2,IF('GUIA DE APLICAÇÃO'!D1000&gt;9,3)))),"")</f>
        <v/>
      </c>
      <c r="E1071" s="1422" t="str">
        <f>IF(E1056&gt;0,(IF(OR(AND(1&lt;='GUIA DE APLICAÇÃO'!E1000,'GUIA DE APLICAÇÃO'!E1000&lt;=3)),1,IF(OR(AND(3&lt;'GUIA DE APLICAÇÃO'!E1000,'GUIA DE APLICAÇÃO'!E1000&lt;=9)),2,IF('GUIA DE APLICAÇÃO'!E1000&gt;9,3)))),"")</f>
        <v/>
      </c>
      <c r="F1071" s="1422" t="str">
        <f>IF(F1056&gt;0,(IF(OR(AND(1&lt;='GUIA DE APLICAÇÃO'!F1000,'GUIA DE APLICAÇÃO'!F1000&lt;=3)),1,IF(OR(AND(3&lt;'GUIA DE APLICAÇÃO'!F1000,'GUIA DE APLICAÇÃO'!F1000&lt;=9)),2,IF('GUIA DE APLICAÇÃO'!F1000&gt;9,3)))),"")</f>
        <v/>
      </c>
      <c r="G1071" s="1422" t="str">
        <f>IF(G1056&gt;0,(IF(OR(AND(1&lt;='GUIA DE APLICAÇÃO'!G1000,'GUIA DE APLICAÇÃO'!G1000&lt;=3)),1,IF(OR(AND(3&lt;'GUIA DE APLICAÇÃO'!G1000,'GUIA DE APLICAÇÃO'!G1000&lt;=9)),2,IF('GUIA DE APLICAÇÃO'!G1000&gt;9,3)))),"")</f>
        <v/>
      </c>
      <c r="H1071" s="1422" t="str">
        <f>IF(H1056&gt;0,(IF(OR(AND(1&lt;='GUIA DE APLICAÇÃO'!H1000,'GUIA DE APLICAÇÃO'!H1000&lt;=3)),1,IF(OR(AND(3&lt;'GUIA DE APLICAÇÃO'!H1000,'GUIA DE APLICAÇÃO'!H1000&lt;=9)),2,IF('GUIA DE APLICAÇÃO'!H1000&gt;9,3)))),"")</f>
        <v/>
      </c>
      <c r="I1071" s="1422" t="str">
        <f>IF(I1056&gt;0,(IF(OR(AND(1&lt;='GUIA DE APLICAÇÃO'!I1000,'GUIA DE APLICAÇÃO'!I1000&lt;=3)),1,IF(OR(AND(3&lt;'GUIA DE APLICAÇÃO'!I1000,'GUIA DE APLICAÇÃO'!I1000&lt;=9)),2,IF('GUIA DE APLICAÇÃO'!I1000&gt;9,3)))),"")</f>
        <v/>
      </c>
      <c r="J1071" s="1422" t="str">
        <f>IF(J1056&gt;0,(IF(OR(AND(1&lt;='GUIA DE APLICAÇÃO'!J1000,'GUIA DE APLICAÇÃO'!J1000&lt;=3)),1,IF(OR(AND(3&lt;'GUIA DE APLICAÇÃO'!J1000,'GUIA DE APLICAÇÃO'!J1000&lt;=9)),2,IF('GUIA DE APLICAÇÃO'!J1000&gt;9,3)))),"")</f>
        <v/>
      </c>
      <c r="K1071" s="1422" t="str">
        <f>IF(K1056&gt;0,(IF(OR(AND(1&lt;='GUIA DE APLICAÇÃO'!K1000,'GUIA DE APLICAÇÃO'!K1000&lt;=3)),1,IF(OR(AND(3&lt;'GUIA DE APLICAÇÃO'!K1000,'GUIA DE APLICAÇÃO'!K1000&lt;=9)),2,IF('GUIA DE APLICAÇÃO'!K1000&gt;9,3)))),"")</f>
        <v/>
      </c>
      <c r="L1071" s="1424" t="str">
        <f>IF(L1056&gt;0,(IF(OR(AND(1&lt;='GUIA DE APLICAÇÃO'!L1000,'GUIA DE APLICAÇÃO'!L1000&lt;=3)),1,IF(OR(AND(3&lt;'GUIA DE APLICAÇÃO'!L1000,'GUIA DE APLICAÇÃO'!L1000&lt;=9)),2,IF('GUIA DE APLICAÇÃO'!L1000&gt;9,3)))),"")</f>
        <v/>
      </c>
      <c r="M1071" s="328"/>
      <c r="N1071" s="378"/>
      <c r="O1071" s="378"/>
      <c r="P1071" s="378"/>
      <c r="Q1071" s="378"/>
      <c r="R1071" s="378"/>
      <c r="S1071" s="378"/>
      <c r="T1071" s="378"/>
      <c r="U1071" s="378"/>
      <c r="V1071" s="378"/>
      <c r="W1071" s="378"/>
      <c r="X1071" s="378"/>
      <c r="Y1071" s="378"/>
      <c r="Z1071" s="378"/>
      <c r="AA1071" s="378"/>
      <c r="AB1071" s="378"/>
      <c r="AC1071" s="378"/>
      <c r="AD1071" s="378"/>
      <c r="AE1071" s="378"/>
      <c r="AF1071" s="378"/>
      <c r="AG1071" s="378"/>
      <c r="AH1071" s="378"/>
      <c r="AI1071" s="378"/>
      <c r="AJ1071" s="378"/>
      <c r="AK1071" s="378"/>
      <c r="AL1071" s="378"/>
      <c r="AM1071" s="378"/>
      <c r="AN1071" s="378"/>
      <c r="AO1071" s="378"/>
      <c r="AP1071" s="378"/>
      <c r="AQ1071" s="378"/>
      <c r="AR1071" s="378"/>
      <c r="AS1071" s="378"/>
      <c r="AT1071" s="378"/>
      <c r="AU1071" s="378"/>
    </row>
    <row r="1072" spans="1:47" s="18" customFormat="1" x14ac:dyDescent="0.25">
      <c r="A1072" s="378"/>
      <c r="B1072" s="38"/>
      <c r="C1072" s="38"/>
      <c r="D1072" s="1425"/>
      <c r="E1072" s="43"/>
      <c r="F1072" s="438"/>
      <c r="G1072" s="438"/>
      <c r="H1072" s="43"/>
      <c r="I1072" s="43"/>
      <c r="J1072" s="43"/>
      <c r="K1072" s="43"/>
      <c r="L1072" s="43"/>
      <c r="M1072" s="378"/>
      <c r="N1072" s="378"/>
      <c r="O1072" s="378"/>
      <c r="P1072" s="378"/>
      <c r="Q1072" s="378"/>
      <c r="R1072" s="378"/>
      <c r="S1072" s="378"/>
      <c r="T1072" s="378"/>
      <c r="U1072" s="378"/>
      <c r="V1072" s="378"/>
      <c r="W1072" s="378"/>
      <c r="X1072" s="378"/>
      <c r="Y1072" s="378"/>
      <c r="Z1072" s="378"/>
      <c r="AA1072" s="378"/>
      <c r="AB1072" s="378"/>
      <c r="AC1072" s="378"/>
      <c r="AD1072" s="378"/>
      <c r="AE1072" s="378"/>
      <c r="AF1072" s="378"/>
      <c r="AG1072" s="378"/>
      <c r="AH1072" s="378"/>
      <c r="AI1072" s="378"/>
      <c r="AJ1072" s="378"/>
      <c r="AK1072" s="378"/>
      <c r="AL1072" s="378"/>
      <c r="AM1072" s="378"/>
      <c r="AN1072" s="378"/>
      <c r="AO1072" s="378"/>
      <c r="AP1072" s="378"/>
      <c r="AQ1072" s="378"/>
      <c r="AR1072" s="378"/>
      <c r="AS1072" s="378"/>
      <c r="AT1072" s="378"/>
      <c r="AU1072" s="378"/>
    </row>
    <row r="1073" spans="1:47" s="18" customFormat="1" x14ac:dyDescent="0.25">
      <c r="A1073" s="378"/>
      <c r="B1073" s="2111" t="s">
        <v>949</v>
      </c>
      <c r="C1073" s="2112"/>
      <c r="D1073" s="1423" t="str">
        <f>IF(D1056&gt;0,(IF(OR(AND(1&lt;='GUIA DE APLICAÇÃO'!D1002,'GUIA DE APLICAÇÃO'!D1002&lt;=2)),1,IF(OR(AND(2&lt;'GUIA DE APLICAÇÃO'!D1002,'GUIA DE APLICAÇÃO'!D1002&lt;=4)),2,IF('GUIA DE APLICAÇÃO'!D1002&gt;4,3)))),"")</f>
        <v/>
      </c>
      <c r="E1073" s="1423" t="str">
        <f>IF(E1056&gt;0,(IF(OR(AND(1&lt;='GUIA DE APLICAÇÃO'!E1002,'GUIA DE APLICAÇÃO'!E1002&lt;=2)),1,IF(OR(AND(2&lt;'GUIA DE APLICAÇÃO'!E1002,'GUIA DE APLICAÇÃO'!E1002&lt;=4)),2,IF('GUIA DE APLICAÇÃO'!E1002&gt;4,3)))),"")</f>
        <v/>
      </c>
      <c r="F1073" s="1423" t="str">
        <f>IF(F1056&gt;0,(IF(OR(AND(1&lt;='GUIA DE APLICAÇÃO'!F1002,'GUIA DE APLICAÇÃO'!F1002&lt;=2)),1,IF(OR(AND(2&lt;'GUIA DE APLICAÇÃO'!F1002,'GUIA DE APLICAÇÃO'!F1002&lt;=4)),2,IF('GUIA DE APLICAÇÃO'!F1002&gt;4,3)))),"")</f>
        <v/>
      </c>
      <c r="G1073" s="1423" t="str">
        <f>IF(G1056&gt;0,(IF(OR(AND(1&lt;='GUIA DE APLICAÇÃO'!G1002,'GUIA DE APLICAÇÃO'!G1002&lt;=2)),1,IF(OR(AND(2&lt;'GUIA DE APLICAÇÃO'!G1002,'GUIA DE APLICAÇÃO'!G1002&lt;=4)),2,IF('GUIA DE APLICAÇÃO'!G1002&gt;4,3)))),"")</f>
        <v/>
      </c>
      <c r="H1073" s="1423" t="str">
        <f>IF(H1056&gt;0,(IF(OR(AND(1&lt;='GUIA DE APLICAÇÃO'!H1002,'GUIA DE APLICAÇÃO'!H1002&lt;=2)),1,IF(OR(AND(2&lt;'GUIA DE APLICAÇÃO'!H1002,'GUIA DE APLICAÇÃO'!H1002&lt;=4)),2,IF('GUIA DE APLICAÇÃO'!H1002&gt;4,3)))),"")</f>
        <v/>
      </c>
      <c r="I1073" s="1423" t="str">
        <f>IF(I1056&gt;0,(IF(OR(AND(1&lt;='GUIA DE APLICAÇÃO'!I1002,'GUIA DE APLICAÇÃO'!I1002&lt;=2)),1,IF(OR(AND(2&lt;'GUIA DE APLICAÇÃO'!I1002,'GUIA DE APLICAÇÃO'!I1002&lt;=4)),2,IF('GUIA DE APLICAÇÃO'!I1002&gt;4,3)))),"")</f>
        <v/>
      </c>
      <c r="J1073" s="1423" t="str">
        <f>IF(J1056&gt;0,(IF(OR(AND(1&lt;='GUIA DE APLICAÇÃO'!J1002,'GUIA DE APLICAÇÃO'!J1002&lt;=2)),1,IF(OR(AND(2&lt;'GUIA DE APLICAÇÃO'!J1002,'GUIA DE APLICAÇÃO'!J1002&lt;=4)),2,IF('GUIA DE APLICAÇÃO'!J1002&gt;4,3)))),"")</f>
        <v/>
      </c>
      <c r="K1073" s="1423" t="str">
        <f>IF(K1056&gt;0,(IF(OR(AND(1&lt;='GUIA DE APLICAÇÃO'!K1002,'GUIA DE APLICAÇÃO'!K1002&lt;=2)),1,IF(OR(AND(2&lt;'GUIA DE APLICAÇÃO'!K1002,'GUIA DE APLICAÇÃO'!K1002&lt;=4)),2,IF('GUIA DE APLICAÇÃO'!K1002&gt;4,3)))),"")</f>
        <v/>
      </c>
      <c r="L1073" s="1423" t="str">
        <f>IF(L1056&gt;0,(IF(OR(AND(1&lt;='GUIA DE APLICAÇÃO'!L1002,'GUIA DE APLICAÇÃO'!L1002&lt;=2)),1,IF(OR(AND(2&lt;'GUIA DE APLICAÇÃO'!L1002,'GUIA DE APLICAÇÃO'!L1002&lt;=4)),2,IF('GUIA DE APLICAÇÃO'!L1002&gt;4,3)))),"")</f>
        <v/>
      </c>
      <c r="M1073" s="378"/>
      <c r="N1073" s="378"/>
      <c r="O1073" s="378"/>
      <c r="P1073" s="378"/>
      <c r="Q1073" s="378"/>
      <c r="R1073" s="378"/>
      <c r="S1073" s="378"/>
      <c r="T1073" s="378"/>
      <c r="U1073" s="378"/>
      <c r="V1073" s="378"/>
      <c r="W1073" s="378"/>
      <c r="X1073" s="378"/>
      <c r="Y1073" s="378"/>
      <c r="Z1073" s="378"/>
      <c r="AA1073" s="378"/>
      <c r="AB1073" s="378"/>
      <c r="AC1073" s="378"/>
      <c r="AD1073" s="378"/>
      <c r="AE1073" s="378"/>
      <c r="AF1073" s="378"/>
      <c r="AG1073" s="378"/>
      <c r="AH1073" s="378"/>
      <c r="AI1073" s="378"/>
      <c r="AJ1073" s="378"/>
      <c r="AK1073" s="378"/>
      <c r="AL1073" s="378"/>
      <c r="AM1073" s="378"/>
      <c r="AN1073" s="378"/>
      <c r="AO1073" s="378"/>
      <c r="AP1073" s="378"/>
      <c r="AQ1073" s="378"/>
      <c r="AR1073" s="378"/>
      <c r="AS1073" s="378"/>
      <c r="AT1073" s="378"/>
      <c r="AU1073" s="378"/>
    </row>
    <row r="1074" spans="1:47" s="18" customFormat="1" x14ac:dyDescent="0.25">
      <c r="A1074" s="378"/>
      <c r="B1074" s="3"/>
      <c r="C1074" s="3"/>
      <c r="D1074" s="3"/>
      <c r="E1074" s="3"/>
      <c r="F1074" s="3"/>
      <c r="G1074" s="3"/>
      <c r="H1074" s="3"/>
      <c r="I1074" s="3"/>
      <c r="J1074" s="3"/>
      <c r="K1074" s="3"/>
      <c r="L1074" s="3"/>
      <c r="M1074" s="378"/>
      <c r="N1074" s="378"/>
      <c r="O1074" s="378"/>
      <c r="P1074" s="378"/>
      <c r="Q1074" s="378"/>
      <c r="R1074" s="378"/>
      <c r="S1074" s="378"/>
      <c r="T1074" s="378"/>
      <c r="U1074" s="378"/>
      <c r="V1074" s="378"/>
      <c r="W1074" s="378"/>
      <c r="X1074" s="378"/>
      <c r="Y1074" s="378"/>
      <c r="Z1074" s="378"/>
      <c r="AA1074" s="378"/>
      <c r="AB1074" s="378"/>
      <c r="AC1074" s="378"/>
      <c r="AD1074" s="378"/>
      <c r="AE1074" s="378"/>
      <c r="AF1074" s="378"/>
      <c r="AG1074" s="378"/>
      <c r="AH1074" s="378"/>
      <c r="AI1074" s="378"/>
      <c r="AJ1074" s="378"/>
      <c r="AK1074" s="378"/>
      <c r="AL1074" s="378"/>
      <c r="AM1074" s="378"/>
      <c r="AN1074" s="378"/>
      <c r="AO1074" s="378"/>
      <c r="AP1074" s="378"/>
      <c r="AQ1074" s="378"/>
      <c r="AR1074" s="378"/>
      <c r="AS1074" s="378"/>
      <c r="AT1074" s="378"/>
      <c r="AU1074" s="378"/>
    </row>
    <row r="1075" spans="1:47" s="18" customFormat="1" x14ac:dyDescent="0.25">
      <c r="A1075" s="378"/>
      <c r="B1075" s="2107" t="str">
        <f>+'3 INDICADORES'!B285:C285</f>
        <v>14.1 - Nome comercial do produto</v>
      </c>
      <c r="C1075" s="2108"/>
      <c r="D1075" s="1229"/>
      <c r="E1075" s="1229"/>
      <c r="F1075" s="1229"/>
      <c r="G1075" s="1229"/>
      <c r="H1075" s="1229"/>
      <c r="I1075" s="1403"/>
      <c r="J1075" s="3"/>
      <c r="K1075" s="3"/>
      <c r="L1075" s="3"/>
      <c r="M1075" s="378"/>
      <c r="N1075" s="378"/>
      <c r="O1075" s="378"/>
      <c r="P1075" s="378"/>
      <c r="Q1075" s="378"/>
      <c r="R1075" s="378"/>
      <c r="S1075" s="378"/>
      <c r="T1075" s="378"/>
      <c r="U1075" s="378"/>
      <c r="V1075" s="378"/>
      <c r="W1075" s="378"/>
      <c r="X1075" s="378"/>
      <c r="Y1075" s="378"/>
      <c r="Z1075" s="378"/>
      <c r="AA1075" s="378"/>
      <c r="AB1075" s="378"/>
      <c r="AC1075" s="378"/>
      <c r="AD1075" s="378"/>
      <c r="AE1075" s="378"/>
      <c r="AF1075" s="378"/>
      <c r="AG1075" s="378"/>
      <c r="AH1075" s="378"/>
      <c r="AI1075" s="378"/>
      <c r="AJ1075" s="378"/>
      <c r="AK1075" s="378"/>
      <c r="AL1075" s="378"/>
      <c r="AM1075" s="378"/>
      <c r="AN1075" s="378"/>
      <c r="AO1075" s="378"/>
      <c r="AP1075" s="378"/>
      <c r="AQ1075" s="378"/>
      <c r="AR1075" s="378"/>
      <c r="AS1075" s="378"/>
      <c r="AT1075" s="378"/>
      <c r="AU1075" s="378"/>
    </row>
    <row r="1076" spans="1:47" s="18" customFormat="1" x14ac:dyDescent="0.25">
      <c r="A1076" s="378"/>
      <c r="B1076" s="2107" t="str">
        <f>+'3 INDICADORES'!B286:C286</f>
        <v>14.2 - Descrição da cultura ou do talhão</v>
      </c>
      <c r="C1076" s="2108"/>
      <c r="D1076" s="422"/>
      <c r="E1076" s="422"/>
      <c r="F1076" s="422"/>
      <c r="G1076" s="422"/>
      <c r="H1076" s="422"/>
      <c r="I1076" s="425"/>
      <c r="J1076" s="3"/>
      <c r="K1076" s="3"/>
      <c r="L1076" s="3"/>
      <c r="M1076" s="378"/>
      <c r="N1076" s="378"/>
      <c r="O1076" s="378"/>
      <c r="P1076" s="378"/>
      <c r="Q1076" s="378"/>
      <c r="R1076" s="378"/>
      <c r="S1076" s="378"/>
      <c r="T1076" s="378"/>
      <c r="U1076" s="378"/>
      <c r="V1076" s="378"/>
      <c r="W1076" s="378"/>
      <c r="X1076" s="378"/>
      <c r="Y1076" s="378"/>
      <c r="Z1076" s="378"/>
      <c r="AA1076" s="378"/>
      <c r="AB1076" s="378"/>
      <c r="AC1076" s="378"/>
      <c r="AD1076" s="378"/>
      <c r="AE1076" s="378"/>
      <c r="AF1076" s="378"/>
      <c r="AG1076" s="378"/>
      <c r="AH1076" s="378"/>
      <c r="AI1076" s="378"/>
      <c r="AJ1076" s="378"/>
      <c r="AK1076" s="378"/>
      <c r="AL1076" s="378"/>
      <c r="AM1076" s="378"/>
      <c r="AN1076" s="378"/>
      <c r="AO1076" s="378"/>
      <c r="AP1076" s="378"/>
      <c r="AQ1076" s="378"/>
      <c r="AR1076" s="378"/>
      <c r="AS1076" s="378"/>
      <c r="AT1076" s="378"/>
      <c r="AU1076" s="378"/>
    </row>
    <row r="1077" spans="1:47" s="18" customFormat="1" x14ac:dyDescent="0.25">
      <c r="A1077" s="378"/>
      <c r="B1077" s="2107" t="str">
        <f>+'3 INDICADORES'!B287:C287</f>
        <v>14.3 - Área aplicada (ha)</v>
      </c>
      <c r="C1077" s="2108"/>
      <c r="D1077" s="1243"/>
      <c r="E1077" s="1243"/>
      <c r="F1077" s="1243"/>
      <c r="G1077" s="1243"/>
      <c r="H1077" s="1243"/>
      <c r="I1077" s="1404"/>
      <c r="J1077" s="3"/>
      <c r="K1077" s="3"/>
      <c r="L1077" s="3"/>
      <c r="M1077" s="378"/>
      <c r="N1077" s="378"/>
      <c r="O1077" s="378"/>
      <c r="P1077" s="378"/>
      <c r="Q1077" s="378"/>
      <c r="R1077" s="378"/>
      <c r="S1077" s="378"/>
      <c r="T1077" s="378"/>
      <c r="U1077" s="378"/>
      <c r="V1077" s="378"/>
      <c r="W1077" s="378"/>
      <c r="X1077" s="378"/>
      <c r="Y1077" s="378"/>
      <c r="Z1077" s="378"/>
      <c r="AA1077" s="378"/>
      <c r="AB1077" s="378"/>
      <c r="AC1077" s="378"/>
      <c r="AD1077" s="378"/>
      <c r="AE1077" s="378"/>
      <c r="AF1077" s="378"/>
      <c r="AG1077" s="378"/>
      <c r="AH1077" s="378"/>
      <c r="AI1077" s="378"/>
      <c r="AJ1077" s="378"/>
      <c r="AK1077" s="378"/>
      <c r="AL1077" s="378"/>
      <c r="AM1077" s="378"/>
      <c r="AN1077" s="378"/>
      <c r="AO1077" s="378"/>
      <c r="AP1077" s="378"/>
      <c r="AQ1077" s="378"/>
      <c r="AR1077" s="378"/>
      <c r="AS1077" s="378"/>
      <c r="AT1077" s="378"/>
      <c r="AU1077" s="378"/>
    </row>
    <row r="1078" spans="1:47" s="18" customFormat="1" x14ac:dyDescent="0.25">
      <c r="A1078" s="378"/>
      <c r="B1078" s="2107" t="str">
        <f>+'3 INDICADORES'!B288:C288</f>
        <v xml:space="preserve">14.4 - Volume aplicado L/ha ou kg/ha </v>
      </c>
      <c r="C1078" s="2108"/>
      <c r="D1078" s="1231"/>
      <c r="E1078" s="1231"/>
      <c r="F1078" s="1231"/>
      <c r="G1078" s="1231"/>
      <c r="H1078" s="1231"/>
      <c r="I1078" s="1242"/>
      <c r="J1078" s="3"/>
      <c r="K1078" s="3"/>
      <c r="L1078" s="3"/>
      <c r="M1078" s="378"/>
      <c r="N1078" s="378"/>
      <c r="O1078" s="378"/>
      <c r="P1078" s="378"/>
      <c r="Q1078" s="378"/>
      <c r="R1078" s="378"/>
      <c r="S1078" s="378"/>
      <c r="T1078" s="378"/>
      <c r="U1078" s="378"/>
      <c r="V1078" s="378"/>
      <c r="W1078" s="378"/>
      <c r="X1078" s="378"/>
      <c r="Y1078" s="378"/>
      <c r="Z1078" s="378"/>
      <c r="AA1078" s="378"/>
      <c r="AB1078" s="378"/>
      <c r="AC1078" s="378"/>
      <c r="AD1078" s="378"/>
      <c r="AE1078" s="378"/>
      <c r="AF1078" s="378"/>
      <c r="AG1078" s="378"/>
      <c r="AH1078" s="378"/>
      <c r="AI1078" s="378"/>
      <c r="AJ1078" s="378"/>
      <c r="AK1078" s="378"/>
      <c r="AL1078" s="378"/>
      <c r="AM1078" s="378"/>
      <c r="AN1078" s="378"/>
      <c r="AO1078" s="378"/>
      <c r="AP1078" s="378"/>
      <c r="AQ1078" s="378"/>
      <c r="AR1078" s="378"/>
      <c r="AS1078" s="378"/>
      <c r="AT1078" s="378"/>
      <c r="AU1078" s="378"/>
    </row>
    <row r="1079" spans="1:47" s="18" customFormat="1" x14ac:dyDescent="0.25">
      <c r="A1079" s="378"/>
      <c r="B1079" s="2109" t="s">
        <v>483</v>
      </c>
      <c r="C1079" s="2110"/>
      <c r="D1079" s="1232">
        <f t="shared" ref="D1079:I1079" si="4">+D1078*D1077</f>
        <v>0</v>
      </c>
      <c r="E1079" s="1232">
        <f t="shared" si="4"/>
        <v>0</v>
      </c>
      <c r="F1079" s="1232">
        <f t="shared" si="4"/>
        <v>0</v>
      </c>
      <c r="G1079" s="1232">
        <f t="shared" si="4"/>
        <v>0</v>
      </c>
      <c r="H1079" s="1232">
        <f t="shared" si="4"/>
        <v>0</v>
      </c>
      <c r="I1079" s="1232">
        <f t="shared" si="4"/>
        <v>0</v>
      </c>
      <c r="J1079" s="3"/>
      <c r="K1079" s="3"/>
      <c r="L1079" s="3"/>
      <c r="M1079" s="378"/>
      <c r="N1079" s="378"/>
      <c r="O1079" s="378"/>
      <c r="P1079" s="378"/>
      <c r="Q1079" s="378"/>
      <c r="R1079" s="378"/>
      <c r="S1079" s="378"/>
      <c r="T1079" s="378"/>
      <c r="U1079" s="378"/>
      <c r="V1079" s="378"/>
      <c r="W1079" s="378"/>
      <c r="X1079" s="378"/>
      <c r="Y1079" s="378"/>
      <c r="Z1079" s="378"/>
      <c r="AA1079" s="378"/>
      <c r="AB1079" s="378"/>
      <c r="AC1079" s="378"/>
      <c r="AD1079" s="378"/>
      <c r="AE1079" s="378"/>
      <c r="AF1079" s="378"/>
      <c r="AG1079" s="378"/>
      <c r="AH1079" s="378"/>
      <c r="AI1079" s="378"/>
      <c r="AJ1079" s="378"/>
      <c r="AK1079" s="378"/>
      <c r="AL1079" s="378"/>
      <c r="AM1079" s="378"/>
      <c r="AN1079" s="378"/>
      <c r="AO1079" s="378"/>
      <c r="AP1079" s="378"/>
      <c r="AQ1079" s="378"/>
      <c r="AR1079" s="378"/>
      <c r="AS1079" s="378"/>
      <c r="AT1079" s="378"/>
      <c r="AU1079" s="378"/>
    </row>
    <row r="1080" spans="1:47" s="18" customFormat="1" x14ac:dyDescent="0.25">
      <c r="A1080" s="378"/>
      <c r="B1080" s="38"/>
      <c r="C1080" s="38"/>
      <c r="D1080" s="38"/>
      <c r="E1080" s="38"/>
      <c r="F1080" s="38"/>
      <c r="G1080" s="38"/>
      <c r="H1080" s="38"/>
      <c r="I1080" s="38"/>
      <c r="J1080" s="3"/>
      <c r="K1080" s="3"/>
      <c r="L1080" s="3"/>
      <c r="M1080" s="378"/>
      <c r="N1080" s="378"/>
      <c r="O1080" s="378"/>
      <c r="P1080" s="378"/>
      <c r="Q1080" s="378"/>
      <c r="R1080" s="378"/>
      <c r="S1080" s="378"/>
      <c r="T1080" s="378"/>
      <c r="U1080" s="378"/>
      <c r="V1080" s="378"/>
      <c r="W1080" s="378"/>
      <c r="X1080" s="378"/>
      <c r="Y1080" s="378"/>
      <c r="Z1080" s="378"/>
      <c r="AA1080" s="378"/>
      <c r="AB1080" s="378"/>
      <c r="AC1080" s="378"/>
      <c r="AD1080" s="378"/>
      <c r="AE1080" s="378"/>
      <c r="AF1080" s="378"/>
      <c r="AG1080" s="378"/>
      <c r="AH1080" s="378"/>
      <c r="AI1080" s="378"/>
      <c r="AJ1080" s="378"/>
      <c r="AK1080" s="378"/>
      <c r="AL1080" s="378"/>
      <c r="AM1080" s="378"/>
      <c r="AN1080" s="378"/>
      <c r="AO1080" s="378"/>
      <c r="AP1080" s="378"/>
      <c r="AQ1080" s="378"/>
      <c r="AR1080" s="378"/>
      <c r="AS1080" s="378"/>
      <c r="AT1080" s="378"/>
      <c r="AU1080" s="378"/>
    </row>
    <row r="1081" spans="1:47" s="532" customFormat="1" x14ac:dyDescent="0.25">
      <c r="A1081" s="378"/>
      <c r="B1081" s="2107" t="str">
        <f>+'3 INDICADORES'!B291:C291</f>
        <v>14.5 - Princípio ativo do produto</v>
      </c>
      <c r="C1081" s="2108"/>
      <c r="D1081" s="1253"/>
      <c r="E1081" s="1253"/>
      <c r="F1081" s="1253"/>
      <c r="G1081" s="1253"/>
      <c r="H1081" s="1253"/>
      <c r="I1081" s="425"/>
      <c r="J1081" s="3"/>
      <c r="K1081" s="3"/>
      <c r="L1081" s="3"/>
      <c r="M1081" s="378"/>
      <c r="N1081" s="378"/>
      <c r="O1081" s="378"/>
      <c r="P1081" s="378"/>
      <c r="Q1081" s="378"/>
      <c r="R1081" s="378"/>
      <c r="S1081" s="378"/>
      <c r="T1081" s="378"/>
      <c r="U1081" s="378"/>
      <c r="V1081" s="378"/>
      <c r="W1081" s="378"/>
      <c r="X1081" s="378"/>
      <c r="Y1081" s="378"/>
      <c r="Z1081" s="378"/>
      <c r="AA1081" s="378"/>
      <c r="AB1081" s="378"/>
      <c r="AC1081" s="378"/>
      <c r="AD1081" s="378"/>
      <c r="AE1081" s="378"/>
      <c r="AF1081" s="378"/>
      <c r="AG1081" s="378"/>
      <c r="AH1081" s="378"/>
      <c r="AI1081" s="378"/>
      <c r="AJ1081" s="378"/>
      <c r="AK1081" s="378"/>
      <c r="AL1081" s="378"/>
      <c r="AM1081" s="378"/>
      <c r="AN1081" s="378"/>
      <c r="AO1081" s="378"/>
      <c r="AP1081" s="378"/>
      <c r="AQ1081" s="378"/>
      <c r="AR1081" s="378"/>
      <c r="AS1081" s="378"/>
      <c r="AT1081" s="378"/>
      <c r="AU1081" s="378"/>
    </row>
    <row r="1082" spans="1:47" s="532" customFormat="1" x14ac:dyDescent="0.25">
      <c r="A1082" s="378"/>
      <c r="B1082" s="2107" t="str">
        <f>+'3 INDICADORES'!B292:C292</f>
        <v>14.6 - Toxicidade para peixes - 96h LC50 (mg L-1)</v>
      </c>
      <c r="C1082" s="2108"/>
      <c r="D1082" s="1257"/>
      <c r="E1082" s="1257"/>
      <c r="F1082" s="1257"/>
      <c r="G1082" s="1257"/>
      <c r="H1082" s="1257"/>
      <c r="I1082" s="1399"/>
      <c r="J1082" s="3"/>
      <c r="K1082" s="3"/>
      <c r="L1082" s="3"/>
      <c r="M1082" s="378"/>
      <c r="N1082" s="378"/>
      <c r="O1082" s="378"/>
      <c r="P1082" s="378"/>
      <c r="Q1082" s="378"/>
      <c r="R1082" s="378"/>
      <c r="S1082" s="378"/>
      <c r="T1082" s="378"/>
      <c r="U1082" s="378"/>
      <c r="V1082" s="378"/>
      <c r="W1082" s="378"/>
      <c r="X1082" s="378"/>
      <c r="Y1082" s="378"/>
      <c r="Z1082" s="378"/>
      <c r="AA1082" s="378"/>
      <c r="AB1082" s="378"/>
      <c r="AC1082" s="378"/>
      <c r="AD1082" s="378"/>
      <c r="AE1082" s="378"/>
      <c r="AF1082" s="378"/>
      <c r="AG1082" s="378"/>
      <c r="AH1082" s="378"/>
      <c r="AI1082" s="378"/>
      <c r="AJ1082" s="378"/>
      <c r="AK1082" s="378"/>
      <c r="AL1082" s="378"/>
      <c r="AM1082" s="378"/>
      <c r="AN1082" s="378"/>
      <c r="AO1082" s="378"/>
      <c r="AP1082" s="378"/>
      <c r="AQ1082" s="378"/>
      <c r="AR1082" s="378"/>
      <c r="AS1082" s="378"/>
      <c r="AT1082" s="378"/>
      <c r="AU1082" s="378"/>
    </row>
    <row r="1083" spans="1:47" s="532" customFormat="1" x14ac:dyDescent="0.25">
      <c r="A1083" s="378"/>
      <c r="B1083" s="2107" t="str">
        <f>+'3 INDICADORES'!B293:C293</f>
        <v>14.7 - Toxicidade - DAH (mg kg-1 dia-1)</v>
      </c>
      <c r="C1083" s="2108"/>
      <c r="D1083" s="1258"/>
      <c r="E1083" s="1258"/>
      <c r="F1083" s="1258"/>
      <c r="G1083" s="1258"/>
      <c r="H1083" s="1258"/>
      <c r="I1083" s="1400"/>
      <c r="J1083" s="3"/>
      <c r="K1083" s="3"/>
      <c r="L1083" s="3"/>
      <c r="M1083" s="378"/>
      <c r="N1083" s="378"/>
      <c r="O1083" s="378"/>
      <c r="P1083" s="378"/>
      <c r="Q1083" s="378"/>
      <c r="R1083" s="378"/>
      <c r="S1083" s="378"/>
      <c r="T1083" s="378"/>
      <c r="U1083" s="378"/>
      <c r="V1083" s="378"/>
      <c r="W1083" s="378"/>
      <c r="X1083" s="378"/>
      <c r="Y1083" s="378"/>
      <c r="Z1083" s="378"/>
      <c r="AA1083" s="378"/>
      <c r="AB1083" s="378"/>
      <c r="AC1083" s="378"/>
      <c r="AD1083" s="378"/>
      <c r="AE1083" s="378"/>
      <c r="AF1083" s="378"/>
      <c r="AG1083" s="378"/>
      <c r="AH1083" s="378"/>
      <c r="AI1083" s="378"/>
      <c r="AJ1083" s="378"/>
      <c r="AK1083" s="378"/>
      <c r="AL1083" s="378"/>
      <c r="AM1083" s="378"/>
      <c r="AN1083" s="378"/>
      <c r="AO1083" s="378"/>
      <c r="AP1083" s="378"/>
      <c r="AQ1083" s="378"/>
      <c r="AR1083" s="378"/>
      <c r="AS1083" s="378"/>
      <c r="AT1083" s="378"/>
      <c r="AU1083" s="378"/>
    </row>
    <row r="1084" spans="1:47" s="532" customFormat="1" x14ac:dyDescent="0.25">
      <c r="A1084" s="378"/>
      <c r="B1084" s="2047" t="s">
        <v>488</v>
      </c>
      <c r="C1084" s="2047"/>
      <c r="D1084" s="1259"/>
      <c r="E1084" s="1259"/>
      <c r="F1084" s="1259"/>
      <c r="G1084" s="1259"/>
      <c r="H1084" s="1259"/>
      <c r="I1084" s="1242"/>
      <c r="J1084" s="3"/>
      <c r="K1084" s="3"/>
      <c r="L1084" s="3"/>
      <c r="M1084" s="378"/>
      <c r="N1084" s="378"/>
      <c r="O1084" s="378"/>
      <c r="P1084" s="378"/>
      <c r="Q1084" s="378"/>
      <c r="R1084" s="378"/>
      <c r="S1084" s="378"/>
      <c r="T1084" s="378"/>
      <c r="U1084" s="378"/>
      <c r="V1084" s="378"/>
      <c r="W1084" s="378"/>
      <c r="X1084" s="378"/>
      <c r="Y1084" s="378"/>
      <c r="Z1084" s="378"/>
      <c r="AA1084" s="378"/>
      <c r="AB1084" s="378"/>
      <c r="AC1084" s="378"/>
      <c r="AD1084" s="378"/>
      <c r="AE1084" s="378"/>
      <c r="AF1084" s="378"/>
      <c r="AG1084" s="378"/>
      <c r="AH1084" s="378"/>
      <c r="AI1084" s="378"/>
      <c r="AJ1084" s="378"/>
      <c r="AK1084" s="378"/>
      <c r="AL1084" s="378"/>
      <c r="AM1084" s="378"/>
      <c r="AN1084" s="378"/>
      <c r="AO1084" s="378"/>
      <c r="AP1084" s="378"/>
      <c r="AQ1084" s="378"/>
      <c r="AR1084" s="378"/>
      <c r="AS1084" s="378"/>
      <c r="AT1084" s="378"/>
      <c r="AU1084" s="378"/>
    </row>
    <row r="1085" spans="1:47" s="532" customFormat="1" x14ac:dyDescent="0.25">
      <c r="A1085" s="378"/>
      <c r="B1085" s="2107" t="str">
        <f>+'3 INDICADORES'!B295:C295</f>
        <v>14.8 - Koc</v>
      </c>
      <c r="C1085" s="2108"/>
      <c r="D1085" s="1260"/>
      <c r="E1085" s="1260"/>
      <c r="F1085" s="1260"/>
      <c r="G1085" s="1260"/>
      <c r="H1085" s="1260"/>
      <c r="I1085" s="1401"/>
      <c r="J1085" s="3"/>
      <c r="K1085" s="3"/>
      <c r="L1085" s="3"/>
      <c r="M1085" s="378"/>
      <c r="N1085" s="378"/>
      <c r="O1085" s="378"/>
      <c r="P1085" s="378"/>
      <c r="Q1085" s="378"/>
      <c r="R1085" s="378"/>
      <c r="S1085" s="378"/>
      <c r="T1085" s="378"/>
      <c r="U1085" s="378"/>
      <c r="V1085" s="378"/>
      <c r="W1085" s="378"/>
      <c r="X1085" s="378"/>
      <c r="Y1085" s="378"/>
      <c r="Z1085" s="378"/>
      <c r="AA1085" s="378"/>
      <c r="AB1085" s="378"/>
      <c r="AC1085" s="378"/>
      <c r="AD1085" s="378"/>
      <c r="AE1085" s="378"/>
      <c r="AF1085" s="378"/>
      <c r="AG1085" s="378"/>
      <c r="AH1085" s="378"/>
      <c r="AI1085" s="378"/>
      <c r="AJ1085" s="378"/>
      <c r="AK1085" s="378"/>
      <c r="AL1085" s="378"/>
      <c r="AM1085" s="378"/>
      <c r="AN1085" s="378"/>
      <c r="AO1085" s="378"/>
      <c r="AP1085" s="378"/>
      <c r="AQ1085" s="378"/>
      <c r="AR1085" s="378"/>
      <c r="AS1085" s="378"/>
      <c r="AT1085" s="378"/>
      <c r="AU1085" s="378"/>
    </row>
    <row r="1086" spans="1:47" s="532" customFormat="1" x14ac:dyDescent="0.25">
      <c r="A1086" s="378"/>
      <c r="B1086" s="2107" t="str">
        <f>+'3 INDICADORES'!B296:C296</f>
        <v>14.9 - t1/2 (DT50)</v>
      </c>
      <c r="C1086" s="2108"/>
      <c r="D1086" s="1261"/>
      <c r="E1086" s="1261"/>
      <c r="F1086" s="1261"/>
      <c r="G1086" s="1261"/>
      <c r="H1086" s="1261"/>
      <c r="I1086" s="1402"/>
      <c r="J1086" s="3"/>
      <c r="K1086" s="3"/>
      <c r="L1086" s="3"/>
      <c r="M1086" s="378"/>
      <c r="N1086" s="378"/>
      <c r="O1086" s="378"/>
      <c r="P1086" s="378"/>
      <c r="Q1086" s="378"/>
      <c r="R1086" s="378"/>
      <c r="S1086" s="378"/>
      <c r="T1086" s="378"/>
      <c r="U1086" s="378"/>
      <c r="V1086" s="378"/>
      <c r="W1086" s="378"/>
      <c r="X1086" s="378"/>
      <c r="Y1086" s="378"/>
      <c r="Z1086" s="378"/>
      <c r="AA1086" s="378"/>
      <c r="AB1086" s="378"/>
      <c r="AC1086" s="378"/>
      <c r="AD1086" s="378"/>
      <c r="AE1086" s="378"/>
      <c r="AF1086" s="378"/>
      <c r="AG1086" s="378"/>
      <c r="AH1086" s="378"/>
      <c r="AI1086" s="378"/>
      <c r="AJ1086" s="378"/>
      <c r="AK1086" s="378"/>
      <c r="AL1086" s="378"/>
      <c r="AM1086" s="378"/>
      <c r="AN1086" s="378"/>
      <c r="AO1086" s="378"/>
      <c r="AP1086" s="378"/>
      <c r="AQ1086" s="378"/>
      <c r="AR1086" s="378"/>
      <c r="AS1086" s="378"/>
      <c r="AT1086" s="378"/>
      <c r="AU1086" s="378"/>
    </row>
    <row r="1087" spans="1:47" s="532" customFormat="1" x14ac:dyDescent="0.25">
      <c r="A1087" s="378"/>
      <c r="B1087" s="2105" t="s">
        <v>947</v>
      </c>
      <c r="C1087" s="2106"/>
      <c r="D1087" s="1408" t="str">
        <f t="shared" ref="D1087:I1087" si="5">IF(OR(D1086=0,D1085=0),"",IF(LOG10(D1086)*(4-LOG10(D1085))&lt;=0,0,IF(OR(LOG10(D1086)*(4-LOG10(D1085))&gt;0,),(LOG10(D1086)*(4-LOG10(D1085))),IF((LOG10(D1086)*(4-LOG10(D1085))&gt;0),(LOG10(D1086)*(4-LOG10(D1085)))))))</f>
        <v/>
      </c>
      <c r="E1087" s="1408" t="str">
        <f t="shared" si="5"/>
        <v/>
      </c>
      <c r="F1087" s="1408" t="str">
        <f t="shared" si="5"/>
        <v/>
      </c>
      <c r="G1087" s="1408" t="str">
        <f t="shared" si="5"/>
        <v/>
      </c>
      <c r="H1087" s="1408" t="str">
        <f t="shared" si="5"/>
        <v/>
      </c>
      <c r="I1087" s="1420" t="str">
        <f t="shared" si="5"/>
        <v/>
      </c>
      <c r="J1087" s="3"/>
      <c r="K1087" s="3"/>
      <c r="L1087" s="3"/>
      <c r="M1087" s="378"/>
      <c r="N1087" s="378"/>
      <c r="O1087" s="378"/>
      <c r="P1087" s="378"/>
      <c r="Q1087" s="378"/>
      <c r="R1087" s="378"/>
      <c r="S1087" s="378"/>
      <c r="T1087" s="378"/>
      <c r="U1087" s="378"/>
      <c r="V1087" s="378"/>
      <c r="W1087" s="378"/>
      <c r="X1087" s="378"/>
      <c r="Y1087" s="378"/>
      <c r="Z1087" s="378"/>
      <c r="AA1087" s="378"/>
      <c r="AB1087" s="378"/>
      <c r="AC1087" s="378"/>
      <c r="AD1087" s="378"/>
      <c r="AE1087" s="378"/>
      <c r="AF1087" s="378"/>
      <c r="AG1087" s="378"/>
      <c r="AH1087" s="378"/>
      <c r="AI1087" s="378"/>
      <c r="AJ1087" s="378"/>
      <c r="AK1087" s="378"/>
      <c r="AL1087" s="378"/>
      <c r="AM1087" s="378"/>
      <c r="AN1087" s="378"/>
      <c r="AO1087" s="378"/>
      <c r="AP1087" s="378"/>
      <c r="AQ1087" s="378"/>
      <c r="AR1087" s="378"/>
      <c r="AS1087" s="378"/>
      <c r="AT1087" s="378"/>
      <c r="AU1087" s="378"/>
    </row>
    <row r="1088" spans="1:47" s="532" customFormat="1" x14ac:dyDescent="0.25">
      <c r="A1088" s="378"/>
      <c r="B1088" s="2137" t="s">
        <v>948</v>
      </c>
      <c r="C1088" s="2138"/>
      <c r="D1088" s="1421" t="str">
        <f>IF(D1082&gt;0,(IF(OR('GUIA DE APLICAÇÃO'!M999=0.83,'GUIA DE APLICAÇÃO'!M999&lt;0.83),1,IF(OR(AND(0.83&lt;'GUIA DE APLICAÇÃO'!M999,'GUIA DE APLICAÇÃO'!M999&lt;=1.66)),2,IF('GUIA DE APLICAÇÃO'!M999&gt;1.66,3,"")))),"")</f>
        <v/>
      </c>
      <c r="E1088" s="1421" t="str">
        <f>IF(E1082&gt;0,(IF(OR('GUIA DE APLICAÇÃO'!N999=0.83,'GUIA DE APLICAÇÃO'!N999&lt;0.83),1,IF(OR(AND(0.83&lt;'GUIA DE APLICAÇÃO'!N999,'GUIA DE APLICAÇÃO'!N999&lt;=1.66)),2,IF('GUIA DE APLICAÇÃO'!N999&gt;1.66,3,"")))),"")</f>
        <v/>
      </c>
      <c r="F1088" s="1421" t="str">
        <f>IF(F1082&gt;0,(IF(OR('GUIA DE APLICAÇÃO'!B1005=0.83,'GUIA DE APLICAÇÃO'!B1005&lt;0.83),1,IF(OR(AND(0.83&lt;'GUIA DE APLICAÇÃO'!B1005,'GUIA DE APLICAÇÃO'!B1005&lt;=1.66)),2,IF('GUIA DE APLICAÇÃO'!B1005&gt;1.66,3,"")))),"")</f>
        <v/>
      </c>
      <c r="G1088" s="1421" t="str">
        <f>IF(G1082&gt;0,(IF(OR('GUIA DE APLICAÇÃO'!C1005=0.83,'GUIA DE APLICAÇÃO'!C1005&lt;0.83),1,IF(OR(AND(0.83&lt;'GUIA DE APLICAÇÃO'!C1005,'GUIA DE APLICAÇÃO'!C1005&lt;=1.66)),2,IF('GUIA DE APLICAÇÃO'!C1005&gt;1.66,3,"")))),"")</f>
        <v/>
      </c>
      <c r="H1088" s="1421" t="str">
        <f>IF(H1082&gt;0,(IF(OR('GUIA DE APLICAÇÃO'!D1005=0.83,'GUIA DE APLICAÇÃO'!D1005&lt;0.83),1,IF(OR(AND(0.83&lt;'GUIA DE APLICAÇÃO'!D1005,'GUIA DE APLICAÇÃO'!D1005&lt;=1.66)),2,IF('GUIA DE APLICAÇÃO'!D1005&gt;1.66,3,"")))),"")</f>
        <v/>
      </c>
      <c r="I1088" s="1421" t="str">
        <f>IF(I1082&gt;0,(IF(OR('GUIA DE APLICAÇÃO'!E1005=0.83,'GUIA DE APLICAÇÃO'!E1005&lt;0.83),1,IF(OR(AND(0.83&lt;'GUIA DE APLICAÇÃO'!E1005,'GUIA DE APLICAÇÃO'!E1005&lt;=1.66)),2,IF('GUIA DE APLICAÇÃO'!E1005&gt;1.66,3,"")))),"")</f>
        <v/>
      </c>
      <c r="J1088" s="3"/>
      <c r="K1088" s="3"/>
      <c r="L1088" s="3"/>
      <c r="M1088" s="378"/>
      <c r="N1088" s="378"/>
      <c r="O1088" s="378"/>
      <c r="P1088" s="378"/>
      <c r="Q1088" s="378"/>
      <c r="R1088" s="378"/>
      <c r="S1088" s="378"/>
      <c r="T1088" s="378"/>
      <c r="U1088" s="378"/>
      <c r="V1088" s="378"/>
      <c r="W1088" s="378"/>
      <c r="X1088" s="378"/>
      <c r="Y1088" s="378"/>
      <c r="Z1088" s="378"/>
      <c r="AA1088" s="378"/>
      <c r="AB1088" s="378"/>
      <c r="AC1088" s="378"/>
      <c r="AD1088" s="378"/>
      <c r="AE1088" s="378"/>
      <c r="AF1088" s="378"/>
      <c r="AG1088" s="378"/>
      <c r="AH1088" s="378"/>
      <c r="AI1088" s="378"/>
      <c r="AJ1088" s="378"/>
      <c r="AK1088" s="378"/>
      <c r="AL1088" s="378"/>
      <c r="AM1088" s="378"/>
      <c r="AN1088" s="378"/>
      <c r="AO1088" s="378"/>
      <c r="AP1088" s="378"/>
      <c r="AQ1088" s="378"/>
      <c r="AR1088" s="378"/>
      <c r="AS1088" s="378"/>
      <c r="AT1088" s="378"/>
      <c r="AU1088" s="378"/>
    </row>
    <row r="1089" spans="1:47" s="18" customFormat="1" x14ac:dyDescent="0.25">
      <c r="A1089" s="378"/>
      <c r="B1089" s="38"/>
      <c r="C1089" s="38"/>
      <c r="D1089" s="38"/>
      <c r="E1089" s="38"/>
      <c r="F1089" s="38"/>
      <c r="G1089" s="38"/>
      <c r="H1089" s="38"/>
      <c r="I1089" s="38"/>
      <c r="J1089" s="3"/>
      <c r="K1089" s="3"/>
      <c r="L1089" s="3"/>
      <c r="M1089" s="378"/>
      <c r="N1089" s="378"/>
      <c r="O1089" s="378"/>
      <c r="P1089" s="378"/>
      <c r="Q1089" s="378"/>
      <c r="R1089" s="378"/>
      <c r="S1089" s="378"/>
      <c r="T1089" s="378"/>
      <c r="U1089" s="378"/>
      <c r="V1089" s="378"/>
      <c r="W1089" s="378"/>
      <c r="X1089" s="378"/>
      <c r="Y1089" s="378"/>
      <c r="Z1089" s="378"/>
      <c r="AA1089" s="378"/>
      <c r="AB1089" s="378"/>
      <c r="AC1089" s="378"/>
      <c r="AD1089" s="378"/>
      <c r="AE1089" s="378"/>
      <c r="AF1089" s="378"/>
      <c r="AG1089" s="378"/>
      <c r="AH1089" s="378"/>
      <c r="AI1089" s="378"/>
      <c r="AJ1089" s="378"/>
      <c r="AK1089" s="378"/>
      <c r="AL1089" s="378"/>
      <c r="AM1089" s="378"/>
      <c r="AN1089" s="378"/>
      <c r="AO1089" s="378"/>
      <c r="AP1089" s="378"/>
      <c r="AQ1089" s="378"/>
      <c r="AR1089" s="378"/>
      <c r="AS1089" s="378"/>
      <c r="AT1089" s="378"/>
      <c r="AU1089" s="378"/>
    </row>
    <row r="1090" spans="1:47" s="18" customFormat="1" ht="34.5" customHeight="1" x14ac:dyDescent="0.25">
      <c r="A1090" s="378"/>
      <c r="B1090" s="2124" t="str">
        <f>+'3 INDICADORES'!B300:C300</f>
        <v>14.10 - Conteúdo de argila no solo (no talhão)        &gt; 60% (1);     30% - 60% (2);        &lt;30% (3)</v>
      </c>
      <c r="C1090" s="2125"/>
      <c r="D1090" s="423"/>
      <c r="E1090" s="418"/>
      <c r="F1090" s="418"/>
      <c r="G1090" s="418"/>
      <c r="H1090" s="418"/>
      <c r="I1090" s="426"/>
      <c r="J1090" s="3"/>
      <c r="K1090" s="3"/>
      <c r="L1090" s="3"/>
      <c r="M1090" s="378"/>
      <c r="N1090" s="378"/>
      <c r="O1090" s="378"/>
      <c r="P1090" s="378"/>
      <c r="Q1090" s="378"/>
      <c r="R1090" s="378"/>
      <c r="S1090" s="378"/>
      <c r="T1090" s="378"/>
      <c r="U1090" s="378"/>
      <c r="V1090" s="378"/>
      <c r="W1090" s="378"/>
      <c r="X1090" s="378"/>
      <c r="Y1090" s="378"/>
      <c r="Z1090" s="378"/>
      <c r="AA1090" s="378"/>
      <c r="AB1090" s="378"/>
      <c r="AC1090" s="378"/>
      <c r="AD1090" s="378"/>
      <c r="AE1090" s="378"/>
      <c r="AF1090" s="378"/>
      <c r="AG1090" s="378"/>
      <c r="AH1090" s="378"/>
      <c r="AI1090" s="378"/>
      <c r="AJ1090" s="378"/>
      <c r="AK1090" s="378"/>
      <c r="AL1090" s="378"/>
      <c r="AM1090" s="378"/>
      <c r="AN1090" s="378"/>
      <c r="AO1090" s="378"/>
      <c r="AP1090" s="378"/>
      <c r="AQ1090" s="378"/>
      <c r="AR1090" s="378"/>
      <c r="AS1090" s="378"/>
      <c r="AT1090" s="378"/>
      <c r="AU1090" s="378"/>
    </row>
    <row r="1091" spans="1:47" s="18" customFormat="1" ht="39.75" customHeight="1" x14ac:dyDescent="0.25">
      <c r="A1091" s="378"/>
      <c r="B1091" s="2124" t="str">
        <f>+'3 INDICADORES'!B301:C301</f>
        <v>14.11 - Distância do curso d' água (borda do talhão)  &gt;1.000m (1);  300 - 1.000m (2);  &lt;300m (3)</v>
      </c>
      <c r="C1091" s="2125"/>
      <c r="D1091" s="423"/>
      <c r="E1091" s="418"/>
      <c r="F1091" s="418"/>
      <c r="G1091" s="418"/>
      <c r="H1091" s="418"/>
      <c r="I1091" s="426"/>
      <c r="J1091" s="3"/>
      <c r="K1091" s="3"/>
      <c r="L1091" s="3"/>
      <c r="M1091" s="378"/>
      <c r="N1091" s="378"/>
      <c r="O1091" s="378"/>
      <c r="P1091" s="378"/>
      <c r="Q1091" s="378"/>
      <c r="R1091" s="378"/>
      <c r="S1091" s="378"/>
      <c r="T1091" s="378"/>
      <c r="U1091" s="378"/>
      <c r="V1091" s="378"/>
      <c r="W1091" s="378"/>
      <c r="X1091" s="378"/>
      <c r="Y1091" s="378"/>
      <c r="Z1091" s="378"/>
      <c r="AA1091" s="378"/>
      <c r="AB1091" s="378"/>
      <c r="AC1091" s="378"/>
      <c r="AD1091" s="378"/>
      <c r="AE1091" s="378"/>
      <c r="AF1091" s="378"/>
      <c r="AG1091" s="378"/>
      <c r="AH1091" s="378"/>
      <c r="AI1091" s="378"/>
      <c r="AJ1091" s="378"/>
      <c r="AK1091" s="378"/>
      <c r="AL1091" s="378"/>
      <c r="AM1091" s="378"/>
      <c r="AN1091" s="378"/>
      <c r="AO1091" s="378"/>
      <c r="AP1091" s="378"/>
      <c r="AQ1091" s="378"/>
      <c r="AR1091" s="378"/>
      <c r="AS1091" s="378"/>
      <c r="AT1091" s="378"/>
      <c r="AU1091" s="378"/>
    </row>
    <row r="1092" spans="1:47" s="18" customFormat="1" ht="36" customHeight="1" x14ac:dyDescent="0.25">
      <c r="A1092" s="378"/>
      <c r="B1092" s="2124" t="str">
        <f>+'3 INDICADORES'!B302:C302</f>
        <v>14.12 - Tipo de manejo do solo: Solo protegido (1); Solo sem revolvimento (2); Solo com revolvimento (3)</v>
      </c>
      <c r="C1092" s="2125"/>
      <c r="D1092" s="423"/>
      <c r="E1092" s="418"/>
      <c r="F1092" s="418"/>
      <c r="G1092" s="418"/>
      <c r="H1092" s="418"/>
      <c r="I1092" s="426"/>
      <c r="J1092" s="3"/>
      <c r="K1092" s="3"/>
      <c r="L1092" s="3"/>
      <c r="M1092" s="378"/>
      <c r="N1092" s="378"/>
      <c r="O1092" s="378"/>
      <c r="P1092" s="378"/>
      <c r="Q1092" s="378"/>
      <c r="R1092" s="378"/>
      <c r="S1092" s="378"/>
      <c r="T1092" s="378"/>
      <c r="U1092" s="378"/>
      <c r="V1092" s="378"/>
      <c r="W1092" s="378"/>
      <c r="X1092" s="378"/>
      <c r="Y1092" s="378"/>
      <c r="Z1092" s="378"/>
      <c r="AA1092" s="378"/>
      <c r="AB1092" s="378"/>
      <c r="AC1092" s="378"/>
      <c r="AD1092" s="378"/>
      <c r="AE1092" s="378"/>
      <c r="AF1092" s="378"/>
      <c r="AG1092" s="378"/>
      <c r="AH1092" s="378"/>
      <c r="AI1092" s="378"/>
      <c r="AJ1092" s="378"/>
      <c r="AK1092" s="378"/>
      <c r="AL1092" s="378"/>
      <c r="AM1092" s="378"/>
      <c r="AN1092" s="378"/>
      <c r="AO1092" s="378"/>
      <c r="AP1092" s="378"/>
      <c r="AQ1092" s="378"/>
      <c r="AR1092" s="378"/>
      <c r="AS1092" s="378"/>
      <c r="AT1092" s="378"/>
      <c r="AU1092" s="378"/>
    </row>
    <row r="1093" spans="1:47" s="18" customFormat="1" ht="17.25" customHeight="1" x14ac:dyDescent="0.25">
      <c r="A1093" s="378"/>
      <c r="B1093" s="2120" t="s">
        <v>950</v>
      </c>
      <c r="C1093" s="2121"/>
      <c r="D1093" s="1422" t="str">
        <f>IF(D1078&gt;0,(IF(OR(AND(1&lt;='GUIA DE APLICAÇÃO'!M1000,'GUIA DE APLICAÇÃO'!M1000&lt;=3)),1,IF(OR(AND(3&lt;'GUIA DE APLICAÇÃO'!M1000,'GUIA DE APLICAÇÃO'!M1000&lt;=9)),2,IF('GUIA DE APLICAÇÃO'!M1000&gt;9,3)))),"")</f>
        <v/>
      </c>
      <c r="E1093" s="1422" t="str">
        <f>IF(E1078&gt;0,(IF(OR(AND(1&lt;='GUIA DE APLICAÇÃO'!N1000,'GUIA DE APLICAÇÃO'!N1000&lt;=3)),1,IF(OR(AND(3&lt;'GUIA DE APLICAÇÃO'!N1000,'GUIA DE APLICAÇÃO'!N1000&lt;=9)),2,IF('GUIA DE APLICAÇÃO'!N1000&gt;9,3)))),"")</f>
        <v/>
      </c>
      <c r="F1093" s="1422" t="str">
        <f>IF(F1078&gt;0,(IF(OR(AND(1&lt;='GUIA DE APLICAÇÃO'!B1006,'GUIA DE APLICAÇÃO'!B1006&lt;=3)),1,IF(OR(AND(3&lt;'GUIA DE APLICAÇÃO'!B1006,'GUIA DE APLICAÇÃO'!B1006&lt;=9)),2,IF('GUIA DE APLICAÇÃO'!B1006&gt;9,3)))),"")</f>
        <v/>
      </c>
      <c r="G1093" s="1422" t="str">
        <f>IF(G1078&gt;0,(IF(OR(AND(1&lt;='GUIA DE APLICAÇÃO'!C1006,'GUIA DE APLICAÇÃO'!C1006&lt;=3)),1,IF(OR(AND(3&lt;'GUIA DE APLICAÇÃO'!C1006,'GUIA DE APLICAÇÃO'!C1006&lt;=9)),2,IF('GUIA DE APLICAÇÃO'!C1006&gt;9,3)))),"")</f>
        <v/>
      </c>
      <c r="H1093" s="1422" t="str">
        <f>IF(H1078&gt;0,(IF(OR(AND(1&lt;='GUIA DE APLICAÇÃO'!D1006,'GUIA DE APLICAÇÃO'!D1006&lt;=3)),1,IF(OR(AND(3&lt;'GUIA DE APLICAÇÃO'!D1006,'GUIA DE APLICAÇÃO'!D1006&lt;=9)),2,IF('GUIA DE APLICAÇÃO'!D1006&gt;9,3)))),"")</f>
        <v/>
      </c>
      <c r="I1093" s="1422" t="str">
        <f>IF(I1078&gt;0,(IF(OR(AND(1&lt;='GUIA DE APLICAÇÃO'!E1006,'GUIA DE APLICAÇÃO'!E1006&lt;=3)),1,IF(OR(AND(3&lt;'GUIA DE APLICAÇÃO'!E1006,'GUIA DE APLICAÇÃO'!E1006&lt;=9)),2,IF('GUIA DE APLICAÇÃO'!E1006&gt;9,3)))),"")</f>
        <v/>
      </c>
      <c r="J1093" s="3"/>
      <c r="K1093" s="3"/>
      <c r="L1093" s="3"/>
      <c r="M1093" s="378"/>
      <c r="N1093" s="378"/>
      <c r="O1093" s="378"/>
      <c r="P1093" s="378"/>
      <c r="Q1093" s="378"/>
      <c r="R1093" s="378"/>
      <c r="S1093" s="378"/>
      <c r="T1093" s="378"/>
      <c r="U1093" s="378"/>
      <c r="V1093" s="378"/>
      <c r="W1093" s="378"/>
      <c r="X1093" s="378"/>
      <c r="Y1093" s="378"/>
      <c r="Z1093" s="378"/>
      <c r="AA1093" s="378"/>
      <c r="AB1093" s="378"/>
      <c r="AC1093" s="378"/>
      <c r="AD1093" s="378"/>
      <c r="AE1093" s="378"/>
      <c r="AF1093" s="378"/>
      <c r="AG1093" s="378"/>
      <c r="AH1093" s="378"/>
      <c r="AI1093" s="378"/>
      <c r="AJ1093" s="378"/>
      <c r="AK1093" s="378"/>
      <c r="AL1093" s="378"/>
      <c r="AM1093" s="378"/>
      <c r="AN1093" s="378"/>
      <c r="AO1093" s="378"/>
      <c r="AP1093" s="378"/>
      <c r="AQ1093" s="378"/>
      <c r="AR1093" s="378"/>
      <c r="AS1093" s="378"/>
      <c r="AT1093" s="378"/>
      <c r="AU1093" s="378"/>
    </row>
    <row r="1094" spans="1:47" s="18" customFormat="1" x14ac:dyDescent="0.25">
      <c r="A1094" s="378"/>
      <c r="B1094" s="38"/>
      <c r="C1094" s="38"/>
      <c r="D1094" s="38"/>
      <c r="E1094" s="38"/>
      <c r="F1094" s="38"/>
      <c r="G1094" s="38"/>
      <c r="H1094" s="38"/>
      <c r="I1094" s="38"/>
      <c r="J1094" s="3"/>
      <c r="K1094" s="3"/>
      <c r="L1094" s="3"/>
      <c r="M1094" s="378"/>
      <c r="N1094" s="378"/>
      <c r="O1094" s="378"/>
      <c r="P1094" s="378"/>
      <c r="Q1094" s="378"/>
      <c r="R1094" s="378"/>
      <c r="S1094" s="378"/>
      <c r="T1094" s="378"/>
      <c r="U1094" s="378"/>
      <c r="V1094" s="378"/>
      <c r="W1094" s="378"/>
      <c r="X1094" s="378"/>
      <c r="Y1094" s="378"/>
      <c r="Z1094" s="378"/>
      <c r="AA1094" s="378"/>
      <c r="AB1094" s="378"/>
      <c r="AC1094" s="378"/>
      <c r="AD1094" s="378"/>
      <c r="AE1094" s="378"/>
      <c r="AF1094" s="378"/>
      <c r="AG1094" s="378"/>
      <c r="AH1094" s="378"/>
      <c r="AI1094" s="378"/>
      <c r="AJ1094" s="378"/>
      <c r="AK1094" s="378"/>
      <c r="AL1094" s="378"/>
      <c r="AM1094" s="378"/>
      <c r="AN1094" s="378"/>
      <c r="AO1094" s="378"/>
      <c r="AP1094" s="378"/>
      <c r="AQ1094" s="378"/>
      <c r="AR1094" s="378"/>
      <c r="AS1094" s="378"/>
      <c r="AT1094" s="378"/>
      <c r="AU1094" s="378"/>
    </row>
    <row r="1095" spans="1:47" s="18" customFormat="1" x14ac:dyDescent="0.25">
      <c r="A1095" s="378"/>
      <c r="B1095" s="2111" t="s">
        <v>949</v>
      </c>
      <c r="C1095" s="2112"/>
      <c r="D1095" s="1423" t="str">
        <f>IF(D1078&gt;0,(IF(OR(AND(1&lt;='GUIA DE APLICAÇÃO'!M1002,'GUIA DE APLICAÇÃO'!M1002&lt;=2)),1,IF(OR(AND(2&lt;'GUIA DE APLICAÇÃO'!M1002,'GUIA DE APLICAÇÃO'!M1002&lt;=4)),2,IF('GUIA DE APLICAÇÃO'!M1002&gt;4,3)))),"")</f>
        <v/>
      </c>
      <c r="E1095" s="1423" t="str">
        <f>IF(E1078&gt;0,(IF(OR(AND(1&lt;='GUIA DE APLICAÇÃO'!N1002,'GUIA DE APLICAÇÃO'!N1002&lt;=2)),1,IF(OR(AND(2&lt;'GUIA DE APLICAÇÃO'!N1002,'GUIA DE APLICAÇÃO'!N1002&lt;=4)),2,IF('GUIA DE APLICAÇÃO'!N1002&gt;4,3)))),"")</f>
        <v/>
      </c>
      <c r="F1095" s="1423" t="str">
        <f>IF(F1078&gt;0,(IF(OR(AND(1&lt;='GUIA DE APLICAÇÃO'!B1008,'GUIA DE APLICAÇÃO'!B1008&lt;=2)),1,IF(OR(AND(2&lt;'GUIA DE APLICAÇÃO'!B1008,'GUIA DE APLICAÇÃO'!B1008&lt;=4)),2,IF('GUIA DE APLICAÇÃO'!B1008&gt;4,3)))),"")</f>
        <v/>
      </c>
      <c r="G1095" s="1423" t="str">
        <f>IF(G1078&gt;0,(IF(OR(AND(1&lt;='GUIA DE APLICAÇÃO'!C1008,'GUIA DE APLICAÇÃO'!C1008&lt;=2)),1,IF(OR(AND(2&lt;'GUIA DE APLICAÇÃO'!C1008,'GUIA DE APLICAÇÃO'!C1008&lt;=4)),2,IF('GUIA DE APLICAÇÃO'!C1008&gt;4,3)))),"")</f>
        <v/>
      </c>
      <c r="H1095" s="1423" t="str">
        <f>IF(H1078&gt;0,(IF(OR(AND(1&lt;='GUIA DE APLICAÇÃO'!D1008,'GUIA DE APLICAÇÃO'!D1008&lt;=2)),1,IF(OR(AND(2&lt;'GUIA DE APLICAÇÃO'!D1008,'GUIA DE APLICAÇÃO'!D1008&lt;=4)),2,IF('GUIA DE APLICAÇÃO'!D1008&gt;4,3)))),"")</f>
        <v/>
      </c>
      <c r="I1095" s="1423" t="str">
        <f>IF(I1078&gt;0,(IF(OR(AND(1&lt;='GUIA DE APLICAÇÃO'!E1008,'GUIA DE APLICAÇÃO'!E1008&lt;=2)),1,IF(OR(AND(2&lt;'GUIA DE APLICAÇÃO'!E1008,'GUIA DE APLICAÇÃO'!E1008&lt;=4)),2,IF('GUIA DE APLICAÇÃO'!E1008&gt;4,3)))),"")</f>
        <v/>
      </c>
      <c r="J1095" s="3"/>
      <c r="K1095" s="3"/>
      <c r="L1095" s="3"/>
      <c r="M1095" s="378"/>
      <c r="N1095" s="378"/>
      <c r="O1095" s="378"/>
      <c r="P1095" s="378"/>
      <c r="Q1095" s="378"/>
      <c r="R1095" s="378"/>
      <c r="S1095" s="378"/>
      <c r="T1095" s="378"/>
      <c r="U1095" s="378"/>
      <c r="V1095" s="378"/>
      <c r="W1095" s="378"/>
      <c r="X1095" s="378"/>
      <c r="Y1095" s="378"/>
      <c r="Z1095" s="378"/>
      <c r="AA1095" s="378"/>
      <c r="AB1095" s="378"/>
      <c r="AC1095" s="378"/>
      <c r="AD1095" s="378"/>
      <c r="AE1095" s="378"/>
      <c r="AF1095" s="378"/>
      <c r="AG1095" s="378"/>
      <c r="AH1095" s="378"/>
      <c r="AI1095" s="378"/>
      <c r="AJ1095" s="378"/>
      <c r="AK1095" s="378"/>
      <c r="AL1095" s="378"/>
      <c r="AM1095" s="378"/>
      <c r="AN1095" s="378"/>
      <c r="AO1095" s="378"/>
      <c r="AP1095" s="378"/>
      <c r="AQ1095" s="378"/>
      <c r="AR1095" s="378"/>
      <c r="AS1095" s="378"/>
      <c r="AT1095" s="378"/>
      <c r="AU1095" s="378"/>
    </row>
    <row r="1096" spans="1:47" s="18" customFormat="1" x14ac:dyDescent="0.25">
      <c r="A1096" s="378"/>
      <c r="B1096" s="3"/>
      <c r="C1096" s="3"/>
      <c r="D1096" s="3"/>
      <c r="E1096" s="3"/>
      <c r="F1096" s="3"/>
      <c r="G1096" s="3"/>
      <c r="H1096" s="3"/>
      <c r="I1096" s="3"/>
      <c r="J1096" s="3"/>
      <c r="K1096" s="3"/>
      <c r="L1096" s="3"/>
      <c r="M1096" s="378"/>
      <c r="N1096" s="378"/>
      <c r="O1096" s="378"/>
      <c r="P1096" s="378"/>
      <c r="Q1096" s="378"/>
      <c r="R1096" s="378"/>
      <c r="S1096" s="378"/>
      <c r="T1096" s="378"/>
      <c r="U1096" s="378"/>
      <c r="V1096" s="378"/>
      <c r="W1096" s="378"/>
      <c r="X1096" s="378"/>
      <c r="Y1096" s="378"/>
      <c r="Z1096" s="378"/>
      <c r="AA1096" s="378"/>
      <c r="AB1096" s="378"/>
      <c r="AC1096" s="378"/>
      <c r="AD1096" s="378"/>
      <c r="AE1096" s="378"/>
      <c r="AF1096" s="378"/>
      <c r="AG1096" s="378"/>
      <c r="AH1096" s="378"/>
      <c r="AI1096" s="378"/>
      <c r="AJ1096" s="378"/>
      <c r="AK1096" s="378"/>
      <c r="AL1096" s="378"/>
      <c r="AM1096" s="378"/>
      <c r="AN1096" s="378"/>
      <c r="AO1096" s="378"/>
      <c r="AP1096" s="378"/>
      <c r="AQ1096" s="378"/>
      <c r="AR1096" s="378"/>
      <c r="AS1096" s="378"/>
      <c r="AT1096" s="378"/>
      <c r="AU1096" s="378"/>
    </row>
    <row r="1097" spans="1:47" s="532" customFormat="1" x14ac:dyDescent="0.25">
      <c r="A1097" s="378"/>
      <c r="B1097" s="2113" t="str">
        <f>+'3 INDICADORES'!B307:C307</f>
        <v>14.14 - Identificação do talhão</v>
      </c>
      <c r="C1097" s="2214"/>
      <c r="D1097" s="1426">
        <f>+'3 INDICADORES'!D307</f>
        <v>0</v>
      </c>
      <c r="E1097" s="1426">
        <f>+'3 INDICADORES'!E307</f>
        <v>0</v>
      </c>
      <c r="F1097" s="1426">
        <f>+'3 INDICADORES'!F307</f>
        <v>0</v>
      </c>
      <c r="G1097" s="1426">
        <f>+'3 INDICADORES'!G307</f>
        <v>0</v>
      </c>
      <c r="H1097" s="1427">
        <f>+'3 INDICADORES'!H307</f>
        <v>0</v>
      </c>
      <c r="I1097" s="3"/>
      <c r="J1097" s="3"/>
      <c r="K1097" s="3"/>
      <c r="L1097" s="3"/>
      <c r="M1097" s="378"/>
      <c r="N1097" s="378"/>
      <c r="O1097" s="378"/>
      <c r="P1097" s="378"/>
      <c r="Q1097" s="378"/>
      <c r="R1097" s="378"/>
      <c r="S1097" s="378"/>
      <c r="T1097" s="378"/>
      <c r="U1097" s="378"/>
      <c r="V1097" s="378"/>
      <c r="W1097" s="378"/>
      <c r="X1097" s="378"/>
      <c r="Y1097" s="378"/>
      <c r="Z1097" s="378"/>
      <c r="AA1097" s="378"/>
      <c r="AB1097" s="378"/>
      <c r="AC1097" s="378"/>
      <c r="AD1097" s="378"/>
      <c r="AE1097" s="378"/>
      <c r="AF1097" s="378"/>
      <c r="AG1097" s="378"/>
      <c r="AH1097" s="378"/>
      <c r="AI1097" s="378"/>
      <c r="AJ1097" s="378"/>
      <c r="AK1097" s="378"/>
      <c r="AL1097" s="378"/>
      <c r="AM1097" s="378"/>
      <c r="AN1097" s="378"/>
      <c r="AO1097" s="378"/>
      <c r="AP1097" s="378"/>
      <c r="AQ1097" s="378"/>
      <c r="AR1097" s="378"/>
      <c r="AS1097" s="378"/>
      <c r="AT1097" s="378"/>
      <c r="AU1097" s="378"/>
    </row>
    <row r="1098" spans="1:47" s="532" customFormat="1" x14ac:dyDescent="0.25">
      <c r="A1098" s="378"/>
      <c r="B1098" s="2113" t="str">
        <f>+'3 INDICADORES'!B308:C308</f>
        <v>14.15 - Área (ha)</v>
      </c>
      <c r="C1098" s="2214"/>
      <c r="D1098" s="1426">
        <f>+'3 INDICADORES'!D308</f>
        <v>0</v>
      </c>
      <c r="E1098" s="1426">
        <f>+'3 INDICADORES'!E308</f>
        <v>0</v>
      </c>
      <c r="F1098" s="1426">
        <f>+'3 INDICADORES'!F308</f>
        <v>0</v>
      </c>
      <c r="G1098" s="1426">
        <f>+'3 INDICADORES'!G308</f>
        <v>0</v>
      </c>
      <c r="H1098" s="1427">
        <f>+'3 INDICADORES'!H308</f>
        <v>0</v>
      </c>
      <c r="I1098" s="3"/>
      <c r="J1098" s="3"/>
      <c r="K1098" s="3"/>
      <c r="L1098" s="3"/>
      <c r="M1098" s="378"/>
      <c r="N1098" s="378"/>
      <c r="O1098" s="378"/>
      <c r="P1098" s="378"/>
      <c r="Q1098" s="378"/>
      <c r="R1098" s="378"/>
      <c r="S1098" s="378"/>
      <c r="T1098" s="378"/>
      <c r="U1098" s="378"/>
      <c r="V1098" s="378"/>
      <c r="W1098" s="378"/>
      <c r="X1098" s="378"/>
      <c r="Y1098" s="378"/>
      <c r="Z1098" s="378"/>
      <c r="AA1098" s="378"/>
      <c r="AB1098" s="378"/>
      <c r="AC1098" s="378"/>
      <c r="AD1098" s="378"/>
      <c r="AE1098" s="378"/>
      <c r="AF1098" s="378"/>
      <c r="AG1098" s="378"/>
      <c r="AH1098" s="378"/>
      <c r="AI1098" s="378"/>
      <c r="AJ1098" s="378"/>
      <c r="AK1098" s="378"/>
      <c r="AL1098" s="378"/>
      <c r="AM1098" s="378"/>
      <c r="AN1098" s="378"/>
      <c r="AO1098" s="378"/>
      <c r="AP1098" s="378"/>
      <c r="AQ1098" s="378"/>
      <c r="AR1098" s="378"/>
      <c r="AS1098" s="378"/>
      <c r="AT1098" s="378"/>
      <c r="AU1098" s="378"/>
    </row>
    <row r="1099" spans="1:47" s="532" customFormat="1" x14ac:dyDescent="0.25">
      <c r="A1099" s="378"/>
      <c r="B1099" s="2113" t="str">
        <f>+'3 INDICADORES'!B309:C309</f>
        <v>14.16 - Risco máximo (1), (2) ou (3)</v>
      </c>
      <c r="C1099" s="2214"/>
      <c r="D1099" s="1426">
        <f>+'3 INDICADORES'!D309</f>
        <v>0</v>
      </c>
      <c r="E1099" s="1426">
        <f>+'3 INDICADORES'!E309</f>
        <v>0</v>
      </c>
      <c r="F1099" s="1426">
        <f>+'3 INDICADORES'!F309</f>
        <v>0</v>
      </c>
      <c r="G1099" s="1426">
        <f>+'3 INDICADORES'!G309</f>
        <v>0</v>
      </c>
      <c r="H1099" s="1427">
        <f>+'3 INDICADORES'!H309</f>
        <v>0</v>
      </c>
      <c r="I1099" s="3"/>
      <c r="J1099" s="3"/>
      <c r="K1099" s="3"/>
      <c r="L1099" s="3"/>
      <c r="M1099" s="378"/>
      <c r="N1099" s="378"/>
      <c r="O1099" s="378"/>
      <c r="P1099" s="378"/>
      <c r="Q1099" s="378"/>
      <c r="R1099" s="378"/>
      <c r="S1099" s="378"/>
      <c r="T1099" s="378"/>
      <c r="U1099" s="378"/>
      <c r="V1099" s="378"/>
      <c r="W1099" s="378"/>
      <c r="X1099" s="378"/>
      <c r="Y1099" s="378"/>
      <c r="Z1099" s="378"/>
      <c r="AA1099" s="378"/>
      <c r="AB1099" s="378"/>
      <c r="AC1099" s="378"/>
      <c r="AD1099" s="378"/>
      <c r="AE1099" s="378"/>
      <c r="AF1099" s="378"/>
      <c r="AG1099" s="378"/>
      <c r="AH1099" s="378"/>
      <c r="AI1099" s="378"/>
      <c r="AJ1099" s="378"/>
      <c r="AK1099" s="378"/>
      <c r="AL1099" s="378"/>
      <c r="AM1099" s="378"/>
      <c r="AN1099" s="378"/>
      <c r="AO1099" s="378"/>
      <c r="AP1099" s="378"/>
      <c r="AQ1099" s="378"/>
      <c r="AR1099" s="378"/>
      <c r="AS1099" s="378"/>
      <c r="AT1099" s="378"/>
      <c r="AU1099" s="378"/>
    </row>
    <row r="1100" spans="1:47" s="18" customFormat="1" x14ac:dyDescent="0.25">
      <c r="A1100" s="378"/>
      <c r="B1100" s="2077" t="s">
        <v>951</v>
      </c>
      <c r="C1100" s="2078"/>
      <c r="D1100" s="1428" t="str">
        <f>IF('3 INDICADORES'!D288&gt;0,(('GUIA DE APLICAÇÃO'!E1103*'3 INDICADORES'!D308+'GUIA DE APLICAÇÃO'!F1103*'3 INDICADORES'!E308+'GUIA DE APLICAÇÃO'!G1103*'3 INDICADORES'!F308+'GUIA DE APLICAÇÃO'!H1103*'3 INDICADORES'!G308+'GUIA DE APLICAÇÃO'!H1104*'3 INDICADORES'!H308)/D1102),"")</f>
        <v/>
      </c>
      <c r="E1100" s="1429" t="str">
        <f>IF(AND('3 INDICADORES'!D287&gt;0,D1099=1),0.6,"")</f>
        <v/>
      </c>
      <c r="F1100" s="1429" t="str">
        <f>IF(AND('3 INDICADORES'!D287&gt;0,E1099=1),0.6,"")</f>
        <v/>
      </c>
      <c r="G1100" s="1429" t="str">
        <f>IF(AND('3 INDICADORES'!D287&gt;0,F1099=1),0.6,"")</f>
        <v/>
      </c>
      <c r="H1100" s="1429" t="str">
        <f>IF(AND('3 INDICADORES'!D287&gt;0,G1099=1),0.6,"")</f>
        <v/>
      </c>
      <c r="I1100" s="3"/>
      <c r="J1100" s="3"/>
      <c r="K1100" s="3"/>
      <c r="L1100" s="3"/>
      <c r="M1100" s="378"/>
      <c r="N1100" s="378"/>
      <c r="O1100" s="378"/>
      <c r="P1100" s="378"/>
      <c r="Q1100" s="378"/>
      <c r="R1100" s="378"/>
      <c r="S1100" s="378"/>
      <c r="T1100" s="378"/>
      <c r="U1100" s="378"/>
      <c r="V1100" s="378"/>
      <c r="W1100" s="378"/>
      <c r="X1100" s="378"/>
      <c r="Y1100" s="378"/>
      <c r="Z1100" s="378"/>
      <c r="AA1100" s="378"/>
      <c r="AB1100" s="378"/>
      <c r="AC1100" s="378"/>
      <c r="AD1100" s="378"/>
      <c r="AE1100" s="378"/>
      <c r="AF1100" s="378"/>
      <c r="AG1100" s="378"/>
      <c r="AH1100" s="378"/>
      <c r="AI1100" s="378"/>
      <c r="AJ1100" s="378"/>
      <c r="AK1100" s="378"/>
      <c r="AL1100" s="378"/>
      <c r="AM1100" s="378"/>
      <c r="AN1100" s="378"/>
      <c r="AO1100" s="378"/>
      <c r="AP1100" s="378"/>
      <c r="AQ1100" s="378"/>
      <c r="AR1100" s="378"/>
      <c r="AS1100" s="378"/>
      <c r="AT1100" s="378"/>
      <c r="AU1100" s="378"/>
    </row>
    <row r="1101" spans="1:47" s="532" customFormat="1" x14ac:dyDescent="0.25">
      <c r="A1101" s="378"/>
      <c r="B1101" s="2100" t="s">
        <v>952</v>
      </c>
      <c r="C1101" s="2101"/>
      <c r="D1101" s="1430" t="str">
        <f>IF('3 INDICADORES'!D288&gt;0,'3 INDICADORES'!D289+'3 INDICADORES'!E289+'3 INDICADORES'!F289+'3 INDICADORES'!G289+'3 INDICADORES'!H289+'GUIA DE APLICAÇÃO'!D1034+'GUIA DE APLICAÇÃO'!E1034+'GUIA DE APLICAÇÃO'!F1034+'GUIA DE APLICAÇÃO'!G1034+'GUIA DE APLICAÇÃO'!H1034+'GUIA DE APLICAÇÃO'!I1034+'GUIA DE APLICAÇÃO'!J1034+'GUIA DE APLICAÇÃO'!K1034+'GUIA DE APLICAÇÃO'!L1034+'GUIA DE APLICAÇÃO'!D1057+'GUIA DE APLICAÇÃO'!E1057+'GUIA DE APLICAÇÃO'!F1057+'GUIA DE APLICAÇÃO'!G1057+'GUIA DE APLICAÇÃO'!H1057+'GUIA DE APLICAÇÃO'!I1057+'GUIA DE APLICAÇÃO'!J1057+'GUIA DE APLICAÇÃO'!K1057+'GUIA DE APLICAÇÃO'!L1057+'GUIA DE APLICAÇÃO'!D1079+'GUIA DE APLICAÇÃO'!E1079+'GUIA DE APLICAÇÃO'!F1079+'GUIA DE APLICAÇÃO'!G1079+'GUIA DE APLICAÇÃO'!H1079+'GUIA DE APLICAÇÃO'!I1079,"")</f>
        <v/>
      </c>
      <c r="E1101" s="1429" t="str">
        <f>IF(AND('3 INDICADORES'!D287&gt;0,D1099=2),0.3,"")</f>
        <v/>
      </c>
      <c r="F1101" s="1429" t="str">
        <f>IF(AND('3 INDICADORES'!D287&gt;0,E1099=2),0.3,"")</f>
        <v/>
      </c>
      <c r="G1101" s="1429" t="str">
        <f>IF(AND('3 INDICADORES'!D287&gt;0,F1099=2),0.3,"")</f>
        <v/>
      </c>
      <c r="H1101" s="1429" t="str">
        <f>IF(AND('3 INDICADORES'!D287&gt;0,G1099=2),0.3,"")</f>
        <v/>
      </c>
      <c r="I1101" s="3"/>
      <c r="J1101" s="3"/>
      <c r="K1101" s="3"/>
      <c r="L1101" s="3"/>
      <c r="M1101" s="378"/>
      <c r="N1101" s="378"/>
      <c r="O1101" s="378"/>
      <c r="P1101" s="378"/>
      <c r="Q1101" s="378"/>
      <c r="R1101" s="378"/>
      <c r="S1101" s="378"/>
      <c r="T1101" s="378"/>
      <c r="U1101" s="378"/>
      <c r="V1101" s="378"/>
      <c r="W1101" s="378"/>
      <c r="X1101" s="378"/>
      <c r="Y1101" s="378"/>
      <c r="Z1101" s="378"/>
      <c r="AA1101" s="378"/>
      <c r="AB1101" s="378"/>
      <c r="AC1101" s="378"/>
      <c r="AD1101" s="378"/>
      <c r="AE1101" s="378"/>
      <c r="AF1101" s="378"/>
      <c r="AG1101" s="378"/>
      <c r="AH1101" s="378"/>
      <c r="AI1101" s="378"/>
      <c r="AJ1101" s="378"/>
      <c r="AK1101" s="378"/>
      <c r="AL1101" s="378"/>
      <c r="AM1101" s="378"/>
      <c r="AN1101" s="378"/>
      <c r="AO1101" s="378"/>
      <c r="AP1101" s="378"/>
      <c r="AQ1101" s="378"/>
      <c r="AR1101" s="378"/>
      <c r="AS1101" s="378"/>
      <c r="AT1101" s="378"/>
      <c r="AU1101" s="378"/>
    </row>
    <row r="1102" spans="1:47" s="532" customFormat="1" x14ac:dyDescent="0.25">
      <c r="A1102" s="378"/>
      <c r="B1102" s="2100" t="s">
        <v>953</v>
      </c>
      <c r="C1102" s="2101"/>
      <c r="D1102" s="1431" t="str">
        <f>IF('3 INDICADORES'!D308&gt;0,(SUM('3 INDICADORES'!D308:H308)),"")</f>
        <v/>
      </c>
      <c r="E1102" s="1432" t="str">
        <f>IF(AND('3 INDICADORES'!D287&gt;0,D1099=3),0.1,"")</f>
        <v/>
      </c>
      <c r="F1102" s="1432" t="str">
        <f>IF(AND('3 INDICADORES'!D287&gt;0,E1099=3),0.1,"")</f>
        <v/>
      </c>
      <c r="G1102" s="1432" t="str">
        <f>IF(AND('3 INDICADORES'!D287&gt;0,F1099=3),0.1,"")</f>
        <v/>
      </c>
      <c r="H1102" s="1432" t="str">
        <f>IF(AND('3 INDICADORES'!D287&gt;0,G1099=3),0.1,"")</f>
        <v/>
      </c>
      <c r="I1102" s="3"/>
      <c r="J1102" s="3"/>
      <c r="K1102" s="3"/>
      <c r="L1102" s="3"/>
      <c r="M1102" s="378"/>
      <c r="N1102" s="378"/>
      <c r="O1102" s="378"/>
      <c r="P1102" s="378"/>
      <c r="Q1102" s="378"/>
      <c r="R1102" s="378"/>
      <c r="S1102" s="378"/>
      <c r="T1102" s="378"/>
      <c r="U1102" s="378"/>
      <c r="V1102" s="378"/>
      <c r="W1102" s="378"/>
      <c r="X1102" s="378"/>
      <c r="Y1102" s="378"/>
      <c r="Z1102" s="378"/>
      <c r="AA1102" s="378"/>
      <c r="AB1102" s="378"/>
      <c r="AC1102" s="378"/>
      <c r="AD1102" s="378"/>
      <c r="AE1102" s="378"/>
      <c r="AF1102" s="378"/>
      <c r="AG1102" s="378"/>
      <c r="AH1102" s="378"/>
      <c r="AI1102" s="378"/>
      <c r="AJ1102" s="378"/>
      <c r="AK1102" s="378"/>
      <c r="AL1102" s="378"/>
      <c r="AM1102" s="378"/>
      <c r="AN1102" s="378"/>
      <c r="AO1102" s="378"/>
      <c r="AP1102" s="378"/>
      <c r="AQ1102" s="378"/>
      <c r="AR1102" s="378"/>
      <c r="AS1102" s="378"/>
      <c r="AT1102" s="378"/>
      <c r="AU1102" s="378"/>
    </row>
    <row r="1103" spans="1:47" s="532" customFormat="1" x14ac:dyDescent="0.25">
      <c r="A1103" s="378"/>
      <c r="B1103" s="2212" t="s">
        <v>954</v>
      </c>
      <c r="C1103" s="2213"/>
      <c r="D1103" s="1433" t="str">
        <f>IF('3 INDICADORES'!D288&gt;0,(D1101/D1102),"")</f>
        <v/>
      </c>
      <c r="E1103" s="1432">
        <f>SUM(E1100:E1102)</f>
        <v>0</v>
      </c>
      <c r="F1103" s="1432">
        <f>SUM(F1100:F1102)</f>
        <v>0</v>
      </c>
      <c r="G1103" s="1432">
        <f>SUM(G1100:G1102)</f>
        <v>0</v>
      </c>
      <c r="H1103" s="1432">
        <f>SUM(H1100:H1102)</f>
        <v>0</v>
      </c>
      <c r="I1103" s="3"/>
      <c r="J1103" s="3"/>
      <c r="K1103" s="3"/>
      <c r="L1103" s="3"/>
      <c r="M1103" s="378"/>
      <c r="N1103" s="378"/>
      <c r="O1103" s="378"/>
      <c r="P1103" s="378"/>
      <c r="Q1103" s="378"/>
      <c r="R1103" s="378"/>
      <c r="S1103" s="378"/>
      <c r="T1103" s="378"/>
      <c r="U1103" s="378"/>
      <c r="V1103" s="378"/>
      <c r="W1103" s="378"/>
      <c r="X1103" s="378"/>
      <c r="Y1103" s="378"/>
      <c r="Z1103" s="378"/>
      <c r="AA1103" s="378"/>
      <c r="AB1103" s="378"/>
      <c r="AC1103" s="378"/>
      <c r="AD1103" s="378"/>
      <c r="AE1103" s="378"/>
      <c r="AF1103" s="378"/>
      <c r="AG1103" s="378"/>
      <c r="AH1103" s="378"/>
      <c r="AI1103" s="378"/>
      <c r="AJ1103" s="378"/>
      <c r="AK1103" s="378"/>
      <c r="AL1103" s="378"/>
      <c r="AM1103" s="378"/>
      <c r="AN1103" s="378"/>
      <c r="AO1103" s="378"/>
      <c r="AP1103" s="378"/>
      <c r="AQ1103" s="378"/>
      <c r="AR1103" s="378"/>
      <c r="AS1103" s="378"/>
      <c r="AT1103" s="378"/>
      <c r="AU1103" s="378"/>
    </row>
    <row r="1104" spans="1:47" s="532" customFormat="1" x14ac:dyDescent="0.25">
      <c r="A1104" s="378"/>
      <c r="B1104" s="2212" t="s">
        <v>955</v>
      </c>
      <c r="C1104" s="2213"/>
      <c r="D1104" s="1433" t="str">
        <f>IF('3 INDICADORES'!D288&gt;0,D1101/('1 QUESTIONÁRIO'!D113+'1 QUESTIONÁRIO'!D114+'1 QUESTIONÁRIO'!D115+'1 QUESTIONÁRIO'!D116),"")</f>
        <v/>
      </c>
      <c r="E1104" s="41" t="str">
        <f>IF(AND('3 INDICADORES'!D287&gt;0,H1099=1),0.6,"")</f>
        <v/>
      </c>
      <c r="F1104" s="41" t="str">
        <f>IF(AND('3 INDICADORES'!D287&gt;0,H1099=2),0.3,"")</f>
        <v/>
      </c>
      <c r="G1104" s="41" t="str">
        <f>IF(AND('3 INDICADORES'!D287&gt;0,H1099=2),0.3,"")</f>
        <v/>
      </c>
      <c r="H1104" s="1432">
        <f>SUM(E1104:G1104)</f>
        <v>0</v>
      </c>
      <c r="I1104" s="3"/>
      <c r="J1104" s="3"/>
      <c r="K1104" s="3"/>
      <c r="L1104" s="3"/>
      <c r="M1104" s="378"/>
      <c r="N1104" s="378"/>
      <c r="O1104" s="378"/>
      <c r="P1104" s="378"/>
      <c r="Q1104" s="378"/>
      <c r="R1104" s="378"/>
      <c r="S1104" s="378"/>
      <c r="T1104" s="378"/>
      <c r="U1104" s="378"/>
      <c r="V1104" s="378"/>
      <c r="W1104" s="378"/>
      <c r="X1104" s="378"/>
      <c r="Y1104" s="378"/>
      <c r="Z1104" s="378"/>
      <c r="AA1104" s="378"/>
      <c r="AB1104" s="378"/>
      <c r="AC1104" s="378"/>
      <c r="AD1104" s="378"/>
      <c r="AE1104" s="378"/>
      <c r="AF1104" s="378"/>
      <c r="AG1104" s="378"/>
      <c r="AH1104" s="378"/>
      <c r="AI1104" s="378"/>
      <c r="AJ1104" s="378"/>
      <c r="AK1104" s="378"/>
      <c r="AL1104" s="378"/>
      <c r="AM1104" s="378"/>
      <c r="AN1104" s="378"/>
      <c r="AO1104" s="378"/>
      <c r="AP1104" s="378"/>
      <c r="AQ1104" s="378"/>
      <c r="AR1104" s="378"/>
      <c r="AS1104" s="378"/>
      <c r="AT1104" s="378"/>
      <c r="AU1104" s="378"/>
    </row>
    <row r="1105" spans="1:47" s="532" customFormat="1" x14ac:dyDescent="0.25">
      <c r="A1105" s="378"/>
      <c r="B1105" s="20" t="str">
        <f>IF(AND('3 INDICADORES'!D287&gt;0,'3 INDICADORES'!D309=1),0.6,"")</f>
        <v/>
      </c>
      <c r="C1105" s="20" t="str">
        <f>IF(AND('3 INDICADORES'!D287&gt;0,'3 INDICADORES'!E309=1),0.6,"")</f>
        <v/>
      </c>
      <c r="D1105" s="20" t="str">
        <f>IF(AND('3 INDICADORES'!D287&gt;0,'3 INDICADORES'!F309=1),0.6,"")</f>
        <v/>
      </c>
      <c r="E1105" s="20" t="str">
        <f>IF(AND('3 INDICADORES'!D287&gt;0,'3 INDICADORES'!G309=1),0.6,"")</f>
        <v/>
      </c>
      <c r="F1105" s="3"/>
      <c r="G1105" s="3"/>
      <c r="H1105" s="3"/>
      <c r="I1105" s="3"/>
      <c r="J1105" s="3"/>
      <c r="K1105" s="3"/>
      <c r="L1105" s="3"/>
      <c r="M1105" s="378"/>
      <c r="N1105" s="378"/>
      <c r="O1105" s="378"/>
      <c r="P1105" s="378"/>
      <c r="Q1105" s="378"/>
      <c r="R1105" s="378"/>
      <c r="S1105" s="378"/>
      <c r="T1105" s="378"/>
      <c r="U1105" s="378"/>
      <c r="V1105" s="378"/>
      <c r="W1105" s="378"/>
      <c r="X1105" s="378"/>
      <c r="Y1105" s="378"/>
      <c r="Z1105" s="378"/>
      <c r="AA1105" s="378"/>
      <c r="AB1105" s="378"/>
      <c r="AC1105" s="378"/>
      <c r="AD1105" s="378"/>
      <c r="AE1105" s="378"/>
      <c r="AF1105" s="378"/>
      <c r="AG1105" s="378"/>
      <c r="AH1105" s="378"/>
      <c r="AI1105" s="378"/>
      <c r="AJ1105" s="378"/>
      <c r="AK1105" s="378"/>
      <c r="AL1105" s="378"/>
      <c r="AM1105" s="378"/>
      <c r="AN1105" s="378"/>
      <c r="AO1105" s="378"/>
      <c r="AP1105" s="378"/>
      <c r="AQ1105" s="378"/>
      <c r="AR1105" s="378"/>
      <c r="AS1105" s="378"/>
      <c r="AT1105" s="378"/>
      <c r="AU1105" s="378"/>
    </row>
    <row r="1106" spans="1:47" s="532" customFormat="1" x14ac:dyDescent="0.25">
      <c r="A1106" s="378"/>
      <c r="B1106" s="20"/>
      <c r="C1106" s="20"/>
      <c r="D1106" s="20"/>
      <c r="E1106" s="20"/>
      <c r="F1106" s="3"/>
      <c r="G1106" s="3"/>
      <c r="H1106" s="3"/>
      <c r="I1106" s="3"/>
      <c r="J1106" s="3"/>
      <c r="K1106" s="3"/>
      <c r="L1106" s="3"/>
      <c r="M1106" s="378"/>
      <c r="N1106" s="378"/>
      <c r="O1106" s="378"/>
      <c r="P1106" s="378"/>
      <c r="Q1106" s="378"/>
      <c r="R1106" s="378"/>
      <c r="S1106" s="378"/>
      <c r="T1106" s="378"/>
      <c r="U1106" s="378"/>
      <c r="V1106" s="378"/>
      <c r="W1106" s="378"/>
      <c r="X1106" s="378"/>
      <c r="Y1106" s="378"/>
      <c r="Z1106" s="378"/>
      <c r="AA1106" s="378"/>
      <c r="AB1106" s="378"/>
      <c r="AC1106" s="378"/>
      <c r="AD1106" s="378"/>
      <c r="AE1106" s="378"/>
      <c r="AF1106" s="378"/>
      <c r="AG1106" s="378"/>
      <c r="AH1106" s="378"/>
      <c r="AI1106" s="378"/>
      <c r="AJ1106" s="378"/>
      <c r="AK1106" s="378"/>
      <c r="AL1106" s="378"/>
      <c r="AM1106" s="378"/>
      <c r="AN1106" s="378"/>
      <c r="AO1106" s="378"/>
      <c r="AP1106" s="378"/>
      <c r="AQ1106" s="378"/>
      <c r="AR1106" s="378"/>
      <c r="AS1106" s="378"/>
      <c r="AT1106" s="378"/>
      <c r="AU1106" s="378"/>
    </row>
    <row r="1107" spans="1:47" s="532" customFormat="1" x14ac:dyDescent="0.25">
      <c r="A1107" s="378"/>
      <c r="B1107" s="20"/>
      <c r="C1107" s="20"/>
      <c r="D1107" s="20"/>
      <c r="E1107" s="20"/>
      <c r="F1107" s="3"/>
      <c r="G1107" s="3"/>
      <c r="H1107" s="3"/>
      <c r="I1107" s="3"/>
      <c r="J1107" s="3"/>
      <c r="K1107" s="3"/>
      <c r="L1107" s="3"/>
      <c r="M1107" s="378"/>
      <c r="N1107" s="378"/>
      <c r="O1107" s="378"/>
      <c r="P1107" s="378"/>
      <c r="Q1107" s="378"/>
      <c r="R1107" s="378"/>
      <c r="S1107" s="378"/>
      <c r="T1107" s="378"/>
      <c r="U1107" s="378"/>
      <c r="V1107" s="378"/>
      <c r="W1107" s="378"/>
      <c r="X1107" s="378"/>
      <c r="Y1107" s="378"/>
      <c r="Z1107" s="378"/>
      <c r="AA1107" s="378"/>
      <c r="AB1107" s="378"/>
      <c r="AC1107" s="378"/>
      <c r="AD1107" s="378"/>
      <c r="AE1107" s="378"/>
      <c r="AF1107" s="378"/>
      <c r="AG1107" s="378"/>
      <c r="AH1107" s="378"/>
      <c r="AI1107" s="378"/>
      <c r="AJ1107" s="378"/>
      <c r="AK1107" s="378"/>
      <c r="AL1107" s="378"/>
      <c r="AM1107" s="378"/>
      <c r="AN1107" s="378"/>
      <c r="AO1107" s="378"/>
      <c r="AP1107" s="378"/>
      <c r="AQ1107" s="378"/>
      <c r="AR1107" s="378"/>
      <c r="AS1107" s="378"/>
      <c r="AT1107" s="378"/>
      <c r="AU1107" s="378"/>
    </row>
    <row r="1108" spans="1:47" s="532" customFormat="1" x14ac:dyDescent="0.25">
      <c r="A1108" s="378"/>
      <c r="B1108" s="20"/>
      <c r="C1108" s="20"/>
      <c r="D1108" s="20"/>
      <c r="E1108" s="20"/>
      <c r="F1108" s="3"/>
      <c r="G1108" s="3"/>
      <c r="H1108" s="3"/>
      <c r="I1108" s="3"/>
      <c r="J1108" s="3"/>
      <c r="K1108" s="3"/>
      <c r="L1108" s="3"/>
      <c r="M1108" s="378"/>
      <c r="N1108" s="378"/>
      <c r="O1108" s="378"/>
      <c r="P1108" s="378"/>
      <c r="Q1108" s="378"/>
      <c r="R1108" s="378"/>
      <c r="S1108" s="378"/>
      <c r="T1108" s="378"/>
      <c r="U1108" s="378"/>
      <c r="V1108" s="378"/>
      <c r="W1108" s="378"/>
      <c r="X1108" s="378"/>
      <c r="Y1108" s="378"/>
      <c r="Z1108" s="378"/>
      <c r="AA1108" s="378"/>
      <c r="AB1108" s="378"/>
      <c r="AC1108" s="378"/>
      <c r="AD1108" s="378"/>
      <c r="AE1108" s="378"/>
      <c r="AF1108" s="378"/>
      <c r="AG1108" s="378"/>
      <c r="AH1108" s="378"/>
      <c r="AI1108" s="378"/>
      <c r="AJ1108" s="378"/>
      <c r="AK1108" s="378"/>
      <c r="AL1108" s="378"/>
      <c r="AM1108" s="378"/>
      <c r="AN1108" s="378"/>
      <c r="AO1108" s="378"/>
      <c r="AP1108" s="378"/>
      <c r="AQ1108" s="378"/>
      <c r="AR1108" s="378"/>
      <c r="AS1108" s="378"/>
      <c r="AT1108" s="378"/>
      <c r="AU1108" s="378"/>
    </row>
    <row r="1109" spans="1:47" s="532" customFormat="1" x14ac:dyDescent="0.25">
      <c r="A1109" s="378"/>
      <c r="B1109" s="20"/>
      <c r="C1109" s="20"/>
      <c r="D1109" s="20"/>
      <c r="E1109" s="20"/>
      <c r="F1109" s="3"/>
      <c r="G1109" s="3"/>
      <c r="H1109" s="3"/>
      <c r="I1109" s="3"/>
      <c r="J1109" s="3"/>
      <c r="K1109" s="3"/>
      <c r="L1109" s="3"/>
      <c r="M1109" s="378"/>
      <c r="N1109" s="378"/>
      <c r="O1109" s="378"/>
      <c r="P1109" s="378"/>
      <c r="Q1109" s="378"/>
      <c r="R1109" s="378"/>
      <c r="S1109" s="378"/>
      <c r="T1109" s="378"/>
      <c r="U1109" s="378"/>
      <c r="V1109" s="378"/>
      <c r="W1109" s="378"/>
      <c r="X1109" s="378"/>
      <c r="Y1109" s="378"/>
      <c r="Z1109" s="378"/>
      <c r="AA1109" s="378"/>
      <c r="AB1109" s="378"/>
      <c r="AC1109" s="378"/>
      <c r="AD1109" s="378"/>
      <c r="AE1109" s="378"/>
      <c r="AF1109" s="378"/>
      <c r="AG1109" s="378"/>
      <c r="AH1109" s="378"/>
      <c r="AI1109" s="378"/>
      <c r="AJ1109" s="378"/>
      <c r="AK1109" s="378"/>
      <c r="AL1109" s="378"/>
      <c r="AM1109" s="378"/>
      <c r="AN1109" s="378"/>
      <c r="AO1109" s="378"/>
      <c r="AP1109" s="378"/>
      <c r="AQ1109" s="378"/>
      <c r="AR1109" s="378"/>
      <c r="AS1109" s="378"/>
      <c r="AT1109" s="378"/>
      <c r="AU1109" s="378"/>
    </row>
    <row r="1110" spans="1:47" s="532" customFormat="1" x14ac:dyDescent="0.25">
      <c r="A1110" s="378"/>
      <c r="B1110" s="20"/>
      <c r="C1110" s="20"/>
      <c r="D1110" s="20"/>
      <c r="E1110" s="20"/>
      <c r="F1110" s="3"/>
      <c r="G1110" s="3"/>
      <c r="H1110" s="3"/>
      <c r="I1110" s="3"/>
      <c r="J1110" s="3"/>
      <c r="K1110" s="3"/>
      <c r="L1110" s="3"/>
      <c r="M1110" s="378"/>
      <c r="N1110" s="378"/>
      <c r="O1110" s="378"/>
      <c r="P1110" s="378"/>
      <c r="Q1110" s="378"/>
      <c r="R1110" s="378"/>
      <c r="S1110" s="378"/>
      <c r="T1110" s="378"/>
      <c r="U1110" s="378"/>
      <c r="V1110" s="378"/>
      <c r="W1110" s="378"/>
      <c r="X1110" s="378"/>
      <c r="Y1110" s="378"/>
      <c r="Z1110" s="378"/>
      <c r="AA1110" s="378"/>
      <c r="AB1110" s="378"/>
      <c r="AC1110" s="378"/>
      <c r="AD1110" s="378"/>
      <c r="AE1110" s="378"/>
      <c r="AF1110" s="378"/>
      <c r="AG1110" s="378"/>
      <c r="AH1110" s="378"/>
      <c r="AI1110" s="378"/>
      <c r="AJ1110" s="378"/>
      <c r="AK1110" s="378"/>
      <c r="AL1110" s="378"/>
      <c r="AM1110" s="378"/>
      <c r="AN1110" s="378"/>
      <c r="AO1110" s="378"/>
      <c r="AP1110" s="378"/>
      <c r="AQ1110" s="378"/>
      <c r="AR1110" s="378"/>
      <c r="AS1110" s="378"/>
      <c r="AT1110" s="378"/>
      <c r="AU1110" s="378"/>
    </row>
    <row r="1111" spans="1:47" s="532" customFormat="1" x14ac:dyDescent="0.25">
      <c r="A1111" s="378"/>
      <c r="B1111" s="20"/>
      <c r="C1111" s="20"/>
      <c r="D1111" s="20"/>
      <c r="E1111" s="20"/>
      <c r="F1111" s="3"/>
      <c r="G1111" s="3"/>
      <c r="H1111" s="3"/>
      <c r="I1111" s="3"/>
      <c r="J1111" s="3"/>
      <c r="K1111" s="3"/>
      <c r="L1111" s="3"/>
      <c r="M1111" s="378"/>
      <c r="N1111" s="378"/>
      <c r="O1111" s="378"/>
      <c r="P1111" s="378"/>
      <c r="Q1111" s="378"/>
      <c r="R1111" s="378"/>
      <c r="S1111" s="378"/>
      <c r="T1111" s="378"/>
      <c r="U1111" s="378"/>
      <c r="V1111" s="378"/>
      <c r="W1111" s="378"/>
      <c r="X1111" s="378"/>
      <c r="Y1111" s="378"/>
      <c r="Z1111" s="378"/>
      <c r="AA1111" s="378"/>
      <c r="AB1111" s="378"/>
      <c r="AC1111" s="378"/>
      <c r="AD1111" s="378"/>
      <c r="AE1111" s="378"/>
      <c r="AF1111" s="378"/>
      <c r="AG1111" s="378"/>
      <c r="AH1111" s="378"/>
      <c r="AI1111" s="378"/>
      <c r="AJ1111" s="378"/>
      <c r="AK1111" s="378"/>
      <c r="AL1111" s="378"/>
      <c r="AM1111" s="378"/>
      <c r="AN1111" s="378"/>
      <c r="AO1111" s="378"/>
      <c r="AP1111" s="378"/>
      <c r="AQ1111" s="378"/>
      <c r="AR1111" s="378"/>
      <c r="AS1111" s="378"/>
      <c r="AT1111" s="378"/>
      <c r="AU1111" s="378"/>
    </row>
    <row r="1112" spans="1:47" s="532" customFormat="1" x14ac:dyDescent="0.25">
      <c r="A1112" s="378"/>
      <c r="B1112" s="20"/>
      <c r="C1112" s="20"/>
      <c r="D1112" s="20"/>
      <c r="E1112" s="20"/>
      <c r="F1112" s="3"/>
      <c r="G1112" s="3"/>
      <c r="H1112" s="3"/>
      <c r="I1112" s="3"/>
      <c r="J1112" s="3"/>
      <c r="K1112" s="3"/>
      <c r="L1112" s="3"/>
      <c r="M1112" s="378"/>
      <c r="N1112" s="378"/>
      <c r="O1112" s="378"/>
      <c r="P1112" s="378"/>
      <c r="Q1112" s="378"/>
      <c r="R1112" s="378"/>
      <c r="S1112" s="378"/>
      <c r="T1112" s="378"/>
      <c r="U1112" s="378"/>
      <c r="V1112" s="378"/>
      <c r="W1112" s="378"/>
      <c r="X1112" s="378"/>
      <c r="Y1112" s="378"/>
      <c r="Z1112" s="378"/>
      <c r="AA1112" s="378"/>
      <c r="AB1112" s="378"/>
      <c r="AC1112" s="378"/>
      <c r="AD1112" s="378"/>
      <c r="AE1112" s="378"/>
      <c r="AF1112" s="378"/>
      <c r="AG1112" s="378"/>
      <c r="AH1112" s="378"/>
      <c r="AI1112" s="378"/>
      <c r="AJ1112" s="378"/>
      <c r="AK1112" s="378"/>
      <c r="AL1112" s="378"/>
      <c r="AM1112" s="378"/>
      <c r="AN1112" s="378"/>
      <c r="AO1112" s="378"/>
      <c r="AP1112" s="378"/>
      <c r="AQ1112" s="378"/>
      <c r="AR1112" s="378"/>
      <c r="AS1112" s="378"/>
      <c r="AT1112" s="378"/>
      <c r="AU1112" s="378"/>
    </row>
    <row r="1113" spans="1:47" s="532" customFormat="1" x14ac:dyDescent="0.25">
      <c r="A1113" s="378"/>
      <c r="B1113" s="20" t="str">
        <f>IF(AND('3 INDICADORES'!D287&gt;0,'3 INDICADORES'!D309=3),0.1,"")</f>
        <v/>
      </c>
      <c r="C1113" s="20" t="str">
        <f>IF(AND('3 INDICADORES'!D287&gt;0,'3 INDICADORES'!E309=3),0.1,"")</f>
        <v/>
      </c>
      <c r="D1113" s="20" t="str">
        <f>IF(AND('3 INDICADORES'!D287&gt;0,'3 INDICADORES'!F309=3),0.1,"")</f>
        <v/>
      </c>
      <c r="E1113" s="20" t="str">
        <f>IF(AND('3 INDICADORES'!D287&gt;0,'3 INDICADORES'!G309=3),0.1,"")</f>
        <v/>
      </c>
      <c r="F1113" s="3"/>
      <c r="G1113" s="3"/>
      <c r="H1113" s="3"/>
      <c r="I1113" s="3"/>
      <c r="J1113" s="3"/>
      <c r="K1113" s="3"/>
      <c r="L1113" s="3"/>
      <c r="M1113" s="378"/>
      <c r="N1113" s="378"/>
      <c r="O1113" s="378"/>
      <c r="P1113" s="378"/>
      <c r="Q1113" s="378"/>
      <c r="R1113" s="378"/>
      <c r="S1113" s="378"/>
      <c r="T1113" s="378"/>
      <c r="U1113" s="378"/>
      <c r="V1113" s="378"/>
      <c r="W1113" s="378"/>
      <c r="X1113" s="378"/>
      <c r="Y1113" s="378"/>
      <c r="Z1113" s="378"/>
      <c r="AA1113" s="378"/>
      <c r="AB1113" s="378"/>
      <c r="AC1113" s="378"/>
      <c r="AD1113" s="378"/>
      <c r="AE1113" s="378"/>
      <c r="AF1113" s="378"/>
      <c r="AG1113" s="378"/>
      <c r="AH1113" s="378"/>
      <c r="AI1113" s="378"/>
      <c r="AJ1113" s="378"/>
      <c r="AK1113" s="378"/>
      <c r="AL1113" s="378"/>
      <c r="AM1113" s="378"/>
      <c r="AN1113" s="378"/>
      <c r="AO1113" s="378"/>
      <c r="AP1113" s="378"/>
      <c r="AQ1113" s="378"/>
      <c r="AR1113" s="378"/>
      <c r="AS1113" s="378"/>
      <c r="AT1113" s="378"/>
      <c r="AU1113" s="378"/>
    </row>
    <row r="1114" spans="1:47" x14ac:dyDescent="0.25">
      <c r="A1114" s="378"/>
      <c r="B1114" s="378"/>
      <c r="C1114" s="378"/>
      <c r="D1114" s="378"/>
      <c r="E1114" s="378"/>
      <c r="F1114" s="378"/>
      <c r="G1114" s="378"/>
      <c r="H1114" s="378"/>
      <c r="I1114" s="378"/>
      <c r="J1114" s="378"/>
      <c r="K1114" s="378"/>
      <c r="L1114" s="378"/>
      <c r="M1114" s="378"/>
      <c r="N1114" s="378"/>
      <c r="O1114" s="378"/>
      <c r="P1114" s="378"/>
      <c r="Q1114" s="378"/>
      <c r="R1114" s="378"/>
      <c r="S1114" s="378"/>
      <c r="T1114" s="378"/>
      <c r="U1114" s="378"/>
      <c r="V1114" s="378"/>
      <c r="W1114" s="378"/>
      <c r="X1114" s="378"/>
      <c r="Y1114" s="378"/>
      <c r="Z1114" s="378"/>
      <c r="AA1114" s="378"/>
      <c r="AB1114" s="378"/>
      <c r="AC1114" s="378"/>
      <c r="AD1114" s="378"/>
      <c r="AE1114" s="378"/>
      <c r="AF1114" s="378"/>
      <c r="AG1114" s="378"/>
      <c r="AH1114" s="378"/>
      <c r="AI1114" s="378"/>
      <c r="AJ1114" s="378"/>
      <c r="AK1114" s="378"/>
      <c r="AL1114" s="378"/>
      <c r="AM1114" s="378"/>
      <c r="AN1114" s="378"/>
      <c r="AO1114" s="378"/>
      <c r="AP1114" s="378"/>
      <c r="AQ1114" s="378"/>
      <c r="AR1114" s="378"/>
      <c r="AS1114" s="378"/>
      <c r="AT1114" s="378"/>
      <c r="AU1114" s="378"/>
    </row>
    <row r="1115" spans="1:47" ht="21" x14ac:dyDescent="0.35">
      <c r="A1115" s="749">
        <v>15</v>
      </c>
      <c r="B1115" s="2094" t="s">
        <v>799</v>
      </c>
      <c r="C1115" s="2094"/>
      <c r="D1115" s="378"/>
      <c r="E1115" s="2055" t="s">
        <v>766</v>
      </c>
      <c r="F1115" s="2055"/>
      <c r="G1115" s="1169" t="s">
        <v>956</v>
      </c>
      <c r="H1115" s="1169" t="s">
        <v>957</v>
      </c>
      <c r="I1115" s="1170" t="s">
        <v>958</v>
      </c>
      <c r="J1115" s="3"/>
      <c r="K1115" s="3"/>
      <c r="L1115" s="3"/>
      <c r="M1115" s="378"/>
      <c r="N1115" s="378"/>
      <c r="O1115" s="378"/>
      <c r="P1115" s="378"/>
      <c r="Q1115" s="378"/>
      <c r="R1115" s="378"/>
      <c r="S1115" s="378"/>
      <c r="T1115" s="378"/>
      <c r="U1115" s="378"/>
      <c r="V1115" s="378"/>
      <c r="W1115" s="378"/>
      <c r="X1115" s="378"/>
      <c r="Y1115" s="378"/>
      <c r="Z1115" s="378"/>
      <c r="AA1115" s="378"/>
      <c r="AB1115" s="378"/>
      <c r="AC1115" s="378"/>
      <c r="AD1115" s="378"/>
      <c r="AE1115" s="378"/>
      <c r="AF1115" s="378"/>
      <c r="AG1115" s="378"/>
      <c r="AH1115" s="378"/>
      <c r="AI1115" s="378"/>
      <c r="AJ1115" s="378"/>
      <c r="AK1115" s="378"/>
      <c r="AL1115" s="378"/>
      <c r="AM1115" s="378"/>
      <c r="AN1115" s="378"/>
      <c r="AO1115" s="378"/>
      <c r="AP1115" s="378"/>
      <c r="AQ1115" s="378"/>
      <c r="AR1115" s="378"/>
      <c r="AS1115" s="378"/>
      <c r="AT1115" s="378"/>
      <c r="AU1115" s="378"/>
    </row>
    <row r="1116" spans="1:47" ht="15.75" x14ac:dyDescent="0.25">
      <c r="A1116" s="378"/>
      <c r="B1116" s="1166" t="s">
        <v>959</v>
      </c>
      <c r="C1116" s="1167" t="s">
        <v>774</v>
      </c>
      <c r="D1116" s="378"/>
      <c r="E1116" s="45"/>
      <c r="F1116" s="45"/>
      <c r="G1116" s="1171" t="str">
        <f>IF(E1124&gt;0,1," ")</f>
        <v xml:space="preserve"> </v>
      </c>
      <c r="H1116" s="1171" t="str">
        <f>IF(G1124&gt;0,1," ")</f>
        <v xml:space="preserve"> </v>
      </c>
      <c r="I1116" s="1171" t="str">
        <f>IF(I1124&gt;0,1," ")</f>
        <v xml:space="preserve"> </v>
      </c>
      <c r="J1116" s="3"/>
      <c r="K1116" s="3"/>
      <c r="L1116" s="3"/>
      <c r="M1116" s="378"/>
      <c r="N1116" s="378"/>
      <c r="O1116" s="378"/>
      <c r="P1116" s="378"/>
      <c r="Q1116" s="378"/>
      <c r="R1116" s="378"/>
      <c r="S1116" s="378"/>
      <c r="T1116" s="378"/>
      <c r="U1116" s="378"/>
      <c r="V1116" s="378"/>
      <c r="W1116" s="378"/>
      <c r="X1116" s="378"/>
      <c r="Y1116" s="378"/>
      <c r="Z1116" s="378"/>
      <c r="AA1116" s="378"/>
      <c r="AB1116" s="378"/>
      <c r="AC1116" s="378"/>
      <c r="AD1116" s="378"/>
      <c r="AE1116" s="378"/>
      <c r="AF1116" s="378"/>
      <c r="AG1116" s="378"/>
      <c r="AH1116" s="378"/>
      <c r="AI1116" s="378"/>
      <c r="AJ1116" s="378"/>
      <c r="AK1116" s="378"/>
      <c r="AL1116" s="378"/>
      <c r="AM1116" s="378"/>
      <c r="AN1116" s="378"/>
      <c r="AO1116" s="378"/>
      <c r="AP1116" s="378"/>
      <c r="AQ1116" s="378"/>
      <c r="AR1116" s="378"/>
      <c r="AS1116" s="378"/>
      <c r="AT1116" s="378"/>
      <c r="AU1116" s="378"/>
    </row>
    <row r="1117" spans="1:47" ht="15.75" x14ac:dyDescent="0.25">
      <c r="A1117" s="378"/>
      <c r="B1117" s="1539" t="s">
        <v>956</v>
      </c>
      <c r="C1117" s="1531">
        <v>0.55000000000000004</v>
      </c>
      <c r="D1117" s="378"/>
      <c r="E1117" s="370"/>
      <c r="F1117" s="45"/>
      <c r="G1117" s="1171" t="str">
        <f>IF(E1122&gt;0,1," ")</f>
        <v xml:space="preserve"> </v>
      </c>
      <c r="H1117" s="1171" t="str">
        <f>IF(G1122&gt;0,1," ")</f>
        <v xml:space="preserve"> </v>
      </c>
      <c r="I1117" s="1171" t="str">
        <f>IF(I1122&gt;0,1," ")</f>
        <v xml:space="preserve"> </v>
      </c>
      <c r="J1117" s="3"/>
      <c r="K1117" s="3"/>
      <c r="L1117" s="3"/>
      <c r="M1117" s="378"/>
      <c r="N1117" s="378"/>
      <c r="O1117" s="378"/>
      <c r="P1117" s="378"/>
      <c r="Q1117" s="378"/>
      <c r="R1117" s="378"/>
      <c r="S1117" s="378"/>
      <c r="T1117" s="378"/>
      <c r="U1117" s="378"/>
      <c r="V1117" s="378"/>
      <c r="W1117" s="378"/>
      <c r="X1117" s="378"/>
      <c r="Y1117" s="378"/>
      <c r="Z1117" s="378"/>
      <c r="AA1117" s="378"/>
      <c r="AB1117" s="378"/>
      <c r="AC1117" s="378"/>
      <c r="AD1117" s="378"/>
      <c r="AE1117" s="378"/>
      <c r="AF1117" s="378"/>
      <c r="AG1117" s="378"/>
      <c r="AH1117" s="378"/>
      <c r="AI1117" s="378"/>
      <c r="AJ1117" s="378"/>
      <c r="AK1117" s="378"/>
      <c r="AL1117" s="378"/>
      <c r="AM1117" s="378"/>
      <c r="AN1117" s="378"/>
      <c r="AO1117" s="378"/>
      <c r="AP1117" s="378"/>
      <c r="AQ1117" s="378"/>
      <c r="AR1117" s="378"/>
      <c r="AS1117" s="378"/>
      <c r="AT1117" s="378"/>
      <c r="AU1117" s="378"/>
    </row>
    <row r="1118" spans="1:47" ht="15.75" x14ac:dyDescent="0.25">
      <c r="A1118" s="378"/>
      <c r="B1118" s="1539" t="s">
        <v>304</v>
      </c>
      <c r="C1118" s="1531">
        <v>0.45</v>
      </c>
      <c r="D1118" s="378"/>
      <c r="E1118" s="370"/>
      <c r="F1118" s="370"/>
      <c r="G1118" s="1172" t="str">
        <f>IF(E1120&gt;0,1," ")</f>
        <v xml:space="preserve"> </v>
      </c>
      <c r="H1118" s="1171" t="str">
        <f>IF(G1120&gt;0,1," ")</f>
        <v xml:space="preserve"> </v>
      </c>
      <c r="I1118" s="1171" t="str">
        <f>IF(I1120&gt;0,1," ")</f>
        <v xml:space="preserve"> </v>
      </c>
      <c r="J1118" s="3"/>
      <c r="K1118" s="3"/>
      <c r="L1118" s="3"/>
      <c r="M1118" s="378"/>
      <c r="N1118" s="378"/>
      <c r="O1118" s="378"/>
      <c r="P1118" s="378"/>
      <c r="Q1118" s="378"/>
      <c r="R1118" s="378"/>
      <c r="S1118" s="378"/>
      <c r="T1118" s="378"/>
      <c r="U1118" s="378"/>
      <c r="V1118" s="378"/>
      <c r="W1118" s="378"/>
      <c r="X1118" s="378"/>
      <c r="Y1118" s="378"/>
      <c r="Z1118" s="378"/>
      <c r="AA1118" s="378"/>
      <c r="AB1118" s="378"/>
      <c r="AC1118" s="378"/>
      <c r="AD1118" s="378"/>
      <c r="AE1118" s="378"/>
      <c r="AF1118" s="378"/>
      <c r="AG1118" s="378"/>
      <c r="AH1118" s="378"/>
      <c r="AI1118" s="378"/>
      <c r="AJ1118" s="378"/>
      <c r="AK1118" s="378"/>
      <c r="AL1118" s="378"/>
      <c r="AM1118" s="378"/>
      <c r="AN1118" s="378"/>
      <c r="AO1118" s="378"/>
      <c r="AP1118" s="378"/>
      <c r="AQ1118" s="378"/>
      <c r="AR1118" s="378"/>
      <c r="AS1118" s="378"/>
      <c r="AT1118" s="378"/>
      <c r="AU1118" s="378"/>
    </row>
    <row r="1119" spans="1:47" x14ac:dyDescent="0.25">
      <c r="A1119" s="378"/>
      <c r="B1119" s="1539" t="s">
        <v>960</v>
      </c>
      <c r="C1119" s="1068">
        <v>0.35</v>
      </c>
      <c r="D1119" s="378"/>
      <c r="E1119" s="1092">
        <f>IF('3 INDICADORES'!$F$318&lt;0.05,'3 INDICADORES'!$D$318,0)</f>
        <v>0</v>
      </c>
      <c r="F1119" s="370"/>
      <c r="G1119" s="1173">
        <f>IF('3 INDICADORES'!$F$318&gt;0.05,'3 INDICADORES'!$D$318,0)</f>
        <v>0</v>
      </c>
      <c r="H1119" s="1173"/>
      <c r="I1119" s="1173">
        <f>IF('3 INDICADORES'!$F$318&gt;0.1,'3 INDICADORES'!$D$318,0)</f>
        <v>0</v>
      </c>
      <c r="J1119" s="3"/>
      <c r="K1119" s="3"/>
      <c r="L1119" s="3"/>
      <c r="M1119" s="378"/>
      <c r="N1119" s="378"/>
      <c r="O1119" s="378"/>
      <c r="P1119" s="378"/>
      <c r="Q1119" s="378"/>
      <c r="R1119" s="378"/>
      <c r="S1119" s="378"/>
      <c r="T1119" s="378"/>
      <c r="U1119" s="378"/>
      <c r="V1119" s="378"/>
      <c r="W1119" s="378"/>
      <c r="X1119" s="378"/>
      <c r="Y1119" s="378"/>
      <c r="Z1119" s="378"/>
      <c r="AA1119" s="378"/>
      <c r="AB1119" s="378"/>
      <c r="AC1119" s="378"/>
      <c r="AD1119" s="378"/>
      <c r="AE1119" s="378"/>
      <c r="AF1119" s="378"/>
      <c r="AG1119" s="378"/>
      <c r="AH1119" s="378"/>
      <c r="AI1119" s="378"/>
      <c r="AJ1119" s="378"/>
      <c r="AK1119" s="378"/>
      <c r="AL1119" s="378"/>
      <c r="AM1119" s="378"/>
      <c r="AN1119" s="378"/>
      <c r="AO1119" s="378"/>
      <c r="AP1119" s="378"/>
      <c r="AQ1119" s="378"/>
      <c r="AR1119" s="378"/>
      <c r="AS1119" s="378"/>
      <c r="AT1119" s="378"/>
      <c r="AU1119" s="378"/>
    </row>
    <row r="1120" spans="1:47" x14ac:dyDescent="0.25">
      <c r="A1120" s="378"/>
      <c r="B1120" s="1166" t="s">
        <v>959</v>
      </c>
      <c r="C1120" s="1167" t="s">
        <v>774</v>
      </c>
      <c r="D1120" s="378"/>
      <c r="E1120" s="1088">
        <f>+E1119</f>
        <v>0</v>
      </c>
      <c r="F1120" s="1174"/>
      <c r="G1120" s="1071">
        <f>IF(I1119&gt;0.99,0,G1119)</f>
        <v>0</v>
      </c>
      <c r="H1120" s="1174"/>
      <c r="I1120" s="1071">
        <f>+I1119</f>
        <v>0</v>
      </c>
      <c r="J1120" s="3"/>
      <c r="K1120" s="3"/>
      <c r="L1120" s="3"/>
      <c r="M1120" s="378"/>
      <c r="N1120" s="378"/>
      <c r="O1120" s="378"/>
      <c r="P1120" s="378"/>
      <c r="Q1120" s="378"/>
      <c r="R1120" s="378"/>
      <c r="S1120" s="378"/>
      <c r="T1120" s="378"/>
      <c r="U1120" s="378"/>
      <c r="V1120" s="378"/>
      <c r="W1120" s="378"/>
      <c r="X1120" s="378"/>
      <c r="Y1120" s="378"/>
      <c r="Z1120" s="378"/>
      <c r="AA1120" s="378"/>
      <c r="AB1120" s="378"/>
      <c r="AC1120" s="378"/>
      <c r="AD1120" s="378"/>
      <c r="AE1120" s="378"/>
      <c r="AF1120" s="378"/>
      <c r="AG1120" s="378"/>
      <c r="AH1120" s="378"/>
      <c r="AI1120" s="378"/>
      <c r="AJ1120" s="378"/>
      <c r="AK1120" s="378"/>
      <c r="AL1120" s="378"/>
      <c r="AM1120" s="378"/>
      <c r="AN1120" s="378"/>
      <c r="AO1120" s="378"/>
      <c r="AP1120" s="378"/>
      <c r="AQ1120" s="378"/>
      <c r="AR1120" s="378"/>
      <c r="AS1120" s="378"/>
      <c r="AT1120" s="378"/>
      <c r="AU1120" s="378"/>
    </row>
    <row r="1121" spans="1:47" x14ac:dyDescent="0.25">
      <c r="A1121" s="378"/>
      <c r="B1121" s="1168" t="s">
        <v>961</v>
      </c>
      <c r="C1121" s="1068">
        <v>0.5</v>
      </c>
      <c r="D1121" s="378"/>
      <c r="E1121" s="1088">
        <f>IF('3 INDICADORES'!$F$319&lt;0.05,'3 INDICADORES'!$D$319,0)</f>
        <v>0</v>
      </c>
      <c r="F1121" s="1174"/>
      <c r="G1121" s="1071">
        <f>IF('3 INDICADORES'!$F$319&gt;0.05,'3 INDICADORES'!$D$319,0)</f>
        <v>0</v>
      </c>
      <c r="H1121" s="1071"/>
      <c r="I1121" s="1071">
        <f>IF('3 INDICADORES'!$F$319&gt;0.1,'3 INDICADORES'!$D$319,0)</f>
        <v>0</v>
      </c>
      <c r="J1121" s="3"/>
      <c r="K1121" s="3"/>
      <c r="L1121" s="3"/>
      <c r="M1121" s="378"/>
      <c r="N1121" s="378"/>
      <c r="O1121" s="378"/>
      <c r="P1121" s="378"/>
      <c r="Q1121" s="378"/>
      <c r="R1121" s="378"/>
      <c r="S1121" s="378"/>
      <c r="T1121" s="378"/>
      <c r="U1121" s="378"/>
      <c r="V1121" s="378"/>
      <c r="W1121" s="378"/>
      <c r="X1121" s="378"/>
      <c r="Y1121" s="378"/>
      <c r="Z1121" s="378"/>
      <c r="AA1121" s="378"/>
      <c r="AB1121" s="378"/>
      <c r="AC1121" s="378"/>
      <c r="AD1121" s="378"/>
      <c r="AE1121" s="378"/>
      <c r="AF1121" s="378"/>
      <c r="AG1121" s="378"/>
      <c r="AH1121" s="378"/>
      <c r="AI1121" s="378"/>
      <c r="AJ1121" s="378"/>
      <c r="AK1121" s="378"/>
      <c r="AL1121" s="378"/>
      <c r="AM1121" s="378"/>
      <c r="AN1121" s="378"/>
      <c r="AO1121" s="378"/>
      <c r="AP1121" s="378"/>
      <c r="AQ1121" s="378"/>
      <c r="AR1121" s="378"/>
      <c r="AS1121" s="378"/>
      <c r="AT1121" s="378"/>
      <c r="AU1121" s="378"/>
    </row>
    <row r="1122" spans="1:47" x14ac:dyDescent="0.25">
      <c r="A1122" s="378"/>
      <c r="B1122" s="1168" t="s">
        <v>962</v>
      </c>
      <c r="C1122" s="1068">
        <v>0.8</v>
      </c>
      <c r="D1122" s="378"/>
      <c r="E1122" s="1088">
        <f>+E1121</f>
        <v>0</v>
      </c>
      <c r="F1122" s="1174"/>
      <c r="G1122" s="1071">
        <f>IF(I1121&gt;0.99,0,G1121)</f>
        <v>0</v>
      </c>
      <c r="H1122" s="1174"/>
      <c r="I1122" s="1088">
        <f>+I1121</f>
        <v>0</v>
      </c>
      <c r="J1122" s="3"/>
      <c r="K1122" s="1177">
        <f>+C1117</f>
        <v>0.55000000000000004</v>
      </c>
      <c r="L1122" s="3"/>
      <c r="M1122" s="378"/>
      <c r="N1122" s="378"/>
      <c r="O1122" s="378"/>
      <c r="P1122" s="378"/>
      <c r="Q1122" s="378"/>
      <c r="R1122" s="378"/>
      <c r="S1122" s="378"/>
      <c r="T1122" s="378"/>
      <c r="U1122" s="378"/>
      <c r="V1122" s="378"/>
      <c r="W1122" s="378"/>
      <c r="X1122" s="378"/>
      <c r="Y1122" s="378"/>
      <c r="Z1122" s="378"/>
      <c r="AA1122" s="378"/>
      <c r="AB1122" s="378"/>
      <c r="AC1122" s="378"/>
      <c r="AD1122" s="378"/>
      <c r="AE1122" s="378"/>
      <c r="AF1122" s="378"/>
      <c r="AG1122" s="378"/>
      <c r="AH1122" s="378"/>
      <c r="AI1122" s="378"/>
      <c r="AJ1122" s="378"/>
      <c r="AK1122" s="378"/>
      <c r="AL1122" s="378"/>
      <c r="AM1122" s="378"/>
      <c r="AN1122" s="378"/>
      <c r="AO1122" s="378"/>
      <c r="AP1122" s="378"/>
      <c r="AQ1122" s="378"/>
      <c r="AR1122" s="378"/>
      <c r="AS1122" s="378"/>
      <c r="AT1122" s="378"/>
      <c r="AU1122" s="378"/>
    </row>
    <row r="1123" spans="1:47" x14ac:dyDescent="0.25">
      <c r="A1123" s="378"/>
      <c r="B1123" s="1168" t="s">
        <v>963</v>
      </c>
      <c r="C1123" s="1548">
        <v>1</v>
      </c>
      <c r="D1123" s="378"/>
      <c r="E1123" s="1088">
        <f>IF('3 INDICADORES'!$F$320&lt;0.05,'3 INDICADORES'!$D$320,0)</f>
        <v>0</v>
      </c>
      <c r="F1123" s="1174"/>
      <c r="G1123" s="1071">
        <f>IF('3 INDICADORES'!$F$320&gt;0.05,'3 INDICADORES'!$D$320,0)</f>
        <v>0</v>
      </c>
      <c r="H1123" s="1071"/>
      <c r="I1123" s="1071">
        <f>IF('3 INDICADORES'!$F$320&gt;0.1,'3 INDICADORES'!$D$320,0)</f>
        <v>0</v>
      </c>
      <c r="J1123" s="3"/>
      <c r="K1123" s="1177">
        <f>+C1118</f>
        <v>0.45</v>
      </c>
      <c r="L1123" s="3"/>
      <c r="M1123" s="378"/>
      <c r="N1123" s="378"/>
      <c r="O1123" s="378"/>
      <c r="P1123" s="378"/>
      <c r="Q1123" s="378"/>
      <c r="R1123" s="378"/>
      <c r="S1123" s="378"/>
      <c r="T1123" s="378"/>
      <c r="U1123" s="378"/>
      <c r="V1123" s="378"/>
      <c r="W1123" s="378"/>
      <c r="X1123" s="378"/>
      <c r="Y1123" s="378"/>
      <c r="Z1123" s="378"/>
      <c r="AA1123" s="378"/>
      <c r="AB1123" s="378"/>
      <c r="AC1123" s="378"/>
      <c r="AD1123" s="378"/>
      <c r="AE1123" s="378"/>
      <c r="AF1123" s="378"/>
      <c r="AG1123" s="378"/>
      <c r="AH1123" s="378"/>
      <c r="AI1123" s="378"/>
      <c r="AJ1123" s="378"/>
      <c r="AK1123" s="378"/>
      <c r="AL1123" s="378"/>
      <c r="AM1123" s="378"/>
      <c r="AN1123" s="378"/>
      <c r="AO1123" s="378"/>
      <c r="AP1123" s="378"/>
      <c r="AQ1123" s="378"/>
      <c r="AR1123" s="378"/>
      <c r="AS1123" s="378"/>
      <c r="AT1123" s="378"/>
      <c r="AU1123" s="378"/>
    </row>
    <row r="1124" spans="1:47" x14ac:dyDescent="0.25">
      <c r="A1124" s="378"/>
      <c r="B1124" s="1166" t="s">
        <v>964</v>
      </c>
      <c r="C1124" s="1167" t="s">
        <v>774</v>
      </c>
      <c r="D1124" s="378"/>
      <c r="E1124" s="1088">
        <f>+E1123</f>
        <v>0</v>
      </c>
      <c r="F1124" s="1174"/>
      <c r="G1124" s="1071">
        <f>IF(I1123&gt;0.99,0,G1123)</f>
        <v>0</v>
      </c>
      <c r="H1124" s="1174"/>
      <c r="I1124" s="1071">
        <f>+I1123</f>
        <v>0</v>
      </c>
      <c r="J1124" s="3"/>
      <c r="K1124" s="1177">
        <f>+C1119</f>
        <v>0.35</v>
      </c>
      <c r="L1124" s="3"/>
      <c r="M1124" s="378"/>
      <c r="N1124" s="378"/>
      <c r="O1124" s="378"/>
      <c r="P1124" s="378"/>
      <c r="Q1124" s="378"/>
      <c r="R1124" s="378"/>
      <c r="S1124" s="378"/>
      <c r="T1124" s="378"/>
      <c r="U1124" s="378"/>
      <c r="V1124" s="378"/>
      <c r="W1124" s="378"/>
      <c r="X1124" s="378"/>
      <c r="Y1124" s="378"/>
      <c r="Z1124" s="378"/>
      <c r="AA1124" s="378"/>
      <c r="AB1124" s="378"/>
      <c r="AC1124" s="378"/>
      <c r="AD1124" s="378"/>
      <c r="AE1124" s="378"/>
      <c r="AF1124" s="378"/>
      <c r="AG1124" s="378"/>
      <c r="AH1124" s="378"/>
      <c r="AI1124" s="378"/>
      <c r="AJ1124" s="378"/>
      <c r="AK1124" s="378"/>
      <c r="AL1124" s="378"/>
      <c r="AM1124" s="378"/>
      <c r="AN1124" s="378"/>
      <c r="AO1124" s="378"/>
      <c r="AP1124" s="378"/>
      <c r="AQ1124" s="378"/>
      <c r="AR1124" s="378"/>
      <c r="AS1124" s="378"/>
      <c r="AT1124" s="378"/>
      <c r="AU1124" s="378"/>
    </row>
    <row r="1125" spans="1:47" ht="18" x14ac:dyDescent="0.25">
      <c r="A1125" s="378"/>
      <c r="B1125" s="1539" t="s">
        <v>965</v>
      </c>
      <c r="C1125" s="1160">
        <v>1.2</v>
      </c>
      <c r="D1125" s="378"/>
      <c r="E1125" s="1162">
        <f>IF(E1127&gt;0,E1127,0)+IF(F1127&gt;0,F1127,0)+IF(G1127&gt;0,G1127,0)</f>
        <v>0</v>
      </c>
      <c r="F1125" s="1175"/>
      <c r="G1125" s="1072"/>
      <c r="H1125" s="137"/>
      <c r="I1125" s="137"/>
      <c r="J1125" s="3"/>
      <c r="K1125" s="3"/>
      <c r="L1125" s="3"/>
      <c r="M1125" s="378"/>
      <c r="N1125" s="378"/>
      <c r="O1125" s="378"/>
      <c r="P1125" s="378"/>
      <c r="Q1125" s="378"/>
      <c r="R1125" s="378"/>
      <c r="S1125" s="378"/>
      <c r="T1125" s="378"/>
      <c r="U1125" s="378"/>
      <c r="V1125" s="378"/>
      <c r="W1125" s="378"/>
      <c r="X1125" s="378"/>
      <c r="Y1125" s="378"/>
      <c r="Z1125" s="378"/>
      <c r="AA1125" s="378"/>
      <c r="AB1125" s="378"/>
      <c r="AC1125" s="378"/>
      <c r="AD1125" s="378"/>
      <c r="AE1125" s="378"/>
      <c r="AF1125" s="378"/>
      <c r="AG1125" s="378"/>
      <c r="AH1125" s="378"/>
      <c r="AI1125" s="378"/>
      <c r="AJ1125" s="378"/>
      <c r="AK1125" s="378"/>
      <c r="AL1125" s="378"/>
      <c r="AM1125" s="378"/>
      <c r="AN1125" s="378"/>
      <c r="AO1125" s="378"/>
      <c r="AP1125" s="378"/>
      <c r="AQ1125" s="378"/>
      <c r="AR1125" s="378"/>
      <c r="AS1125" s="378"/>
      <c r="AT1125" s="378"/>
      <c r="AU1125" s="378"/>
    </row>
    <row r="1126" spans="1:47" x14ac:dyDescent="0.25">
      <c r="A1126" s="378"/>
      <c r="B1126" s="1539" t="s">
        <v>966</v>
      </c>
      <c r="C1126" s="1160">
        <v>1</v>
      </c>
      <c r="D1126" s="378"/>
      <c r="E1126" s="1162">
        <f>IF('3 INDICADORES'!D323="x",1,0)</f>
        <v>0</v>
      </c>
      <c r="F1126" s="1162">
        <f>IF('3 INDICADORES'!D324="x",1,0)</f>
        <v>0</v>
      </c>
      <c r="G1126" s="1162">
        <f>IF('3 INDICADORES'!D325="x",1,0)</f>
        <v>0</v>
      </c>
      <c r="H1126" s="137"/>
      <c r="I1126" s="137"/>
      <c r="J1126" s="3"/>
      <c r="K1126" s="3"/>
      <c r="L1126" s="3"/>
      <c r="M1126" s="378"/>
      <c r="N1126" s="378"/>
      <c r="O1126" s="378"/>
      <c r="P1126" s="378"/>
      <c r="Q1126" s="378"/>
      <c r="R1126" s="378"/>
      <c r="S1126" s="378"/>
      <c r="T1126" s="378"/>
      <c r="U1126" s="378"/>
      <c r="V1126" s="378"/>
      <c r="W1126" s="378"/>
      <c r="X1126" s="378"/>
      <c r="Y1126" s="378"/>
      <c r="Z1126" s="378"/>
      <c r="AA1126" s="378"/>
      <c r="AB1126" s="378"/>
      <c r="AC1126" s="378"/>
      <c r="AD1126" s="378"/>
      <c r="AE1126" s="378"/>
      <c r="AF1126" s="378"/>
      <c r="AG1126" s="378"/>
      <c r="AH1126" s="378"/>
      <c r="AI1126" s="378"/>
      <c r="AJ1126" s="378"/>
      <c r="AK1126" s="378"/>
      <c r="AL1126" s="378"/>
      <c r="AM1126" s="378"/>
      <c r="AN1126" s="378"/>
      <c r="AO1126" s="378"/>
      <c r="AP1126" s="378"/>
      <c r="AQ1126" s="378"/>
      <c r="AR1126" s="378"/>
      <c r="AS1126" s="378"/>
      <c r="AT1126" s="378"/>
      <c r="AU1126" s="378"/>
    </row>
    <row r="1127" spans="1:47" x14ac:dyDescent="0.25">
      <c r="A1127" s="378"/>
      <c r="B1127" s="1539" t="s">
        <v>967</v>
      </c>
      <c r="C1127" s="1160">
        <v>0.8</v>
      </c>
      <c r="D1127" s="378"/>
      <c r="E1127" s="1178">
        <f>IF(E1120&gt;0,'3 INDICADORES'!E318*'GUIA DE APLICAÇÃO'!K1122,0)+IF(E1122&gt;0,'3 INDICADORES'!E319*'GUIA DE APLICAÇÃO'!K1122,0)+IF(E1124&gt;0,'3 INDICADORES'!E320*'GUIA DE APLICAÇÃO'!K1122,0)</f>
        <v>0</v>
      </c>
      <c r="F1127" s="1178">
        <f>IF(G1120&gt;0,'3 INDICADORES'!E318*'GUIA DE APLICAÇÃO'!K1123,0)+IF(G1122&gt;0,'3 INDICADORES'!E319*'GUIA DE APLICAÇÃO'!K1123,0)+IF(G1124&gt;0,'3 INDICADORES'!E320*'GUIA DE APLICAÇÃO'!K1123,0)</f>
        <v>0</v>
      </c>
      <c r="G1127" s="1178">
        <f>IF(I1120&gt;0,'3 INDICADORES'!E318*'GUIA DE APLICAÇÃO'!K1124,0)+IF(I1122&gt;0,'3 INDICADORES'!E319*'GUIA DE APLICAÇÃO'!K1124,0)+IF(I1124&gt;0,'3 INDICADORES'!E320*'GUIA DE APLICAÇÃO'!K1124,0)</f>
        <v>0</v>
      </c>
      <c r="H1127" s="45"/>
      <c r="I1127" s="45"/>
      <c r="J1127" s="3"/>
      <c r="K1127" s="3"/>
      <c r="L1127" s="3"/>
      <c r="M1127" s="378"/>
      <c r="N1127" s="378"/>
      <c r="O1127" s="378"/>
      <c r="P1127" s="378"/>
      <c r="Q1127" s="378"/>
      <c r="R1127" s="378"/>
      <c r="S1127" s="378"/>
      <c r="T1127" s="378"/>
      <c r="U1127" s="378"/>
      <c r="V1127" s="378"/>
      <c r="W1127" s="378"/>
      <c r="X1127" s="378"/>
      <c r="Y1127" s="378"/>
      <c r="Z1127" s="378"/>
      <c r="AA1127" s="378"/>
      <c r="AB1127" s="378"/>
      <c r="AC1127" s="378"/>
      <c r="AD1127" s="378"/>
      <c r="AE1127" s="378"/>
      <c r="AF1127" s="378"/>
      <c r="AG1127" s="378"/>
      <c r="AH1127" s="378"/>
      <c r="AI1127" s="378"/>
      <c r="AJ1127" s="378"/>
      <c r="AK1127" s="378"/>
      <c r="AL1127" s="378"/>
      <c r="AM1127" s="378"/>
      <c r="AN1127" s="378"/>
      <c r="AO1127" s="378"/>
      <c r="AP1127" s="378"/>
      <c r="AQ1127" s="378"/>
      <c r="AR1127" s="378"/>
      <c r="AS1127" s="378"/>
      <c r="AT1127" s="378"/>
      <c r="AU1127" s="378"/>
    </row>
    <row r="1128" spans="1:47" ht="15" customHeight="1" x14ac:dyDescent="0.25">
      <c r="A1128" s="378"/>
      <c r="B1128" s="378"/>
      <c r="C1128" s="378"/>
      <c r="D1128" s="378"/>
      <c r="E1128" s="2079" t="s">
        <v>968</v>
      </c>
      <c r="F1128" s="2079"/>
      <c r="G1128" s="2079"/>
      <c r="H1128" s="2079"/>
      <c r="I1128" s="2079"/>
      <c r="J1128" s="2079"/>
      <c r="K1128" s="2079"/>
      <c r="L1128" s="2079"/>
      <c r="M1128" s="378"/>
      <c r="N1128" s="378"/>
      <c r="O1128" s="378"/>
      <c r="P1128" s="378"/>
      <c r="Q1128" s="378"/>
      <c r="R1128" s="378"/>
      <c r="S1128" s="378"/>
      <c r="T1128" s="378"/>
      <c r="U1128" s="378"/>
      <c r="V1128" s="378"/>
      <c r="W1128" s="378"/>
      <c r="X1128" s="378"/>
      <c r="Y1128" s="378"/>
      <c r="Z1128" s="378"/>
      <c r="AA1128" s="378"/>
      <c r="AB1128" s="378"/>
      <c r="AC1128" s="378"/>
      <c r="AD1128" s="378"/>
      <c r="AE1128" s="378"/>
      <c r="AF1128" s="378"/>
      <c r="AG1128" s="378"/>
      <c r="AH1128" s="378"/>
      <c r="AI1128" s="378"/>
      <c r="AJ1128" s="378"/>
      <c r="AK1128" s="378"/>
      <c r="AL1128" s="378"/>
      <c r="AM1128" s="378"/>
      <c r="AN1128" s="378"/>
      <c r="AO1128" s="378"/>
      <c r="AP1128" s="378"/>
      <c r="AQ1128" s="378"/>
      <c r="AR1128" s="378"/>
      <c r="AS1128" s="378"/>
      <c r="AT1128" s="378"/>
      <c r="AU1128" s="378"/>
    </row>
    <row r="1129" spans="1:47" x14ac:dyDescent="0.25">
      <c r="A1129" s="378"/>
      <c r="B1129" s="378"/>
      <c r="C1129" s="378"/>
      <c r="D1129" s="378"/>
      <c r="E1129" s="2079"/>
      <c r="F1129" s="2079"/>
      <c r="G1129" s="2079"/>
      <c r="H1129" s="2079"/>
      <c r="I1129" s="2079"/>
      <c r="J1129" s="2079"/>
      <c r="K1129" s="2079"/>
      <c r="L1129" s="2079"/>
      <c r="M1129" s="378"/>
      <c r="N1129" s="378"/>
      <c r="O1129" s="378"/>
      <c r="P1129" s="378"/>
      <c r="Q1129" s="378"/>
      <c r="R1129" s="378"/>
      <c r="S1129" s="378"/>
      <c r="T1129" s="378"/>
      <c r="U1129" s="378"/>
      <c r="V1129" s="378"/>
      <c r="W1129" s="378"/>
      <c r="X1129" s="378"/>
      <c r="Y1129" s="378"/>
      <c r="Z1129" s="378"/>
      <c r="AA1129" s="378"/>
      <c r="AB1129" s="378"/>
      <c r="AC1129" s="378"/>
      <c r="AD1129" s="378"/>
      <c r="AE1129" s="378"/>
      <c r="AF1129" s="378"/>
      <c r="AG1129" s="378"/>
      <c r="AH1129" s="378"/>
      <c r="AI1129" s="378"/>
      <c r="AJ1129" s="378"/>
      <c r="AK1129" s="378"/>
      <c r="AL1129" s="378"/>
      <c r="AM1129" s="378"/>
      <c r="AN1129" s="378"/>
      <c r="AO1129" s="378"/>
      <c r="AP1129" s="378"/>
      <c r="AQ1129" s="378"/>
      <c r="AR1129" s="378"/>
      <c r="AS1129" s="378"/>
      <c r="AT1129" s="378"/>
      <c r="AU1129" s="378"/>
    </row>
    <row r="1130" spans="1:47" x14ac:dyDescent="0.25">
      <c r="A1130" s="378"/>
      <c r="B1130" s="378"/>
      <c r="C1130" s="378"/>
      <c r="D1130" s="378"/>
      <c r="E1130" s="2079"/>
      <c r="F1130" s="2079"/>
      <c r="G1130" s="2079"/>
      <c r="H1130" s="2079"/>
      <c r="I1130" s="2079"/>
      <c r="J1130" s="2079"/>
      <c r="K1130" s="2079"/>
      <c r="L1130" s="2079"/>
      <c r="M1130" s="378"/>
      <c r="N1130" s="378"/>
      <c r="O1130" s="378"/>
      <c r="P1130" s="378"/>
      <c r="Q1130" s="378"/>
      <c r="R1130" s="378"/>
      <c r="S1130" s="378"/>
      <c r="T1130" s="378"/>
      <c r="U1130" s="378"/>
      <c r="V1130" s="378"/>
      <c r="W1130" s="378"/>
      <c r="X1130" s="378"/>
      <c r="Y1130" s="378"/>
      <c r="Z1130" s="378"/>
      <c r="AA1130" s="378"/>
      <c r="AB1130" s="378"/>
      <c r="AC1130" s="378"/>
      <c r="AD1130" s="378"/>
      <c r="AE1130" s="378"/>
      <c r="AF1130" s="378"/>
      <c r="AG1130" s="378"/>
      <c r="AH1130" s="378"/>
      <c r="AI1130" s="378"/>
      <c r="AJ1130" s="378"/>
      <c r="AK1130" s="378"/>
      <c r="AL1130" s="378"/>
      <c r="AM1130" s="378"/>
      <c r="AN1130" s="378"/>
      <c r="AO1130" s="378"/>
      <c r="AP1130" s="378"/>
      <c r="AQ1130" s="378"/>
      <c r="AR1130" s="378"/>
      <c r="AS1130" s="378"/>
      <c r="AT1130" s="378"/>
      <c r="AU1130" s="378"/>
    </row>
    <row r="1131" spans="1:47" x14ac:dyDescent="0.25">
      <c r="A1131" s="378"/>
      <c r="B1131" s="378"/>
      <c r="C1131" s="378"/>
      <c r="D1131" s="378"/>
      <c r="E1131" s="378"/>
      <c r="F1131" s="378"/>
      <c r="G1131" s="378"/>
      <c r="H1131" s="3"/>
      <c r="I1131" s="3"/>
      <c r="J1131" s="3"/>
      <c r="K1131" s="3"/>
      <c r="L1131" s="3"/>
      <c r="M1131" s="378"/>
      <c r="N1131" s="378"/>
      <c r="O1131" s="378"/>
      <c r="P1131" s="378"/>
      <c r="Q1131" s="378"/>
      <c r="R1131" s="378"/>
      <c r="S1131" s="378"/>
      <c r="T1131" s="378"/>
      <c r="U1131" s="378"/>
      <c r="V1131" s="378"/>
      <c r="W1131" s="378"/>
      <c r="X1131" s="378"/>
      <c r="Y1131" s="378"/>
      <c r="Z1131" s="378"/>
      <c r="AA1131" s="378"/>
      <c r="AB1131" s="378"/>
      <c r="AC1131" s="378"/>
      <c r="AD1131" s="378"/>
      <c r="AE1131" s="378"/>
      <c r="AF1131" s="378"/>
      <c r="AG1131" s="378"/>
      <c r="AH1131" s="378"/>
      <c r="AI1131" s="378"/>
      <c r="AJ1131" s="378"/>
      <c r="AK1131" s="378"/>
      <c r="AL1131" s="378"/>
      <c r="AM1131" s="378"/>
      <c r="AN1131" s="378"/>
      <c r="AO1131" s="378"/>
      <c r="AP1131" s="378"/>
      <c r="AQ1131" s="378"/>
      <c r="AR1131" s="378"/>
      <c r="AS1131" s="378"/>
      <c r="AT1131" s="378"/>
      <c r="AU1131" s="378"/>
    </row>
    <row r="1132" spans="1:47" s="532" customFormat="1" x14ac:dyDescent="0.25">
      <c r="A1132" s="378"/>
      <c r="B1132" s="378"/>
      <c r="C1132" s="378"/>
      <c r="D1132" s="378"/>
      <c r="E1132" s="378"/>
      <c r="F1132" s="378"/>
      <c r="G1132" s="378"/>
      <c r="H1132" s="3"/>
      <c r="I1132" s="3"/>
      <c r="J1132" s="3"/>
      <c r="K1132" s="3"/>
      <c r="L1132" s="3"/>
      <c r="M1132" s="378"/>
      <c r="N1132" s="378"/>
      <c r="O1132" s="378"/>
      <c r="P1132" s="378"/>
      <c r="Q1132" s="378"/>
      <c r="R1132" s="378"/>
      <c r="S1132" s="378"/>
      <c r="T1132" s="378"/>
      <c r="U1132" s="378"/>
      <c r="V1132" s="378"/>
      <c r="W1132" s="378"/>
      <c r="X1132" s="378"/>
      <c r="Y1132" s="378"/>
      <c r="Z1132" s="378"/>
      <c r="AA1132" s="378"/>
      <c r="AB1132" s="378"/>
      <c r="AC1132" s="378"/>
      <c r="AD1132" s="378"/>
      <c r="AE1132" s="378"/>
      <c r="AF1132" s="378"/>
      <c r="AG1132" s="378"/>
      <c r="AH1132" s="378"/>
      <c r="AI1132" s="378"/>
      <c r="AJ1132" s="378"/>
      <c r="AK1132" s="378"/>
      <c r="AL1132" s="378"/>
      <c r="AM1132" s="378"/>
      <c r="AN1132" s="378"/>
      <c r="AO1132" s="378"/>
      <c r="AP1132" s="378"/>
      <c r="AQ1132" s="378"/>
      <c r="AR1132" s="378"/>
      <c r="AS1132" s="378"/>
      <c r="AT1132" s="378"/>
      <c r="AU1132" s="378"/>
    </row>
    <row r="1133" spans="1:47" ht="21" x14ac:dyDescent="0.35">
      <c r="A1133" s="749">
        <v>16</v>
      </c>
      <c r="B1133" s="2048" t="s">
        <v>179</v>
      </c>
      <c r="C1133" s="2048"/>
      <c r="D1133" s="378"/>
      <c r="E1133" s="2095" t="s">
        <v>766</v>
      </c>
      <c r="F1133" s="2095"/>
      <c r="G1133" s="2095"/>
      <c r="H1133" s="2095"/>
      <c r="I1133" s="2095"/>
      <c r="J1133" s="378"/>
      <c r="K1133" s="378"/>
      <c r="L1133" s="378"/>
      <c r="M1133" s="378"/>
      <c r="N1133" s="378"/>
      <c r="O1133" s="378"/>
      <c r="P1133" s="378"/>
      <c r="Q1133" s="378"/>
      <c r="R1133" s="378"/>
      <c r="S1133" s="378"/>
      <c r="T1133" s="378"/>
      <c r="U1133" s="378"/>
      <c r="V1133" s="378"/>
      <c r="W1133" s="378"/>
      <c r="X1133" s="378"/>
      <c r="Y1133" s="378"/>
      <c r="Z1133" s="378"/>
      <c r="AA1133" s="378"/>
      <c r="AB1133" s="378"/>
      <c r="AC1133" s="378"/>
      <c r="AD1133" s="378"/>
      <c r="AE1133" s="378"/>
      <c r="AF1133" s="378"/>
      <c r="AG1133" s="378"/>
      <c r="AH1133" s="378"/>
      <c r="AI1133" s="378"/>
      <c r="AJ1133" s="378"/>
      <c r="AK1133" s="378"/>
      <c r="AL1133" s="378"/>
      <c r="AM1133" s="378"/>
      <c r="AN1133" s="378"/>
      <c r="AO1133" s="378"/>
      <c r="AP1133" s="378"/>
      <c r="AQ1133" s="378"/>
      <c r="AR1133" s="378"/>
      <c r="AS1133" s="378"/>
      <c r="AT1133" s="378"/>
      <c r="AU1133" s="378"/>
    </row>
    <row r="1134" spans="1:47" x14ac:dyDescent="0.25">
      <c r="A1134" s="378"/>
      <c r="B1134" s="1534" t="s">
        <v>524</v>
      </c>
      <c r="C1134" s="1542">
        <v>0.9</v>
      </c>
      <c r="D1134" s="378"/>
      <c r="E1134" s="1181" t="e">
        <f>'3 INDICADORES'!D333/'GUIA DE APLICAÇÃO'!J1137</f>
        <v>#DIV/0!</v>
      </c>
      <c r="F1134" s="1181" t="e">
        <f>'3 INDICADORES'!E333/'GUIA DE APLICAÇÃO'!J1137</f>
        <v>#DIV/0!</v>
      </c>
      <c r="G1134" s="1181" t="e">
        <f>'3 INDICADORES'!F333/'GUIA DE APLICAÇÃO'!J1137</f>
        <v>#DIV/0!</v>
      </c>
      <c r="H1134" s="1181" t="e">
        <f>'3 INDICADORES'!G333/'GUIA DE APLICAÇÃO'!J1137</f>
        <v>#DIV/0!</v>
      </c>
      <c r="I1134" s="753"/>
      <c r="J1134" s="1179" t="e">
        <f>'GUIA DE APLICAÇÃO'!E1134+'GUIA DE APLICAÇÃO'!F1134+'GUIA DE APLICAÇÃO'!G1134+'GUIA DE APLICAÇÃO'!H1134</f>
        <v>#DIV/0!</v>
      </c>
      <c r="K1134" s="3"/>
      <c r="L1134" s="3"/>
      <c r="M1134" s="3"/>
      <c r="N1134" s="378"/>
      <c r="O1134" s="378"/>
      <c r="P1134" s="378"/>
      <c r="Q1134" s="378"/>
      <c r="R1134" s="378"/>
      <c r="S1134" s="378"/>
      <c r="T1134" s="378"/>
      <c r="U1134" s="378"/>
      <c r="V1134" s="378"/>
      <c r="W1134" s="378"/>
      <c r="X1134" s="378"/>
      <c r="Y1134" s="378"/>
      <c r="Z1134" s="378"/>
      <c r="AA1134" s="378"/>
      <c r="AB1134" s="378"/>
      <c r="AC1134" s="378"/>
      <c r="AD1134" s="378"/>
      <c r="AE1134" s="378"/>
      <c r="AF1134" s="378"/>
      <c r="AG1134" s="378"/>
      <c r="AH1134" s="378"/>
      <c r="AI1134" s="378"/>
      <c r="AJ1134" s="378"/>
      <c r="AK1134" s="378"/>
      <c r="AL1134" s="378"/>
      <c r="AM1134" s="378"/>
      <c r="AN1134" s="378"/>
      <c r="AO1134" s="378"/>
      <c r="AP1134" s="378"/>
      <c r="AQ1134" s="378"/>
      <c r="AR1134" s="378"/>
      <c r="AS1134" s="378"/>
      <c r="AT1134" s="378"/>
      <c r="AU1134" s="378"/>
    </row>
    <row r="1135" spans="1:47" x14ac:dyDescent="0.25">
      <c r="A1135" s="378"/>
      <c r="B1135" s="1534" t="s">
        <v>525</v>
      </c>
      <c r="C1135" s="1169">
        <v>0.3</v>
      </c>
      <c r="D1135" s="378"/>
      <c r="E1135" s="1181" t="e">
        <f>'3 INDICADORES'!D334/'GUIA DE APLICAÇÃO'!J1137</f>
        <v>#DIV/0!</v>
      </c>
      <c r="F1135" s="1181" t="e">
        <f>'3 INDICADORES'!E334/'GUIA DE APLICAÇÃO'!J1137</f>
        <v>#DIV/0!</v>
      </c>
      <c r="G1135" s="1181" t="e">
        <f>'3 INDICADORES'!F334/'GUIA DE APLICAÇÃO'!J1137</f>
        <v>#DIV/0!</v>
      </c>
      <c r="H1135" s="1181" t="e">
        <f>'3 INDICADORES'!G334/'GUIA DE APLICAÇÃO'!J1137</f>
        <v>#DIV/0!</v>
      </c>
      <c r="I1135" s="753"/>
      <c r="J1135" s="1179" t="e">
        <f>'GUIA DE APLICAÇÃO'!E1135+'GUIA DE APLICAÇÃO'!F1135+'GUIA DE APLICAÇÃO'!G1135+'GUIA DE APLICAÇÃO'!H1135</f>
        <v>#DIV/0!</v>
      </c>
      <c r="K1135" s="3"/>
      <c r="L1135" s="3"/>
      <c r="M1135" s="3"/>
      <c r="N1135" s="378"/>
      <c r="O1135" s="378"/>
      <c r="P1135" s="378"/>
      <c r="Q1135" s="378"/>
      <c r="R1135" s="378"/>
      <c r="S1135" s="378"/>
      <c r="T1135" s="378"/>
      <c r="U1135" s="378"/>
      <c r="V1135" s="378"/>
      <c r="W1135" s="378"/>
      <c r="X1135" s="378"/>
      <c r="Y1135" s="378"/>
      <c r="Z1135" s="378"/>
      <c r="AA1135" s="378"/>
      <c r="AB1135" s="378"/>
      <c r="AC1135" s="378"/>
      <c r="AD1135" s="378"/>
      <c r="AE1135" s="378"/>
      <c r="AF1135" s="378"/>
      <c r="AG1135" s="378"/>
      <c r="AH1135" s="378"/>
      <c r="AI1135" s="378"/>
      <c r="AJ1135" s="378"/>
      <c r="AK1135" s="378"/>
      <c r="AL1135" s="378"/>
      <c r="AM1135" s="378"/>
      <c r="AN1135" s="378"/>
      <c r="AO1135" s="378"/>
      <c r="AP1135" s="378"/>
      <c r="AQ1135" s="378"/>
      <c r="AR1135" s="378"/>
      <c r="AS1135" s="378"/>
      <c r="AT1135" s="378"/>
      <c r="AU1135" s="378"/>
    </row>
    <row r="1136" spans="1:47" x14ac:dyDescent="0.25">
      <c r="A1136" s="378"/>
      <c r="B1136" s="1864" t="s">
        <v>526</v>
      </c>
      <c r="C1136" s="2061">
        <v>0.1</v>
      </c>
      <c r="D1136" s="378"/>
      <c r="E1136" s="1181" t="e">
        <f>'3 INDICADORES'!D335/'GUIA DE APLICAÇÃO'!J1137</f>
        <v>#DIV/0!</v>
      </c>
      <c r="F1136" s="1181" t="e">
        <f>'3 INDICADORES'!E335/'GUIA DE APLICAÇÃO'!J1137</f>
        <v>#DIV/0!</v>
      </c>
      <c r="G1136" s="1181" t="e">
        <f>'3 INDICADORES'!F335/'GUIA DE APLICAÇÃO'!J1137</f>
        <v>#DIV/0!</v>
      </c>
      <c r="H1136" s="1181" t="e">
        <f>'3 INDICADORES'!G335/'GUIA DE APLICAÇÃO'!J1137</f>
        <v>#DIV/0!</v>
      </c>
      <c r="I1136" s="1182"/>
      <c r="J1136" s="1179" t="e">
        <f>'GUIA DE APLICAÇÃO'!E1136+'GUIA DE APLICAÇÃO'!F1136+'GUIA DE APLICAÇÃO'!G1136+'GUIA DE APLICAÇÃO'!H1136</f>
        <v>#DIV/0!</v>
      </c>
      <c r="K1136" s="378"/>
      <c r="L1136" s="378"/>
      <c r="M1136" s="3"/>
      <c r="N1136" s="378"/>
      <c r="O1136" s="378"/>
      <c r="P1136" s="378"/>
      <c r="Q1136" s="378"/>
      <c r="R1136" s="378"/>
      <c r="S1136" s="378"/>
      <c r="T1136" s="378"/>
      <c r="U1136" s="378"/>
      <c r="V1136" s="378"/>
      <c r="W1136" s="378"/>
      <c r="X1136" s="378"/>
      <c r="Y1136" s="378"/>
      <c r="Z1136" s="378"/>
      <c r="AA1136" s="378"/>
      <c r="AB1136" s="378"/>
      <c r="AC1136" s="378"/>
      <c r="AD1136" s="378"/>
      <c r="AE1136" s="378"/>
      <c r="AF1136" s="378"/>
      <c r="AG1136" s="378"/>
      <c r="AH1136" s="378"/>
      <c r="AI1136" s="378"/>
      <c r="AJ1136" s="378"/>
      <c r="AK1136" s="378"/>
      <c r="AL1136" s="378"/>
      <c r="AM1136" s="378"/>
      <c r="AN1136" s="378"/>
      <c r="AO1136" s="378"/>
      <c r="AP1136" s="378"/>
      <c r="AQ1136" s="378"/>
      <c r="AR1136" s="378"/>
      <c r="AS1136" s="378"/>
      <c r="AT1136" s="378"/>
      <c r="AU1136" s="378"/>
    </row>
    <row r="1137" spans="1:47" x14ac:dyDescent="0.25">
      <c r="A1137" s="378"/>
      <c r="B1137" s="1864"/>
      <c r="C1137" s="2061"/>
      <c r="D1137" s="378"/>
      <c r="E1137" s="2075" t="s">
        <v>969</v>
      </c>
      <c r="F1137" s="2075"/>
      <c r="G1137" s="2075"/>
      <c r="H1137" s="2075"/>
      <c r="I1137" s="1539">
        <f>+'2 GEOPROCESSAMENTO'!E39</f>
        <v>0</v>
      </c>
      <c r="J1137" s="1180">
        <f>'3 INDICADORES'!D333+'3 INDICADORES'!D334+'3 INDICADORES'!D335+'3 INDICADORES'!E333+'3 INDICADORES'!E334+'3 INDICADORES'!E335+'3 INDICADORES'!F333+'3 INDICADORES'!F334+'3 INDICADORES'!F335+'3 INDICADORES'!G333+'3 INDICADORES'!G334+'3 INDICADORES'!G335</f>
        <v>0</v>
      </c>
      <c r="K1137" s="378"/>
      <c r="L1137" s="378"/>
      <c r="M1137" s="378"/>
      <c r="N1137" s="378"/>
      <c r="O1137" s="378"/>
      <c r="P1137" s="378"/>
      <c r="Q1137" s="378"/>
      <c r="R1137" s="378"/>
      <c r="S1137" s="378"/>
      <c r="T1137" s="378"/>
      <c r="U1137" s="378"/>
      <c r="V1137" s="378"/>
      <c r="W1137" s="378"/>
      <c r="X1137" s="378"/>
      <c r="Y1137" s="378"/>
      <c r="Z1137" s="378"/>
      <c r="AA1137" s="378"/>
      <c r="AB1137" s="378"/>
      <c r="AC1137" s="378"/>
      <c r="AD1137" s="378"/>
      <c r="AE1137" s="378"/>
      <c r="AF1137" s="378"/>
      <c r="AG1137" s="378"/>
      <c r="AH1137" s="378"/>
      <c r="AI1137" s="378"/>
      <c r="AJ1137" s="378"/>
      <c r="AK1137" s="378"/>
      <c r="AL1137" s="378"/>
      <c r="AM1137" s="378"/>
      <c r="AN1137" s="378"/>
      <c r="AO1137" s="378"/>
      <c r="AP1137" s="378"/>
      <c r="AQ1137" s="378"/>
      <c r="AR1137" s="378"/>
      <c r="AS1137" s="378"/>
      <c r="AT1137" s="378"/>
      <c r="AU1137" s="378"/>
    </row>
    <row r="1138" spans="1:47" x14ac:dyDescent="0.25">
      <c r="A1138" s="378"/>
      <c r="B1138" s="378"/>
      <c r="C1138" s="378"/>
      <c r="D1138" s="378"/>
      <c r="E1138" s="378"/>
      <c r="F1138" s="378"/>
      <c r="G1138" s="378"/>
      <c r="H1138" s="378"/>
      <c r="I1138" s="110"/>
      <c r="J1138" s="3"/>
      <c r="K1138" s="378"/>
      <c r="L1138" s="378"/>
      <c r="M1138" s="378"/>
      <c r="N1138" s="378"/>
      <c r="O1138" s="378"/>
      <c r="P1138" s="378"/>
      <c r="Q1138" s="378"/>
      <c r="R1138" s="378"/>
      <c r="S1138" s="378"/>
      <c r="T1138" s="378"/>
      <c r="U1138" s="378"/>
      <c r="V1138" s="378"/>
      <c r="W1138" s="378"/>
      <c r="X1138" s="378"/>
      <c r="Y1138" s="378"/>
      <c r="Z1138" s="378"/>
      <c r="AA1138" s="378"/>
      <c r="AB1138" s="378"/>
      <c r="AC1138" s="378"/>
      <c r="AD1138" s="378"/>
      <c r="AE1138" s="378"/>
      <c r="AF1138" s="378"/>
      <c r="AG1138" s="378"/>
      <c r="AH1138" s="378"/>
      <c r="AI1138" s="378"/>
      <c r="AJ1138" s="378"/>
      <c r="AK1138" s="378"/>
      <c r="AL1138" s="378"/>
      <c r="AM1138" s="378"/>
      <c r="AN1138" s="378"/>
      <c r="AO1138" s="378"/>
      <c r="AP1138" s="378"/>
      <c r="AQ1138" s="378"/>
      <c r="AR1138" s="378"/>
      <c r="AS1138" s="378"/>
      <c r="AT1138" s="378"/>
      <c r="AU1138" s="378"/>
    </row>
    <row r="1139" spans="1:47" x14ac:dyDescent="0.25">
      <c r="A1139" s="378"/>
      <c r="B1139" s="1167" t="s">
        <v>774</v>
      </c>
      <c r="C1139" s="378"/>
      <c r="D1139" s="378"/>
      <c r="E1139" s="1081">
        <f>IF('3 INDICADORES'!D338="x",'GUIA DE APLICAÇÃO'!B1140,0)</f>
        <v>0</v>
      </c>
      <c r="F1139" s="1081">
        <f>IF('3 INDICADORES'!D339="x",'GUIA DE APLICAÇÃO'!B1141,0)</f>
        <v>0</v>
      </c>
      <c r="G1139" s="1081">
        <f>IF('3 INDICADORES'!D340="x",'GUIA DE APLICAÇÃO'!B1142,0)</f>
        <v>0</v>
      </c>
      <c r="H1139" s="1081">
        <f>IF('3 INDICADORES'!D338="x",'GUIA DE APLICAÇÃO'!B1140,0)</f>
        <v>0</v>
      </c>
      <c r="I1139" s="110"/>
      <c r="J1139" s="3"/>
      <c r="K1139" s="378"/>
      <c r="L1139" s="378"/>
      <c r="M1139" s="378"/>
      <c r="N1139" s="378"/>
      <c r="O1139" s="378"/>
      <c r="P1139" s="378"/>
      <c r="Q1139" s="378"/>
      <c r="R1139" s="378"/>
      <c r="S1139" s="378"/>
      <c r="T1139" s="378"/>
      <c r="U1139" s="378"/>
      <c r="V1139" s="378"/>
      <c r="W1139" s="378"/>
      <c r="X1139" s="378"/>
      <c r="Y1139" s="378"/>
      <c r="Z1139" s="378"/>
      <c r="AA1139" s="378"/>
      <c r="AB1139" s="378"/>
      <c r="AC1139" s="378"/>
      <c r="AD1139" s="378"/>
      <c r="AE1139" s="378"/>
      <c r="AF1139" s="378"/>
      <c r="AG1139" s="378"/>
      <c r="AH1139" s="378"/>
      <c r="AI1139" s="378"/>
      <c r="AJ1139" s="378"/>
      <c r="AK1139" s="378"/>
      <c r="AL1139" s="378"/>
      <c r="AM1139" s="378"/>
      <c r="AN1139" s="378"/>
      <c r="AO1139" s="378"/>
      <c r="AP1139" s="378"/>
      <c r="AQ1139" s="378"/>
      <c r="AR1139" s="378"/>
      <c r="AS1139" s="378"/>
      <c r="AT1139" s="378"/>
      <c r="AU1139" s="378"/>
    </row>
    <row r="1140" spans="1:47" x14ac:dyDescent="0.25">
      <c r="A1140" s="378"/>
      <c r="B1140" s="1160">
        <f>+'3 INDICADORES'!E338</f>
        <v>1</v>
      </c>
      <c r="C1140" s="378"/>
      <c r="D1140" s="378"/>
      <c r="E1140" s="687" t="e">
        <f>('GUIA DE APLICAÇÃO'!J1134*'GUIA DE APLICAÇÃO'!C1134)+('GUIA DE APLICAÇÃO'!J1135*'GUIA DE APLICAÇÃO'!C1135)+('GUIA DE APLICAÇÃO'!J1136*'GUIA DE APLICAÇÃO'!C1136)</f>
        <v>#DIV/0!</v>
      </c>
      <c r="F1140" s="687">
        <f>SUM(H1139:H1141)</f>
        <v>0</v>
      </c>
      <c r="G1140" s="378"/>
      <c r="H1140" s="1081">
        <f>IF('3 INDICADORES'!D339="x",'GUIA DE APLICAÇÃO'!B1141,0)</f>
        <v>0</v>
      </c>
      <c r="I1140" s="532"/>
      <c r="J1140" s="3"/>
      <c r="K1140" s="532"/>
      <c r="L1140" s="3"/>
      <c r="M1140" s="532"/>
      <c r="N1140" s="378"/>
      <c r="O1140" s="378"/>
      <c r="P1140" s="378"/>
      <c r="Q1140" s="378"/>
      <c r="R1140" s="378"/>
      <c r="S1140" s="378"/>
      <c r="T1140" s="378"/>
      <c r="U1140" s="378"/>
      <c r="V1140" s="378"/>
      <c r="W1140" s="378"/>
      <c r="X1140" s="378"/>
      <c r="Y1140" s="378"/>
      <c r="Z1140" s="378"/>
      <c r="AA1140" s="378"/>
      <c r="AB1140" s="378"/>
      <c r="AC1140" s="378"/>
      <c r="AD1140" s="378"/>
      <c r="AE1140" s="378"/>
      <c r="AF1140" s="378"/>
      <c r="AG1140" s="378"/>
      <c r="AH1140" s="378"/>
      <c r="AI1140" s="378"/>
      <c r="AJ1140" s="378"/>
      <c r="AK1140" s="378"/>
      <c r="AL1140" s="378"/>
      <c r="AM1140" s="378"/>
      <c r="AN1140" s="378"/>
      <c r="AO1140" s="378"/>
      <c r="AP1140" s="378"/>
      <c r="AQ1140" s="378"/>
      <c r="AR1140" s="378"/>
      <c r="AS1140" s="378"/>
      <c r="AT1140" s="378"/>
      <c r="AU1140" s="378"/>
    </row>
    <row r="1141" spans="1:47" x14ac:dyDescent="0.25">
      <c r="A1141" s="378"/>
      <c r="B1141" s="1160">
        <f>+'3 INDICADORES'!E339</f>
        <v>0.4</v>
      </c>
      <c r="C1141" s="378"/>
      <c r="D1141" s="378"/>
      <c r="E1141" s="378"/>
      <c r="F1141" s="378"/>
      <c r="G1141" s="378"/>
      <c r="H1141" s="1081">
        <f>IF('3 INDICADORES'!D340="x",'GUIA DE APLICAÇÃO'!B1142,0)</f>
        <v>0</v>
      </c>
      <c r="I1141" s="378"/>
      <c r="J1141" s="378"/>
      <c r="K1141" s="378"/>
      <c r="L1141" s="378"/>
      <c r="M1141" s="378"/>
      <c r="N1141" s="378"/>
      <c r="O1141" s="378"/>
      <c r="P1141" s="378"/>
      <c r="Q1141" s="378"/>
      <c r="R1141" s="378"/>
      <c r="S1141" s="378"/>
      <c r="T1141" s="378"/>
      <c r="U1141" s="378"/>
      <c r="V1141" s="378"/>
      <c r="W1141" s="378"/>
      <c r="X1141" s="378"/>
      <c r="Y1141" s="378"/>
      <c r="Z1141" s="378"/>
      <c r="AA1141" s="378"/>
      <c r="AB1141" s="378"/>
      <c r="AC1141" s="378"/>
      <c r="AD1141" s="378"/>
      <c r="AE1141" s="378"/>
      <c r="AF1141" s="378"/>
      <c r="AG1141" s="378"/>
      <c r="AH1141" s="378"/>
      <c r="AI1141" s="378"/>
      <c r="AJ1141" s="378"/>
      <c r="AK1141" s="378"/>
      <c r="AL1141" s="378"/>
      <c r="AM1141" s="378"/>
      <c r="AN1141" s="378"/>
      <c r="AO1141" s="378"/>
      <c r="AP1141" s="378"/>
      <c r="AQ1141" s="378"/>
      <c r="AR1141" s="378"/>
      <c r="AS1141" s="378"/>
      <c r="AT1141" s="378"/>
      <c r="AU1141" s="378"/>
    </row>
    <row r="1142" spans="1:47" s="532" customFormat="1" x14ac:dyDescent="0.25">
      <c r="A1142" s="378"/>
      <c r="B1142" s="1160">
        <f>+'3 INDICADORES'!E340</f>
        <v>0.1</v>
      </c>
      <c r="C1142" s="378"/>
      <c r="D1142" s="378"/>
      <c r="E1142" s="378"/>
      <c r="F1142" s="378"/>
      <c r="G1142" s="378"/>
      <c r="H1142" s="378"/>
      <c r="I1142" s="378"/>
      <c r="J1142" s="378"/>
      <c r="K1142" s="378"/>
      <c r="L1142" s="378"/>
      <c r="M1142" s="378"/>
      <c r="N1142" s="378"/>
      <c r="O1142" s="378"/>
      <c r="P1142" s="378"/>
      <c r="Q1142" s="378"/>
      <c r="R1142" s="378"/>
      <c r="S1142" s="378"/>
      <c r="T1142" s="378"/>
      <c r="U1142" s="378"/>
      <c r="V1142" s="378"/>
      <c r="W1142" s="378"/>
      <c r="X1142" s="378"/>
      <c r="Y1142" s="378"/>
      <c r="Z1142" s="378"/>
      <c r="AA1142" s="378"/>
      <c r="AB1142" s="378"/>
      <c r="AC1142" s="378"/>
      <c r="AD1142" s="378"/>
      <c r="AE1142" s="378"/>
      <c r="AF1142" s="378"/>
      <c r="AG1142" s="378"/>
      <c r="AH1142" s="378"/>
      <c r="AI1142" s="378"/>
      <c r="AJ1142" s="378"/>
      <c r="AK1142" s="378"/>
      <c r="AL1142" s="378"/>
      <c r="AM1142" s="378"/>
      <c r="AN1142" s="378"/>
      <c r="AO1142" s="378"/>
      <c r="AP1142" s="378"/>
      <c r="AQ1142" s="378"/>
      <c r="AR1142" s="378"/>
      <c r="AS1142" s="378"/>
      <c r="AT1142" s="378"/>
      <c r="AU1142" s="378"/>
    </row>
    <row r="1143" spans="1:47" s="532" customFormat="1" x14ac:dyDescent="0.25">
      <c r="A1143" s="378"/>
      <c r="C1143" s="378"/>
      <c r="D1143" s="378"/>
      <c r="E1143" s="378"/>
      <c r="F1143" s="378"/>
      <c r="G1143" s="378"/>
      <c r="H1143" s="378"/>
      <c r="I1143" s="378"/>
      <c r="J1143" s="378"/>
      <c r="K1143" s="378"/>
      <c r="L1143" s="378"/>
      <c r="M1143" s="378"/>
      <c r="N1143" s="378"/>
      <c r="O1143" s="378"/>
      <c r="P1143" s="378"/>
      <c r="Q1143" s="378"/>
      <c r="R1143" s="378"/>
      <c r="S1143" s="378"/>
      <c r="T1143" s="378"/>
      <c r="U1143" s="378"/>
      <c r="V1143" s="378"/>
      <c r="W1143" s="378"/>
      <c r="X1143" s="378"/>
      <c r="Y1143" s="378"/>
      <c r="Z1143" s="378"/>
      <c r="AA1143" s="378"/>
      <c r="AB1143" s="378"/>
      <c r="AC1143" s="378"/>
      <c r="AD1143" s="378"/>
      <c r="AE1143" s="378"/>
      <c r="AF1143" s="378"/>
      <c r="AG1143" s="378"/>
      <c r="AH1143" s="378"/>
      <c r="AI1143" s="378"/>
      <c r="AJ1143" s="378"/>
      <c r="AK1143" s="378"/>
      <c r="AL1143" s="378"/>
      <c r="AM1143" s="378"/>
      <c r="AN1143" s="378"/>
      <c r="AO1143" s="378"/>
      <c r="AP1143" s="378"/>
      <c r="AQ1143" s="378"/>
      <c r="AR1143" s="378"/>
      <c r="AS1143" s="378"/>
      <c r="AT1143" s="378"/>
      <c r="AU1143" s="378"/>
    </row>
    <row r="1144" spans="1:47" s="532" customFormat="1" x14ac:dyDescent="0.25">
      <c r="A1144" s="378"/>
      <c r="B1144" s="378"/>
      <c r="C1144" s="378"/>
      <c r="D1144" s="378"/>
      <c r="E1144" s="378"/>
      <c r="F1144" s="378"/>
      <c r="G1144" s="378"/>
      <c r="H1144" s="378"/>
      <c r="I1144" s="378"/>
      <c r="J1144" s="378"/>
      <c r="K1144" s="378"/>
      <c r="L1144" s="378"/>
      <c r="M1144" s="378"/>
      <c r="N1144" s="378"/>
      <c r="O1144" s="378"/>
      <c r="P1144" s="378"/>
      <c r="Q1144" s="378"/>
      <c r="R1144" s="378"/>
      <c r="S1144" s="378"/>
      <c r="T1144" s="378"/>
      <c r="U1144" s="378"/>
      <c r="V1144" s="378"/>
      <c r="W1144" s="378"/>
      <c r="X1144" s="378"/>
      <c r="Y1144" s="378"/>
      <c r="Z1144" s="378"/>
      <c r="AA1144" s="378"/>
      <c r="AB1144" s="378"/>
      <c r="AC1144" s="378"/>
      <c r="AD1144" s="378"/>
      <c r="AE1144" s="378"/>
      <c r="AF1144" s="378"/>
      <c r="AG1144" s="378"/>
      <c r="AH1144" s="378"/>
      <c r="AI1144" s="378"/>
      <c r="AJ1144" s="378"/>
      <c r="AK1144" s="378"/>
      <c r="AL1144" s="378"/>
      <c r="AM1144" s="378"/>
      <c r="AN1144" s="378"/>
      <c r="AO1144" s="378"/>
      <c r="AP1144" s="378"/>
      <c r="AQ1144" s="378"/>
      <c r="AR1144" s="378"/>
      <c r="AS1144" s="378"/>
      <c r="AT1144" s="378"/>
      <c r="AU1144" s="378"/>
    </row>
    <row r="1145" spans="1:47" s="532" customFormat="1" x14ac:dyDescent="0.25">
      <c r="A1145" s="378"/>
      <c r="B1145" s="378"/>
      <c r="C1145" s="378"/>
      <c r="D1145" s="378"/>
      <c r="E1145" s="378"/>
      <c r="F1145" s="378"/>
      <c r="G1145" s="378"/>
      <c r="H1145" s="378"/>
      <c r="I1145" s="378"/>
      <c r="J1145" s="378"/>
      <c r="K1145" s="378"/>
      <c r="L1145" s="378"/>
      <c r="M1145" s="378"/>
      <c r="N1145" s="378"/>
      <c r="O1145" s="378"/>
      <c r="P1145" s="378"/>
      <c r="Q1145" s="378"/>
      <c r="R1145" s="378"/>
      <c r="S1145" s="378"/>
      <c r="T1145" s="378"/>
      <c r="U1145" s="378"/>
      <c r="V1145" s="378"/>
      <c r="W1145" s="378"/>
      <c r="X1145" s="378"/>
      <c r="Y1145" s="378"/>
      <c r="Z1145" s="378"/>
      <c r="AA1145" s="378"/>
      <c r="AB1145" s="378"/>
      <c r="AC1145" s="378"/>
      <c r="AD1145" s="378"/>
      <c r="AE1145" s="378"/>
      <c r="AF1145" s="378"/>
      <c r="AG1145" s="378"/>
      <c r="AH1145" s="378"/>
      <c r="AI1145" s="378"/>
      <c r="AJ1145" s="378"/>
      <c r="AK1145" s="378"/>
      <c r="AL1145" s="378"/>
      <c r="AM1145" s="378"/>
      <c r="AN1145" s="378"/>
      <c r="AO1145" s="378"/>
      <c r="AP1145" s="378"/>
      <c r="AQ1145" s="378"/>
      <c r="AR1145" s="378"/>
      <c r="AS1145" s="378"/>
      <c r="AT1145" s="378"/>
      <c r="AU1145" s="378"/>
    </row>
    <row r="1146" spans="1:47" s="532" customFormat="1" x14ac:dyDescent="0.25">
      <c r="A1146" s="378"/>
      <c r="B1146" s="378"/>
      <c r="C1146" s="378"/>
      <c r="D1146" s="378"/>
      <c r="E1146" s="378"/>
      <c r="F1146" s="378"/>
      <c r="G1146" s="378"/>
      <c r="H1146" s="378"/>
      <c r="I1146" s="378"/>
      <c r="J1146" s="378"/>
      <c r="K1146" s="378"/>
      <c r="L1146" s="378"/>
      <c r="M1146" s="378"/>
      <c r="N1146" s="378"/>
      <c r="O1146" s="378"/>
      <c r="P1146" s="378"/>
      <c r="Q1146" s="378"/>
      <c r="R1146" s="378"/>
      <c r="S1146" s="378"/>
      <c r="T1146" s="378"/>
      <c r="U1146" s="378"/>
      <c r="V1146" s="378"/>
      <c r="W1146" s="378"/>
      <c r="X1146" s="378"/>
      <c r="Y1146" s="378"/>
      <c r="Z1146" s="378"/>
      <c r="AA1146" s="378"/>
      <c r="AB1146" s="378"/>
      <c r="AC1146" s="378"/>
      <c r="AD1146" s="378"/>
      <c r="AE1146" s="378"/>
      <c r="AF1146" s="378"/>
      <c r="AG1146" s="378"/>
      <c r="AH1146" s="378"/>
      <c r="AI1146" s="378"/>
      <c r="AJ1146" s="378"/>
      <c r="AK1146" s="378"/>
      <c r="AL1146" s="378"/>
      <c r="AM1146" s="378"/>
      <c r="AN1146" s="378"/>
      <c r="AO1146" s="378"/>
      <c r="AP1146" s="378"/>
      <c r="AQ1146" s="378"/>
      <c r="AR1146" s="378"/>
      <c r="AS1146" s="378"/>
      <c r="AT1146" s="378"/>
      <c r="AU1146" s="378"/>
    </row>
    <row r="1147" spans="1:47" ht="21" x14ac:dyDescent="0.35">
      <c r="A1147" s="749">
        <v>17</v>
      </c>
      <c r="B1147" s="2048" t="s">
        <v>179</v>
      </c>
      <c r="C1147" s="2048"/>
      <c r="D1147" s="378"/>
      <c r="E1147" s="2076" t="s">
        <v>766</v>
      </c>
      <c r="F1147" s="2076"/>
      <c r="G1147" s="2076"/>
      <c r="H1147" s="2076"/>
      <c r="I1147" s="2076"/>
      <c r="J1147" s="2076"/>
      <c r="K1147" s="378"/>
      <c r="L1147" s="532"/>
      <c r="M1147" s="378"/>
      <c r="N1147" s="378"/>
      <c r="O1147" s="378"/>
      <c r="P1147" s="378"/>
      <c r="Q1147" s="378"/>
      <c r="R1147" s="378"/>
      <c r="S1147" s="378"/>
      <c r="T1147" s="378"/>
      <c r="U1147" s="378"/>
      <c r="V1147" s="378"/>
      <c r="W1147" s="378"/>
      <c r="X1147" s="378"/>
      <c r="Y1147" s="378"/>
      <c r="Z1147" s="378"/>
      <c r="AA1147" s="378"/>
      <c r="AB1147" s="378"/>
      <c r="AC1147" s="378"/>
      <c r="AD1147" s="378"/>
      <c r="AE1147" s="378"/>
      <c r="AF1147" s="378"/>
      <c r="AG1147" s="378"/>
      <c r="AH1147" s="378"/>
      <c r="AI1147" s="378"/>
      <c r="AJ1147" s="378"/>
      <c r="AK1147" s="378"/>
      <c r="AL1147" s="378"/>
      <c r="AM1147" s="378"/>
      <c r="AN1147" s="378"/>
      <c r="AO1147" s="378"/>
      <c r="AP1147" s="378"/>
      <c r="AQ1147" s="378"/>
      <c r="AR1147" s="378"/>
      <c r="AS1147" s="378"/>
      <c r="AT1147" s="378"/>
      <c r="AU1147" s="378"/>
    </row>
    <row r="1148" spans="1:47" ht="36.75" customHeight="1" x14ac:dyDescent="0.25">
      <c r="A1148" s="378"/>
      <c r="B1148" s="1077" t="str">
        <f>+'3 INDICADORES'!C348</f>
        <v>Declividade transversal das estradas</v>
      </c>
      <c r="C1148" s="1066">
        <v>1</v>
      </c>
      <c r="D1148" s="378"/>
      <c r="E1148" s="1183">
        <f>IF(F1148&gt;1,1,F1148)</f>
        <v>0</v>
      </c>
      <c r="F1148" s="1068">
        <f>IF(G1148&gt;0,H1148/G1148,H1148)</f>
        <v>0</v>
      </c>
      <c r="G1148" s="1531">
        <f>COUNTIF('3 INDICADORES'!E348:E353,"&gt;=0")</f>
        <v>0</v>
      </c>
      <c r="H1148" s="1068">
        <f>('3 INDICADORES'!E348*0.8+'3 INDICADORES'!E349*0.8+'3 INDICADORES'!E350*0.8+K1148+K1150)</f>
        <v>0</v>
      </c>
      <c r="I1148" s="1068">
        <f>IF(E1148&gt;0,I1149,E1149*1.1)</f>
        <v>0</v>
      </c>
      <c r="J1148" s="1068">
        <f>IF(I1148&gt;1,1,I1148)</f>
        <v>0</v>
      </c>
      <c r="K1148" s="1184">
        <f>IF('3 INDICADORES'!E352="",0,1-'3 INDICADORES'!E352)</f>
        <v>0</v>
      </c>
      <c r="L1148" s="1185" t="str">
        <f>IF(ISBLANK('3 INDICADORES'!F348),'GUIA DE APLICAÇÃO'!$M$1148,"")</f>
        <v>Não se aplica</v>
      </c>
      <c r="M1148" s="1186" t="s">
        <v>844</v>
      </c>
      <c r="N1148" s="378"/>
      <c r="O1148" s="378"/>
      <c r="P1148" s="378"/>
      <c r="Q1148" s="378"/>
      <c r="R1148" s="378"/>
      <c r="S1148" s="378"/>
      <c r="T1148" s="378"/>
      <c r="U1148" s="378"/>
      <c r="V1148" s="378"/>
      <c r="W1148" s="378"/>
      <c r="X1148" s="378"/>
      <c r="Y1148" s="378"/>
      <c r="Z1148" s="378"/>
      <c r="AA1148" s="378"/>
      <c r="AB1148" s="378"/>
      <c r="AC1148" s="378"/>
      <c r="AD1148" s="378"/>
      <c r="AE1148" s="378"/>
      <c r="AF1148" s="378"/>
      <c r="AG1148" s="378"/>
      <c r="AH1148" s="378"/>
      <c r="AI1148" s="378"/>
      <c r="AJ1148" s="378"/>
      <c r="AK1148" s="378"/>
      <c r="AL1148" s="378"/>
      <c r="AM1148" s="378"/>
      <c r="AN1148" s="378"/>
      <c r="AO1148" s="378"/>
      <c r="AP1148" s="378"/>
      <c r="AQ1148" s="378"/>
      <c r="AR1148" s="378"/>
      <c r="AS1148" s="378"/>
      <c r="AT1148" s="378"/>
      <c r="AU1148" s="378"/>
    </row>
    <row r="1149" spans="1:47" ht="45.75" x14ac:dyDescent="0.25">
      <c r="A1149" s="378"/>
      <c r="B1149" s="1077" t="str">
        <f>+'3 INDICADORES'!C349</f>
        <v>Presença de lombadas/sulcos para desvio de enxurrada</v>
      </c>
      <c r="C1149" s="1066">
        <v>1</v>
      </c>
      <c r="D1149" s="378"/>
      <c r="E1149" s="1183">
        <f>IF(F1149&gt;1,1,F1149)</f>
        <v>0</v>
      </c>
      <c r="F1149" s="1068">
        <f>IF(G1149&gt;0,H1149/G1149,H1149)</f>
        <v>0</v>
      </c>
      <c r="G1149" s="1531">
        <f>COUNTIF('3 INDICADORES'!F348:F353,"&gt;=0")</f>
        <v>0</v>
      </c>
      <c r="H1149" s="1068">
        <f>'3 INDICADORES'!F348*0.8+'3 INDICADORES'!F349*0.8+'3 INDICADORES'!F350*0.8+K1149+K1151</f>
        <v>0</v>
      </c>
      <c r="I1149" s="1068">
        <f>IF(E1149=0,E1148,((2*E1148+E1149)/3))</f>
        <v>0</v>
      </c>
      <c r="J1149" s="1106">
        <f>IF(OR('3 INDICADORES'!E355="x",'3 INDICADORES'!F355="x"),'GUIA DE APLICAÇÃO'!J1148*0.7,'GUIA DE APLICAÇÃO'!J1148)</f>
        <v>0</v>
      </c>
      <c r="K1149" s="1184">
        <f>IF('3 INDICADORES'!F352="",0,1-'3 INDICADORES'!F352)</f>
        <v>0</v>
      </c>
      <c r="L1149" s="1185" t="str">
        <f>IF(ISBLANK('3 INDICADORES'!F349),'GUIA DE APLICAÇÃO'!$M$1148,"")</f>
        <v>Não se aplica</v>
      </c>
      <c r="M1149" s="378"/>
      <c r="N1149" s="378"/>
      <c r="O1149" s="378"/>
      <c r="P1149" s="378"/>
      <c r="Q1149" s="378"/>
      <c r="R1149" s="378"/>
      <c r="S1149" s="378"/>
      <c r="T1149" s="378"/>
      <c r="U1149" s="378"/>
      <c r="V1149" s="378"/>
      <c r="W1149" s="378"/>
      <c r="X1149" s="378"/>
      <c r="Y1149" s="378"/>
      <c r="Z1149" s="378"/>
      <c r="AA1149" s="378"/>
      <c r="AB1149" s="378"/>
      <c r="AC1149" s="378"/>
      <c r="AD1149" s="378"/>
      <c r="AE1149" s="378"/>
      <c r="AF1149" s="378"/>
      <c r="AG1149" s="378"/>
      <c r="AH1149" s="378"/>
      <c r="AI1149" s="378"/>
      <c r="AJ1149" s="378"/>
      <c r="AK1149" s="378"/>
      <c r="AL1149" s="378"/>
      <c r="AM1149" s="378"/>
      <c r="AN1149" s="378"/>
      <c r="AO1149" s="378"/>
      <c r="AP1149" s="378"/>
      <c r="AQ1149" s="378"/>
      <c r="AR1149" s="378"/>
      <c r="AS1149" s="378"/>
      <c r="AT1149" s="378"/>
      <c r="AU1149" s="378"/>
    </row>
    <row r="1150" spans="1:47" ht="34.5" x14ac:dyDescent="0.25">
      <c r="A1150" s="378"/>
      <c r="B1150" s="1077" t="str">
        <f>+'3 INDICADORES'!C350</f>
        <v>Presença de caixas de infiltração</v>
      </c>
      <c r="C1150" s="1066">
        <v>1</v>
      </c>
      <c r="D1150" s="378"/>
      <c r="E1150" s="378"/>
      <c r="F1150" s="378"/>
      <c r="G1150" s="378"/>
      <c r="H1150" s="378"/>
      <c r="I1150" s="378"/>
      <c r="J1150" s="378"/>
      <c r="K1150" s="1184">
        <f>IF('3 INDICADORES'!E353="",0,1-'3 INDICADORES'!E353)</f>
        <v>0</v>
      </c>
      <c r="L1150" s="1185" t="str">
        <f>IF(ISBLANK('3 INDICADORES'!F350),'GUIA DE APLICAÇÃO'!$M$1148,"")</f>
        <v>Não se aplica</v>
      </c>
      <c r="M1150" s="378"/>
      <c r="N1150" s="378"/>
      <c r="O1150" s="378"/>
      <c r="P1150" s="378"/>
      <c r="Q1150" s="378"/>
      <c r="R1150" s="378"/>
      <c r="S1150" s="378"/>
      <c r="T1150" s="378"/>
      <c r="U1150" s="378"/>
      <c r="V1150" s="378"/>
      <c r="W1150" s="378"/>
      <c r="X1150" s="378"/>
      <c r="Y1150" s="378"/>
      <c r="Z1150" s="378"/>
      <c r="AA1150" s="378"/>
      <c r="AB1150" s="378"/>
      <c r="AC1150" s="378"/>
      <c r="AD1150" s="378"/>
      <c r="AE1150" s="378"/>
      <c r="AF1150" s="378"/>
      <c r="AG1150" s="378"/>
      <c r="AH1150" s="378"/>
      <c r="AI1150" s="378"/>
      <c r="AJ1150" s="378"/>
      <c r="AK1150" s="378"/>
      <c r="AL1150" s="378"/>
      <c r="AM1150" s="378"/>
      <c r="AN1150" s="378"/>
      <c r="AO1150" s="378"/>
      <c r="AP1150" s="378"/>
      <c r="AQ1150" s="378"/>
      <c r="AR1150" s="378"/>
      <c r="AS1150" s="378"/>
      <c r="AT1150" s="378"/>
      <c r="AU1150" s="378"/>
    </row>
    <row r="1151" spans="1:47" ht="34.5" x14ac:dyDescent="0.25">
      <c r="A1151" s="378"/>
      <c r="B1151" s="1077" t="str">
        <f>+'3 INDICADORES'!C352</f>
        <v>Presença de buracos nas estradas</v>
      </c>
      <c r="C1151" s="1066">
        <v>1</v>
      </c>
      <c r="D1151" s="378"/>
      <c r="E1151" s="378"/>
      <c r="F1151" s="378"/>
      <c r="G1151" s="378"/>
      <c r="H1151" s="378"/>
      <c r="I1151" s="378"/>
      <c r="J1151" s="378"/>
      <c r="K1151" s="1184">
        <f>IF('3 INDICADORES'!F353="",0,1-'3 INDICADORES'!F353)</f>
        <v>0</v>
      </c>
      <c r="L1151" s="1185" t="str">
        <f>IF(ISBLANK('3 INDICADORES'!F352),'GUIA DE APLICAÇÃO'!$M$1148,"")</f>
        <v>Não se aplica</v>
      </c>
      <c r="M1151" s="378"/>
      <c r="N1151" s="378"/>
      <c r="O1151" s="378"/>
      <c r="P1151" s="378"/>
      <c r="Q1151" s="378"/>
      <c r="R1151" s="378"/>
      <c r="S1151" s="378"/>
      <c r="T1151" s="378"/>
      <c r="U1151" s="378"/>
      <c r="V1151" s="378"/>
      <c r="W1151" s="378"/>
      <c r="X1151" s="378"/>
      <c r="Y1151" s="378"/>
      <c r="Z1151" s="378"/>
      <c r="AA1151" s="378"/>
      <c r="AB1151" s="378"/>
      <c r="AC1151" s="378"/>
      <c r="AD1151" s="378"/>
      <c r="AE1151" s="378"/>
      <c r="AF1151" s="378"/>
      <c r="AG1151" s="378"/>
      <c r="AH1151" s="378"/>
      <c r="AI1151" s="378"/>
      <c r="AJ1151" s="378"/>
      <c r="AK1151" s="378"/>
      <c r="AL1151" s="378"/>
      <c r="AM1151" s="378"/>
      <c r="AN1151" s="378"/>
      <c r="AO1151" s="378"/>
      <c r="AP1151" s="378"/>
      <c r="AQ1151" s="378"/>
      <c r="AR1151" s="378"/>
      <c r="AS1151" s="378"/>
      <c r="AT1151" s="378"/>
      <c r="AU1151" s="378"/>
    </row>
    <row r="1152" spans="1:47" ht="45.75" x14ac:dyDescent="0.25">
      <c r="A1152" s="378"/>
      <c r="B1152" s="1077" t="str">
        <f>+'3 INDICADORES'!C353</f>
        <v>Presença de sulcos de erosão nas estradas</v>
      </c>
      <c r="C1152" s="1066">
        <v>1</v>
      </c>
      <c r="D1152" s="378"/>
      <c r="E1152" s="378"/>
      <c r="F1152" s="378"/>
      <c r="G1152" s="378"/>
      <c r="H1152" s="378"/>
      <c r="I1152" s="378"/>
      <c r="J1152" s="378"/>
      <c r="K1152" s="378"/>
      <c r="L1152" s="1185" t="str">
        <f>IF(ISBLANK('3 INDICADORES'!F353),'GUIA DE APLICAÇÃO'!$M$1148,"")</f>
        <v>Não se aplica</v>
      </c>
      <c r="M1152" s="378"/>
      <c r="N1152" s="378"/>
      <c r="O1152" s="378"/>
      <c r="P1152" s="378"/>
      <c r="Q1152" s="378"/>
      <c r="R1152" s="378"/>
      <c r="S1152" s="378"/>
      <c r="T1152" s="378"/>
      <c r="U1152" s="378"/>
      <c r="V1152" s="378"/>
      <c r="W1152" s="378"/>
      <c r="X1152" s="378"/>
      <c r="Y1152" s="378"/>
      <c r="Z1152" s="378"/>
      <c r="AA1152" s="378"/>
      <c r="AB1152" s="378"/>
      <c r="AC1152" s="378"/>
      <c r="AD1152" s="378"/>
      <c r="AE1152" s="378"/>
      <c r="AF1152" s="378"/>
      <c r="AG1152" s="378"/>
      <c r="AH1152" s="378"/>
      <c r="AI1152" s="378"/>
      <c r="AJ1152" s="378"/>
      <c r="AK1152" s="378"/>
      <c r="AL1152" s="378"/>
      <c r="AM1152" s="378"/>
      <c r="AN1152" s="378"/>
      <c r="AO1152" s="378"/>
      <c r="AP1152" s="378"/>
      <c r="AQ1152" s="378"/>
      <c r="AR1152" s="378"/>
      <c r="AS1152" s="378"/>
      <c r="AT1152" s="378"/>
      <c r="AU1152" s="378"/>
    </row>
    <row r="1153" spans="1:47" x14ac:dyDescent="0.25">
      <c r="A1153" s="378"/>
      <c r="B1153" s="378"/>
      <c r="C1153" s="378"/>
      <c r="D1153" s="378"/>
      <c r="E1153" s="378"/>
      <c r="F1153" s="378"/>
      <c r="G1153" s="378"/>
      <c r="H1153" s="378"/>
      <c r="I1153" s="378"/>
      <c r="J1153" s="378"/>
      <c r="K1153" s="378"/>
      <c r="L1153" s="1185" t="str">
        <f>IF(ISBLANK('3 INDICADORES'!F355),'GUIA DE APLICAÇÃO'!$M$1148,"")</f>
        <v>Não se aplica</v>
      </c>
      <c r="M1153" s="378"/>
      <c r="N1153" s="378"/>
      <c r="O1153" s="378"/>
      <c r="P1153" s="378"/>
      <c r="Q1153" s="378"/>
      <c r="R1153" s="378"/>
      <c r="S1153" s="378"/>
      <c r="T1153" s="378"/>
      <c r="U1153" s="378"/>
      <c r="V1153" s="378"/>
      <c r="W1153" s="378"/>
      <c r="X1153" s="378"/>
      <c r="Y1153" s="378"/>
      <c r="Z1153" s="378"/>
      <c r="AA1153" s="378"/>
      <c r="AB1153" s="378"/>
      <c r="AC1153" s="378"/>
      <c r="AD1153" s="378"/>
      <c r="AE1153" s="378"/>
      <c r="AF1153" s="378"/>
      <c r="AG1153" s="378"/>
      <c r="AH1153" s="378"/>
      <c r="AI1153" s="378"/>
      <c r="AJ1153" s="378"/>
      <c r="AK1153" s="378"/>
      <c r="AL1153" s="378"/>
      <c r="AM1153" s="378"/>
      <c r="AN1153" s="378"/>
      <c r="AO1153" s="378"/>
      <c r="AP1153" s="378"/>
      <c r="AQ1153" s="378"/>
      <c r="AR1153" s="378"/>
      <c r="AS1153" s="378"/>
      <c r="AT1153" s="378"/>
      <c r="AU1153" s="378"/>
    </row>
    <row r="1154" spans="1:47" x14ac:dyDescent="0.25">
      <c r="A1154" s="378"/>
      <c r="B1154" s="378"/>
      <c r="C1154" s="378"/>
      <c r="D1154" s="378"/>
      <c r="E1154" s="378"/>
      <c r="F1154" s="378"/>
      <c r="G1154" s="378"/>
      <c r="H1154" s="378"/>
      <c r="I1154" s="378"/>
      <c r="J1154" s="378"/>
      <c r="K1154" s="378"/>
      <c r="L1154" s="532"/>
      <c r="M1154" s="378"/>
      <c r="N1154" s="378"/>
      <c r="O1154" s="378"/>
      <c r="P1154" s="378"/>
      <c r="Q1154" s="378"/>
      <c r="R1154" s="378"/>
      <c r="S1154" s="378"/>
      <c r="T1154" s="378"/>
      <c r="U1154" s="378"/>
      <c r="V1154" s="378"/>
      <c r="W1154" s="378"/>
      <c r="X1154" s="378"/>
      <c r="Y1154" s="378"/>
      <c r="Z1154" s="378"/>
      <c r="AA1154" s="378"/>
      <c r="AB1154" s="378"/>
      <c r="AC1154" s="378"/>
      <c r="AD1154" s="378"/>
      <c r="AE1154" s="378"/>
      <c r="AF1154" s="378"/>
      <c r="AG1154" s="378"/>
      <c r="AH1154" s="378"/>
      <c r="AI1154" s="378"/>
      <c r="AJ1154" s="378"/>
      <c r="AK1154" s="378"/>
      <c r="AL1154" s="378"/>
      <c r="AM1154" s="378"/>
      <c r="AN1154" s="378"/>
      <c r="AO1154" s="378"/>
      <c r="AP1154" s="378"/>
      <c r="AQ1154" s="378"/>
      <c r="AR1154" s="378"/>
      <c r="AS1154" s="378"/>
      <c r="AT1154" s="378"/>
      <c r="AU1154" s="378"/>
    </row>
    <row r="1155" spans="1:47" ht="21" customHeight="1" x14ac:dyDescent="0.35">
      <c r="A1155" s="749">
        <v>18</v>
      </c>
      <c r="B1155" s="2052" t="s">
        <v>766</v>
      </c>
      <c r="C1155" s="2052"/>
      <c r="D1155" s="2052"/>
      <c r="E1155" s="2052"/>
      <c r="F1155" s="2052"/>
      <c r="G1155" s="2052"/>
      <c r="H1155" s="378"/>
      <c r="I1155" s="1188" t="s">
        <v>970</v>
      </c>
      <c r="J1155" s="1043"/>
      <c r="K1155" s="2091" t="s">
        <v>179</v>
      </c>
      <c r="L1155" s="2092"/>
      <c r="M1155" s="2092"/>
      <c r="N1155" s="2093"/>
      <c r="O1155" s="378"/>
      <c r="P1155" s="378"/>
      <c r="Q1155" s="378"/>
      <c r="R1155" s="378"/>
      <c r="S1155" s="378"/>
      <c r="T1155" s="378"/>
      <c r="U1155" s="378"/>
      <c r="V1155" s="378"/>
      <c r="W1155" s="378"/>
      <c r="X1155" s="378"/>
      <c r="Y1155" s="378"/>
      <c r="Z1155" s="378"/>
      <c r="AA1155" s="378"/>
      <c r="AB1155" s="378"/>
      <c r="AC1155" s="378"/>
      <c r="AD1155" s="378"/>
      <c r="AE1155" s="378"/>
      <c r="AF1155" s="378"/>
      <c r="AG1155" s="378"/>
      <c r="AH1155" s="378"/>
      <c r="AI1155" s="378"/>
      <c r="AJ1155" s="378"/>
      <c r="AK1155" s="378"/>
      <c r="AL1155" s="378"/>
      <c r="AM1155" s="378"/>
      <c r="AN1155" s="378"/>
      <c r="AO1155" s="378"/>
      <c r="AP1155" s="378"/>
      <c r="AQ1155" s="378"/>
      <c r="AR1155" s="378"/>
      <c r="AS1155" s="378"/>
      <c r="AT1155" s="378"/>
      <c r="AU1155" s="378"/>
    </row>
    <row r="1156" spans="1:47" x14ac:dyDescent="0.25">
      <c r="A1156" s="378"/>
      <c r="B1156" s="2071" t="s">
        <v>971</v>
      </c>
      <c r="C1156" s="2071"/>
      <c r="D1156" s="2071"/>
      <c r="E1156" s="2071"/>
      <c r="F1156" s="2071"/>
      <c r="G1156" s="2071"/>
      <c r="H1156" s="378"/>
      <c r="I1156" s="1188" t="s">
        <v>972</v>
      </c>
      <c r="J1156" s="1043"/>
      <c r="K1156" s="2050" t="s">
        <v>973</v>
      </c>
      <c r="L1156" s="2050"/>
      <c r="M1156" s="2050"/>
      <c r="N1156" s="1190">
        <f>IF('3 INDICADORES'!D366="",1,'3 INDICADORES'!D366)</f>
        <v>1</v>
      </c>
      <c r="O1156" s="378"/>
      <c r="P1156" s="378"/>
      <c r="Q1156" s="378"/>
      <c r="R1156" s="378"/>
      <c r="S1156" s="378"/>
      <c r="T1156" s="378"/>
      <c r="U1156" s="378"/>
      <c r="V1156" s="378"/>
      <c r="W1156" s="378"/>
      <c r="X1156" s="378"/>
      <c r="Y1156" s="378"/>
      <c r="Z1156" s="378"/>
      <c r="AA1156" s="378"/>
      <c r="AB1156" s="378"/>
      <c r="AC1156" s="378"/>
      <c r="AD1156" s="378"/>
      <c r="AE1156" s="378"/>
      <c r="AF1156" s="378"/>
      <c r="AG1156" s="378"/>
      <c r="AH1156" s="378"/>
      <c r="AI1156" s="378"/>
      <c r="AJ1156" s="378"/>
      <c r="AK1156" s="378"/>
      <c r="AL1156" s="378"/>
      <c r="AM1156" s="378"/>
      <c r="AN1156" s="378"/>
      <c r="AO1156" s="378"/>
      <c r="AP1156" s="378"/>
      <c r="AQ1156" s="378"/>
      <c r="AR1156" s="378"/>
      <c r="AS1156" s="378"/>
      <c r="AT1156" s="378"/>
      <c r="AU1156" s="378"/>
    </row>
    <row r="1157" spans="1:47" x14ac:dyDescent="0.25">
      <c r="A1157" s="378"/>
      <c r="B1157" s="2071"/>
      <c r="C1157" s="2071"/>
      <c r="D1157" s="2071"/>
      <c r="E1157" s="2071"/>
      <c r="F1157" s="2071"/>
      <c r="G1157" s="2071"/>
      <c r="H1157" s="378"/>
      <c r="I1157" s="1189" t="s">
        <v>544</v>
      </c>
      <c r="J1157" s="1043"/>
      <c r="K1157" s="2050" t="s">
        <v>974</v>
      </c>
      <c r="L1157" s="2050"/>
      <c r="M1157" s="2050"/>
      <c r="N1157" s="1190">
        <f>IF('3 INDICADORES'!D367="",0.9,'3 INDICADORES'!D367*0.9)</f>
        <v>0.9</v>
      </c>
      <c r="O1157" s="378"/>
      <c r="P1157" s="378"/>
      <c r="Q1157" s="378"/>
      <c r="R1157" s="378"/>
      <c r="S1157" s="378"/>
      <c r="T1157" s="378"/>
      <c r="U1157" s="378"/>
      <c r="V1157" s="378"/>
      <c r="W1157" s="378"/>
      <c r="X1157" s="378"/>
      <c r="Y1157" s="378"/>
      <c r="Z1157" s="378"/>
      <c r="AA1157" s="378"/>
      <c r="AB1157" s="378"/>
      <c r="AC1157" s="378"/>
      <c r="AD1157" s="378"/>
      <c r="AE1157" s="378"/>
      <c r="AF1157" s="378"/>
      <c r="AG1157" s="378"/>
      <c r="AH1157" s="378"/>
      <c r="AI1157" s="378"/>
      <c r="AJ1157" s="378"/>
      <c r="AK1157" s="378"/>
      <c r="AL1157" s="378"/>
      <c r="AM1157" s="378"/>
      <c r="AN1157" s="378"/>
      <c r="AO1157" s="378"/>
      <c r="AP1157" s="378"/>
      <c r="AQ1157" s="378"/>
      <c r="AR1157" s="378"/>
      <c r="AS1157" s="378"/>
      <c r="AT1157" s="378"/>
      <c r="AU1157" s="378"/>
    </row>
    <row r="1158" spans="1:47" x14ac:dyDescent="0.25">
      <c r="A1158" s="378"/>
      <c r="B1158" s="1192" t="e">
        <f>'3 INDICADORES'!D362/'GUIA DE APLICAÇÃO'!E1182</f>
        <v>#DIV/0!</v>
      </c>
      <c r="C1158" s="1192" t="e">
        <f>'3 INDICADORES'!E362/'GUIA DE APLICAÇÃO'!E1182</f>
        <v>#DIV/0!</v>
      </c>
      <c r="D1158" s="1192" t="e">
        <f>'3 INDICADORES'!F362/'GUIA DE APLICAÇÃO'!E1182</f>
        <v>#DIV/0!</v>
      </c>
      <c r="E1158" s="1192" t="e">
        <f>'3 INDICADORES'!G362/'GUIA DE APLICAÇÃO'!E1182</f>
        <v>#DIV/0!</v>
      </c>
      <c r="F1158" s="1193" t="str">
        <f>IF('2 GEOPROCESSAMENTO'!$E$38=0,"",'GUIA DE APLICAÇÃO'!B1158+'GUIA DE APLICAÇÃO'!C1158+'GUIA DE APLICAÇÃO'!D1158+'GUIA DE APLICAÇÃO'!E1158)</f>
        <v/>
      </c>
      <c r="G1158" s="371"/>
      <c r="H1158" s="378"/>
      <c r="I1158" s="1189" t="s">
        <v>543</v>
      </c>
      <c r="J1158" s="1043"/>
      <c r="K1158" s="2050" t="s">
        <v>975</v>
      </c>
      <c r="L1158" s="2050"/>
      <c r="M1158" s="2050"/>
      <c r="N1158" s="1190">
        <f>IF('3 INDICADORES'!D368="",0.7,'3 INDICADORES'!D368*0.7)</f>
        <v>0.7</v>
      </c>
      <c r="O1158" s="378"/>
      <c r="P1158" s="378"/>
      <c r="Q1158" s="378"/>
      <c r="R1158" s="378"/>
      <c r="S1158" s="378"/>
      <c r="T1158" s="378"/>
      <c r="U1158" s="378"/>
      <c r="V1158" s="378"/>
      <c r="W1158" s="378"/>
      <c r="X1158" s="378"/>
      <c r="Y1158" s="378"/>
      <c r="Z1158" s="378"/>
      <c r="AA1158" s="378"/>
      <c r="AB1158" s="378"/>
      <c r="AC1158" s="378"/>
      <c r="AD1158" s="378"/>
      <c r="AE1158" s="378"/>
      <c r="AF1158" s="378"/>
      <c r="AG1158" s="378"/>
      <c r="AH1158" s="378"/>
      <c r="AI1158" s="378"/>
      <c r="AJ1158" s="378"/>
      <c r="AK1158" s="378"/>
      <c r="AL1158" s="378"/>
      <c r="AM1158" s="378"/>
      <c r="AN1158" s="378"/>
      <c r="AO1158" s="378"/>
      <c r="AP1158" s="378"/>
      <c r="AQ1158" s="378"/>
      <c r="AR1158" s="378"/>
      <c r="AS1158" s="378"/>
      <c r="AT1158" s="378"/>
      <c r="AU1158" s="378"/>
    </row>
    <row r="1159" spans="1:47" x14ac:dyDescent="0.25">
      <c r="A1159" s="378"/>
      <c r="B1159" s="1192" t="e">
        <f>'3 INDICADORES'!D363/'GUIA DE APLICAÇÃO'!E1182</f>
        <v>#DIV/0!</v>
      </c>
      <c r="C1159" s="1192" t="e">
        <f>'3 INDICADORES'!E363/'GUIA DE APLICAÇÃO'!E1182</f>
        <v>#DIV/0!</v>
      </c>
      <c r="D1159" s="1192" t="e">
        <f>'3 INDICADORES'!F363/'GUIA DE APLICAÇÃO'!E1182</f>
        <v>#DIV/0!</v>
      </c>
      <c r="E1159" s="1192" t="e">
        <f>'3 INDICADORES'!G363/'GUIA DE APLICAÇÃO'!E1182</f>
        <v>#DIV/0!</v>
      </c>
      <c r="F1159" s="1193" t="str">
        <f>IF('2 GEOPROCESSAMENTO'!$E$38=0,"",'GUIA DE APLICAÇÃO'!B1159+'GUIA DE APLICAÇÃO'!C1159+'GUIA DE APLICAÇÃO'!D1159+'GUIA DE APLICAÇÃO'!E1159)</f>
        <v/>
      </c>
      <c r="G1159" s="371"/>
      <c r="H1159" s="378"/>
      <c r="I1159" s="1188" t="s">
        <v>976</v>
      </c>
      <c r="J1159" s="1043"/>
      <c r="K1159" s="110"/>
      <c r="L1159" s="110"/>
      <c r="M1159" s="110"/>
      <c r="N1159" s="110"/>
      <c r="O1159" s="378"/>
      <c r="P1159" s="378"/>
      <c r="Q1159" s="378"/>
      <c r="R1159" s="378"/>
      <c r="S1159" s="378"/>
      <c r="T1159" s="378"/>
      <c r="U1159" s="378"/>
      <c r="V1159" s="378"/>
      <c r="W1159" s="378"/>
      <c r="X1159" s="378"/>
      <c r="Y1159" s="378"/>
      <c r="Z1159" s="378"/>
      <c r="AA1159" s="378"/>
      <c r="AB1159" s="378"/>
      <c r="AC1159" s="378"/>
      <c r="AD1159" s="378"/>
      <c r="AE1159" s="378"/>
      <c r="AF1159" s="378"/>
      <c r="AG1159" s="378"/>
      <c r="AH1159" s="378"/>
      <c r="AI1159" s="378"/>
      <c r="AJ1159" s="378"/>
      <c r="AK1159" s="378"/>
      <c r="AL1159" s="378"/>
      <c r="AM1159" s="378"/>
      <c r="AN1159" s="378"/>
      <c r="AO1159" s="378"/>
      <c r="AP1159" s="378"/>
      <c r="AQ1159" s="378"/>
      <c r="AR1159" s="378"/>
      <c r="AS1159" s="378"/>
      <c r="AT1159" s="378"/>
      <c r="AU1159" s="378"/>
    </row>
    <row r="1160" spans="1:47" x14ac:dyDescent="0.25">
      <c r="A1160" s="378"/>
      <c r="B1160" s="1192" t="e">
        <f>'3 INDICADORES'!D364/'GUIA DE APLICAÇÃO'!E1182</f>
        <v>#DIV/0!</v>
      </c>
      <c r="C1160" s="1192" t="e">
        <f>'3 INDICADORES'!E364/'GUIA DE APLICAÇÃO'!E1182</f>
        <v>#DIV/0!</v>
      </c>
      <c r="D1160" s="1192" t="e">
        <f>'3 INDICADORES'!F364/'GUIA DE APLICAÇÃO'!E1182</f>
        <v>#DIV/0!</v>
      </c>
      <c r="E1160" s="1192" t="e">
        <f>'3 INDICADORES'!G364/'GUIA DE APLICAÇÃO'!E1182</f>
        <v>#DIV/0!</v>
      </c>
      <c r="F1160" s="1193" t="str">
        <f>IF('2 GEOPROCESSAMENTO'!$E$38=0,"",'GUIA DE APLICAÇÃO'!B1160+'GUIA DE APLICAÇÃO'!C1160+'GUIA DE APLICAÇÃO'!D1160+'GUIA DE APLICAÇÃO'!E1160)</f>
        <v/>
      </c>
      <c r="G1160" s="371"/>
      <c r="H1160" s="378"/>
      <c r="I1160" s="1188" t="s">
        <v>545</v>
      </c>
      <c r="J1160" s="1043"/>
      <c r="K1160" s="110"/>
      <c r="L1160" s="110"/>
      <c r="M1160" s="110"/>
      <c r="N1160" s="110"/>
      <c r="O1160" s="378"/>
      <c r="P1160" s="378"/>
      <c r="Q1160" s="378"/>
      <c r="R1160" s="378"/>
      <c r="S1160" s="378"/>
      <c r="T1160" s="378"/>
      <c r="U1160" s="378"/>
      <c r="V1160" s="378"/>
      <c r="W1160" s="378"/>
      <c r="X1160" s="378"/>
      <c r="Y1160" s="378"/>
      <c r="Z1160" s="378"/>
      <c r="AA1160" s="378"/>
      <c r="AB1160" s="378"/>
      <c r="AC1160" s="378"/>
      <c r="AD1160" s="378"/>
      <c r="AE1160" s="378"/>
      <c r="AF1160" s="378"/>
      <c r="AG1160" s="378"/>
      <c r="AH1160" s="378"/>
      <c r="AI1160" s="378"/>
      <c r="AJ1160" s="378"/>
      <c r="AK1160" s="378"/>
      <c r="AL1160" s="378"/>
      <c r="AM1160" s="378"/>
      <c r="AN1160" s="378"/>
      <c r="AO1160" s="378"/>
      <c r="AP1160" s="378"/>
      <c r="AQ1160" s="378"/>
      <c r="AR1160" s="378"/>
      <c r="AS1160" s="378"/>
      <c r="AT1160" s="378"/>
      <c r="AU1160" s="378"/>
    </row>
    <row r="1161" spans="1:47" x14ac:dyDescent="0.25">
      <c r="A1161" s="378"/>
      <c r="B1161" s="1194" t="e">
        <f>IF('GUIA DE APLICAÇÃO'!E1183&gt;20%,((('GUIA DE APLICAÇÃO'!F1158*'GUIA DE APLICAÇÃO'!N1156)+('GUIA DE APLICAÇÃO'!F1159*'GUIA DE APLICAÇÃO'!N1157)+('GUIA DE APLICAÇÃO'!F1160*'GUIA DE APLICAÇÃO'!N1158))*1.1),('GUIA DE APLICAÇÃO'!F1158*'GUIA DE APLICAÇÃO'!N1156)+('GUIA DE APLICAÇÃO'!F1159*'GUIA DE APLICAÇÃO'!N1157)+('GUIA DE APLICAÇÃO'!F1160*'GUIA DE APLICAÇÃO'!N1158))</f>
        <v>#DIV/0!</v>
      </c>
      <c r="C1161" s="1195" t="e">
        <f>IF(B1161&gt;1,1,B1161)</f>
        <v>#DIV/0!</v>
      </c>
      <c r="D1161" s="371"/>
      <c r="E1161" s="371"/>
      <c r="F1161" s="371"/>
      <c r="G1161" s="371"/>
      <c r="H1161" s="378"/>
      <c r="I1161" s="1188" t="s">
        <v>977</v>
      </c>
      <c r="J1161" s="1043"/>
      <c r="K1161" s="2048" t="s">
        <v>978</v>
      </c>
      <c r="L1161" s="2048"/>
      <c r="M1161" s="2048"/>
      <c r="N1161" s="2048"/>
      <c r="O1161" s="378"/>
      <c r="P1161" s="378"/>
      <c r="Q1161" s="378"/>
      <c r="R1161" s="378"/>
      <c r="S1161" s="378"/>
      <c r="T1161" s="378"/>
      <c r="U1161" s="378"/>
      <c r="V1161" s="378"/>
      <c r="W1161" s="378"/>
      <c r="X1161" s="378"/>
      <c r="Y1161" s="378"/>
      <c r="Z1161" s="378"/>
      <c r="AA1161" s="378"/>
      <c r="AB1161" s="378"/>
      <c r="AC1161" s="378"/>
      <c r="AD1161" s="378"/>
      <c r="AE1161" s="378"/>
      <c r="AF1161" s="378"/>
      <c r="AG1161" s="378"/>
      <c r="AH1161" s="378"/>
      <c r="AI1161" s="378"/>
      <c r="AJ1161" s="378"/>
      <c r="AK1161" s="378"/>
      <c r="AL1161" s="378"/>
      <c r="AM1161" s="378"/>
      <c r="AN1161" s="378"/>
      <c r="AO1161" s="378"/>
      <c r="AP1161" s="378"/>
      <c r="AQ1161" s="378"/>
      <c r="AR1161" s="378"/>
      <c r="AS1161" s="378"/>
      <c r="AT1161" s="378"/>
      <c r="AU1161" s="378"/>
    </row>
    <row r="1162" spans="1:47" x14ac:dyDescent="0.25">
      <c r="A1162" s="378"/>
      <c r="B1162" s="1068">
        <f>'2 GEOPROCESSAMENTO'!E38</f>
        <v>0</v>
      </c>
      <c r="C1162" s="371"/>
      <c r="D1162" s="371"/>
      <c r="E1162" s="371"/>
      <c r="F1162" s="371"/>
      <c r="G1162" s="371"/>
      <c r="H1162" s="378"/>
      <c r="I1162" s="1188" t="s">
        <v>979</v>
      </c>
      <c r="J1162" s="1043"/>
      <c r="K1162" s="2050" t="s">
        <v>980</v>
      </c>
      <c r="L1162" s="2050"/>
      <c r="M1162" s="2050"/>
      <c r="N1162" s="110"/>
      <c r="O1162" s="378"/>
      <c r="P1162" s="378"/>
      <c r="Q1162" s="378"/>
      <c r="R1162" s="378"/>
      <c r="S1162" s="378"/>
      <c r="T1162" s="378"/>
      <c r="U1162" s="378"/>
      <c r="V1162" s="378"/>
      <c r="W1162" s="378"/>
      <c r="X1162" s="378"/>
      <c r="Y1162" s="378"/>
      <c r="Z1162" s="378"/>
      <c r="AA1162" s="378"/>
      <c r="AB1162" s="378"/>
      <c r="AC1162" s="378"/>
      <c r="AD1162" s="378"/>
      <c r="AE1162" s="378"/>
      <c r="AF1162" s="378"/>
      <c r="AG1162" s="378"/>
      <c r="AH1162" s="378"/>
      <c r="AI1162" s="378"/>
      <c r="AJ1162" s="378"/>
      <c r="AK1162" s="378"/>
      <c r="AL1162" s="378"/>
      <c r="AM1162" s="378"/>
      <c r="AN1162" s="378"/>
      <c r="AO1162" s="378"/>
      <c r="AP1162" s="378"/>
      <c r="AQ1162" s="378"/>
      <c r="AR1162" s="378"/>
      <c r="AS1162" s="378"/>
      <c r="AT1162" s="378"/>
      <c r="AU1162" s="378"/>
    </row>
    <row r="1163" spans="1:47" x14ac:dyDescent="0.25">
      <c r="A1163" s="378"/>
      <c r="B1163" s="1160" t="e">
        <f>IF('3 INDICADORES'!G375="x",(('3 INDICADORES'!E368+'3 INDICADORES'!F372)/2*1.1),(('3 INDICADORES'!F372+'3 INDICADORES'!E368)/2))</f>
        <v>#VALUE!</v>
      </c>
      <c r="C1163" s="378"/>
      <c r="D1163" s="371"/>
      <c r="E1163" s="371"/>
      <c r="F1163" s="371"/>
      <c r="G1163" s="371"/>
      <c r="H1163" s="378"/>
      <c r="I1163" s="1189" t="s">
        <v>981</v>
      </c>
      <c r="J1163" s="1041"/>
      <c r="K1163" s="2080">
        <v>1</v>
      </c>
      <c r="L1163" s="2080"/>
      <c r="M1163" s="2080"/>
      <c r="N1163" s="1191">
        <v>1</v>
      </c>
      <c r="O1163" s="378"/>
      <c r="P1163" s="378"/>
      <c r="Q1163" s="378"/>
      <c r="R1163" s="378"/>
      <c r="S1163" s="378"/>
      <c r="T1163" s="378"/>
      <c r="U1163" s="378"/>
      <c r="V1163" s="378"/>
      <c r="W1163" s="378"/>
      <c r="X1163" s="378"/>
      <c r="Y1163" s="378"/>
      <c r="Z1163" s="378"/>
      <c r="AA1163" s="378"/>
      <c r="AB1163" s="378"/>
      <c r="AC1163" s="378"/>
      <c r="AD1163" s="378"/>
      <c r="AE1163" s="378"/>
      <c r="AF1163" s="378"/>
      <c r="AG1163" s="378"/>
      <c r="AH1163" s="378"/>
      <c r="AI1163" s="378"/>
      <c r="AJ1163" s="378"/>
      <c r="AK1163" s="378"/>
      <c r="AL1163" s="378"/>
      <c r="AM1163" s="378"/>
      <c r="AN1163" s="378"/>
      <c r="AO1163" s="378"/>
      <c r="AP1163" s="378"/>
      <c r="AQ1163" s="378"/>
      <c r="AR1163" s="378"/>
      <c r="AS1163" s="378"/>
      <c r="AT1163" s="378"/>
      <c r="AU1163" s="378"/>
    </row>
    <row r="1164" spans="1:47" x14ac:dyDescent="0.25">
      <c r="A1164" s="378"/>
      <c r="B1164" s="371"/>
      <c r="C1164" s="371"/>
      <c r="D1164" s="371"/>
      <c r="E1164" s="371"/>
      <c r="F1164" s="371"/>
      <c r="G1164" s="371"/>
      <c r="H1164" s="378"/>
      <c r="I1164" s="639"/>
      <c r="J1164" s="3"/>
      <c r="K1164" s="2080">
        <v>2</v>
      </c>
      <c r="L1164" s="2080"/>
      <c r="M1164" s="2080"/>
      <c r="N1164" s="1191">
        <v>0.9</v>
      </c>
      <c r="O1164" s="378"/>
      <c r="P1164" s="378"/>
      <c r="Q1164" s="378"/>
      <c r="R1164" s="378"/>
      <c r="S1164" s="378"/>
      <c r="T1164" s="378"/>
      <c r="U1164" s="378"/>
      <c r="V1164" s="378"/>
      <c r="W1164" s="378"/>
      <c r="X1164" s="378"/>
      <c r="Y1164" s="378"/>
      <c r="Z1164" s="378"/>
      <c r="AA1164" s="378"/>
      <c r="AB1164" s="378"/>
      <c r="AC1164" s="378"/>
      <c r="AD1164" s="378"/>
      <c r="AE1164" s="378"/>
      <c r="AF1164" s="378"/>
      <c r="AG1164" s="378"/>
      <c r="AH1164" s="378"/>
      <c r="AI1164" s="378"/>
      <c r="AJ1164" s="378"/>
      <c r="AK1164" s="378"/>
      <c r="AL1164" s="378"/>
      <c r="AM1164" s="378"/>
      <c r="AN1164" s="378"/>
      <c r="AO1164" s="378"/>
      <c r="AP1164" s="378"/>
      <c r="AQ1164" s="378"/>
      <c r="AR1164" s="378"/>
      <c r="AS1164" s="378"/>
      <c r="AT1164" s="378"/>
      <c r="AU1164" s="378"/>
    </row>
    <row r="1165" spans="1:47" x14ac:dyDescent="0.25">
      <c r="A1165" s="378"/>
      <c r="B1165" s="532"/>
      <c r="C1165" s="45"/>
      <c r="D1165" s="45"/>
      <c r="E1165" s="45"/>
      <c r="F1165" s="157"/>
      <c r="G1165" s="157"/>
      <c r="H1165" s="378"/>
      <c r="I1165" s="639"/>
      <c r="J1165" s="3"/>
      <c r="K1165" s="2080">
        <v>3</v>
      </c>
      <c r="L1165" s="2080"/>
      <c r="M1165" s="2080"/>
      <c r="N1165" s="1191">
        <v>0.8</v>
      </c>
      <c r="O1165" s="378"/>
      <c r="P1165" s="378"/>
      <c r="Q1165" s="378"/>
      <c r="R1165" s="378"/>
      <c r="S1165" s="378"/>
      <c r="T1165" s="378"/>
      <c r="U1165" s="378"/>
      <c r="V1165" s="378"/>
      <c r="W1165" s="378"/>
      <c r="X1165" s="378"/>
      <c r="Y1165" s="378"/>
      <c r="Z1165" s="378"/>
      <c r="AA1165" s="378"/>
      <c r="AB1165" s="378"/>
      <c r="AC1165" s="378"/>
      <c r="AD1165" s="378"/>
      <c r="AE1165" s="378"/>
      <c r="AF1165" s="378"/>
      <c r="AG1165" s="378"/>
      <c r="AH1165" s="378"/>
      <c r="AI1165" s="378"/>
      <c r="AJ1165" s="378"/>
      <c r="AK1165" s="378"/>
      <c r="AL1165" s="378"/>
      <c r="AM1165" s="378"/>
      <c r="AN1165" s="378"/>
      <c r="AO1165" s="378"/>
      <c r="AP1165" s="378"/>
      <c r="AQ1165" s="378"/>
      <c r="AR1165" s="378"/>
      <c r="AS1165" s="378"/>
      <c r="AT1165" s="378"/>
      <c r="AU1165" s="378"/>
    </row>
    <row r="1166" spans="1:47" x14ac:dyDescent="0.25">
      <c r="A1166" s="378"/>
      <c r="B1166" s="2072" t="s">
        <v>982</v>
      </c>
      <c r="C1166" s="2081" t="e">
        <f>B1162/'GUIA DE APLICAÇÃO'!I1137</f>
        <v>#DIV/0!</v>
      </c>
      <c r="D1166" s="2073" t="s">
        <v>983</v>
      </c>
      <c r="E1166" s="2073"/>
      <c r="F1166" s="2073"/>
      <c r="G1166" s="1187"/>
      <c r="H1166" s="378"/>
      <c r="I1166" s="637"/>
      <c r="J1166" s="3"/>
      <c r="K1166" s="2080">
        <v>4</v>
      </c>
      <c r="L1166" s="2080"/>
      <c r="M1166" s="2080"/>
      <c r="N1166" s="1191">
        <v>0.7</v>
      </c>
      <c r="O1166" s="378"/>
      <c r="P1166" s="378"/>
      <c r="Q1166" s="378"/>
      <c r="R1166" s="378"/>
      <c r="S1166" s="378"/>
      <c r="T1166" s="378"/>
      <c r="U1166" s="378"/>
      <c r="V1166" s="378"/>
      <c r="W1166" s="378"/>
      <c r="X1166" s="378"/>
      <c r="Y1166" s="378"/>
      <c r="Z1166" s="378"/>
      <c r="AA1166" s="378"/>
      <c r="AB1166" s="378"/>
      <c r="AC1166" s="378"/>
      <c r="AD1166" s="378"/>
      <c r="AE1166" s="378"/>
      <c r="AF1166" s="378"/>
      <c r="AG1166" s="378"/>
      <c r="AH1166" s="378"/>
      <c r="AI1166" s="378"/>
      <c r="AJ1166" s="378"/>
      <c r="AK1166" s="378"/>
      <c r="AL1166" s="378"/>
      <c r="AM1166" s="378"/>
      <c r="AN1166" s="378"/>
      <c r="AO1166" s="378"/>
      <c r="AP1166" s="378"/>
      <c r="AQ1166" s="378"/>
      <c r="AR1166" s="378"/>
      <c r="AS1166" s="378"/>
      <c r="AT1166" s="378"/>
      <c r="AU1166" s="378"/>
    </row>
    <row r="1167" spans="1:47" x14ac:dyDescent="0.25">
      <c r="A1167" s="378"/>
      <c r="B1167" s="2072"/>
      <c r="C1167" s="2081"/>
      <c r="D1167" s="2073"/>
      <c r="E1167" s="2073"/>
      <c r="F1167" s="2073"/>
      <c r="G1167" s="372"/>
      <c r="H1167" s="378"/>
      <c r="I1167" s="639"/>
      <c r="J1167" s="3"/>
      <c r="K1167" s="2080">
        <v>5</v>
      </c>
      <c r="L1167" s="2080"/>
      <c r="M1167" s="2080"/>
      <c r="N1167" s="1191">
        <v>0.6</v>
      </c>
      <c r="O1167" s="378"/>
      <c r="P1167" s="378"/>
      <c r="Q1167" s="378"/>
      <c r="R1167" s="378"/>
      <c r="S1167" s="378"/>
      <c r="T1167" s="378"/>
      <c r="U1167" s="378"/>
      <c r="V1167" s="378"/>
      <c r="W1167" s="378"/>
      <c r="X1167" s="378"/>
      <c r="Y1167" s="378"/>
      <c r="Z1167" s="378"/>
      <c r="AA1167" s="378"/>
      <c r="AB1167" s="378"/>
      <c r="AC1167" s="378"/>
      <c r="AD1167" s="378"/>
      <c r="AE1167" s="378"/>
      <c r="AF1167" s="378"/>
      <c r="AG1167" s="378"/>
      <c r="AH1167" s="378"/>
      <c r="AI1167" s="378"/>
      <c r="AJ1167" s="378"/>
      <c r="AK1167" s="378"/>
      <c r="AL1167" s="378"/>
      <c r="AM1167" s="378"/>
      <c r="AN1167" s="378"/>
      <c r="AO1167" s="378"/>
      <c r="AP1167" s="378"/>
      <c r="AQ1167" s="378"/>
      <c r="AR1167" s="378"/>
      <c r="AS1167" s="378"/>
      <c r="AT1167" s="378"/>
      <c r="AU1167" s="378"/>
    </row>
    <row r="1168" spans="1:47" x14ac:dyDescent="0.25">
      <c r="A1168" s="378"/>
      <c r="B1168" s="2072"/>
      <c r="C1168" s="2081"/>
      <c r="D1168" s="2073"/>
      <c r="E1168" s="2073"/>
      <c r="F1168" s="2073"/>
      <c r="G1168" s="372"/>
      <c r="H1168" s="378"/>
      <c r="I1168" s="378"/>
      <c r="J1168" s="378"/>
      <c r="K1168" s="2080">
        <v>6</v>
      </c>
      <c r="L1168" s="2080"/>
      <c r="M1168" s="2080"/>
      <c r="N1168" s="1191">
        <v>0.5</v>
      </c>
      <c r="O1168" s="378"/>
      <c r="P1168" s="378"/>
      <c r="Q1168" s="378"/>
      <c r="R1168" s="378"/>
      <c r="S1168" s="378"/>
      <c r="T1168" s="378"/>
      <c r="U1168" s="378"/>
      <c r="V1168" s="378"/>
      <c r="W1168" s="378"/>
      <c r="X1168" s="378"/>
      <c r="Y1168" s="378"/>
      <c r="Z1168" s="378"/>
      <c r="AA1168" s="378"/>
      <c r="AB1168" s="378"/>
      <c r="AC1168" s="378"/>
      <c r="AD1168" s="378"/>
      <c r="AE1168" s="378"/>
      <c r="AF1168" s="378"/>
      <c r="AG1168" s="378"/>
      <c r="AH1168" s="378"/>
      <c r="AI1168" s="378"/>
      <c r="AJ1168" s="378"/>
      <c r="AK1168" s="378"/>
      <c r="AL1168" s="378"/>
      <c r="AM1168" s="378"/>
      <c r="AN1168" s="378"/>
      <c r="AO1168" s="378"/>
      <c r="AP1168" s="378"/>
      <c r="AQ1168" s="378"/>
      <c r="AR1168" s="378"/>
      <c r="AS1168" s="378"/>
      <c r="AT1168" s="378"/>
      <c r="AU1168" s="378"/>
    </row>
    <row r="1169" spans="1:47" ht="15" customHeight="1" x14ac:dyDescent="0.25">
      <c r="A1169" s="378"/>
      <c r="B1169" s="753">
        <f>1.1-0.1*'3 INDICADORES'!E372</f>
        <v>1.1000000000000001</v>
      </c>
      <c r="C1169" s="1196" t="e">
        <f>IF(C1166&lt;5%,B1169*0.65,B1169)</f>
        <v>#DIV/0!</v>
      </c>
      <c r="D1169" s="1196">
        <f>IF('2 GEOPROCESSAMENTO'!E38=0,0.1,'GUIA DE APLICAÇÃO'!C1169)</f>
        <v>0.1</v>
      </c>
      <c r="E1169" s="549"/>
      <c r="F1169" s="549"/>
      <c r="G1169" s="549"/>
      <c r="H1169" s="378"/>
      <c r="I1169" s="378"/>
      <c r="J1169" s="378"/>
      <c r="K1169" s="378"/>
      <c r="L1169" s="378"/>
      <c r="M1169" s="378"/>
      <c r="N1169" s="378"/>
      <c r="O1169" s="378"/>
      <c r="P1169" s="378"/>
      <c r="Q1169" s="378"/>
      <c r="R1169" s="378"/>
      <c r="S1169" s="378"/>
      <c r="T1169" s="378"/>
      <c r="U1169" s="378"/>
      <c r="V1169" s="378"/>
      <c r="W1169" s="378"/>
      <c r="X1169" s="378"/>
      <c r="Y1169" s="378"/>
      <c r="Z1169" s="378"/>
      <c r="AA1169" s="378"/>
      <c r="AB1169" s="378"/>
      <c r="AC1169" s="378"/>
      <c r="AD1169" s="378"/>
      <c r="AE1169" s="378"/>
      <c r="AF1169" s="378"/>
      <c r="AG1169" s="378"/>
      <c r="AH1169" s="378"/>
      <c r="AI1169" s="378"/>
      <c r="AJ1169" s="378"/>
      <c r="AK1169" s="378"/>
      <c r="AL1169" s="378"/>
      <c r="AM1169" s="378"/>
      <c r="AN1169" s="378"/>
      <c r="AO1169" s="378"/>
      <c r="AP1169" s="378"/>
      <c r="AQ1169" s="378"/>
      <c r="AR1169" s="378"/>
      <c r="AS1169" s="378"/>
      <c r="AT1169" s="378"/>
      <c r="AU1169" s="378"/>
    </row>
    <row r="1170" spans="1:47" ht="15" customHeight="1" x14ac:dyDescent="0.25">
      <c r="A1170" s="378"/>
      <c r="B1170" s="2074" t="s">
        <v>984</v>
      </c>
      <c r="C1170" s="2074"/>
      <c r="D1170" s="549"/>
      <c r="E1170" s="549"/>
      <c r="F1170" s="549"/>
      <c r="G1170" s="549"/>
      <c r="H1170" s="378"/>
      <c r="I1170" s="378"/>
      <c r="J1170" s="378"/>
      <c r="K1170" s="378"/>
      <c r="L1170" s="378"/>
      <c r="M1170" s="378"/>
      <c r="N1170" s="378"/>
      <c r="O1170" s="378"/>
      <c r="P1170" s="378"/>
      <c r="Q1170" s="378"/>
      <c r="R1170" s="378"/>
      <c r="S1170" s="378"/>
      <c r="T1170" s="378"/>
      <c r="U1170" s="378"/>
      <c r="V1170" s="378"/>
      <c r="W1170" s="378"/>
      <c r="X1170" s="378"/>
      <c r="Y1170" s="378"/>
      <c r="Z1170" s="378"/>
      <c r="AA1170" s="378"/>
      <c r="AB1170" s="378"/>
      <c r="AC1170" s="378"/>
      <c r="AD1170" s="378"/>
      <c r="AE1170" s="378"/>
      <c r="AF1170" s="378"/>
      <c r="AG1170" s="378"/>
      <c r="AH1170" s="378"/>
      <c r="AI1170" s="378"/>
      <c r="AJ1170" s="378"/>
      <c r="AK1170" s="378"/>
      <c r="AL1170" s="378"/>
      <c r="AM1170" s="378"/>
      <c r="AN1170" s="378"/>
      <c r="AO1170" s="378"/>
      <c r="AP1170" s="378"/>
      <c r="AQ1170" s="378"/>
      <c r="AR1170" s="378"/>
      <c r="AS1170" s="378"/>
      <c r="AT1170" s="378"/>
      <c r="AU1170" s="378"/>
    </row>
    <row r="1171" spans="1:47" s="18" customFormat="1" x14ac:dyDescent="0.25">
      <c r="A1171" s="378"/>
      <c r="B1171" s="376"/>
      <c r="C1171" s="376"/>
      <c r="D1171" s="377"/>
      <c r="E1171" s="372"/>
      <c r="F1171" s="372"/>
      <c r="G1171" s="372"/>
      <c r="H1171" s="378"/>
      <c r="I1171" s="378"/>
      <c r="J1171" s="378"/>
      <c r="K1171" s="378"/>
      <c r="L1171" s="378"/>
      <c r="M1171" s="378"/>
      <c r="N1171" s="378"/>
      <c r="O1171" s="378"/>
      <c r="P1171" s="378"/>
      <c r="Q1171" s="378"/>
      <c r="R1171" s="378"/>
      <c r="S1171" s="378"/>
      <c r="T1171" s="378"/>
      <c r="U1171" s="378"/>
      <c r="V1171" s="378"/>
      <c r="W1171" s="378"/>
      <c r="X1171" s="378"/>
      <c r="Y1171" s="378"/>
      <c r="Z1171" s="378"/>
      <c r="AA1171" s="378"/>
      <c r="AB1171" s="378"/>
      <c r="AC1171" s="378"/>
      <c r="AD1171" s="378"/>
      <c r="AE1171" s="378"/>
      <c r="AF1171" s="378"/>
      <c r="AG1171" s="378"/>
      <c r="AH1171" s="378"/>
      <c r="AI1171" s="378"/>
      <c r="AJ1171" s="378"/>
      <c r="AK1171" s="378"/>
      <c r="AL1171" s="378"/>
      <c r="AM1171" s="378"/>
      <c r="AN1171" s="378"/>
      <c r="AO1171" s="378"/>
      <c r="AP1171" s="378"/>
      <c r="AQ1171" s="378"/>
      <c r="AR1171" s="378"/>
      <c r="AS1171" s="378"/>
      <c r="AT1171" s="378"/>
      <c r="AU1171" s="378"/>
    </row>
    <row r="1172" spans="1:47" ht="21" customHeight="1" x14ac:dyDescent="0.35">
      <c r="A1172" s="349"/>
      <c r="B1172" s="2067" t="s">
        <v>985</v>
      </c>
      <c r="C1172" s="2068"/>
      <c r="D1172" s="2068"/>
      <c r="E1172" s="2068"/>
      <c r="F1172" s="2068"/>
      <c r="G1172" s="2068"/>
      <c r="H1172" s="2068"/>
      <c r="I1172" s="2068"/>
      <c r="J1172" s="2068"/>
      <c r="K1172" s="2068"/>
      <c r="L1172" s="2068"/>
      <c r="M1172" s="378"/>
      <c r="N1172" s="378"/>
      <c r="O1172" s="378"/>
      <c r="P1172" s="378"/>
      <c r="Q1172" s="378"/>
      <c r="R1172" s="378"/>
      <c r="S1172" s="378"/>
      <c r="T1172" s="378"/>
      <c r="U1172" s="378"/>
      <c r="V1172" s="378"/>
      <c r="W1172" s="378"/>
      <c r="X1172" s="378"/>
      <c r="Y1172" s="378"/>
      <c r="Z1172" s="378"/>
      <c r="AA1172" s="378"/>
      <c r="AB1172" s="378"/>
      <c r="AC1172" s="378"/>
      <c r="AD1172" s="378"/>
      <c r="AE1172" s="378"/>
      <c r="AF1172" s="378"/>
      <c r="AG1172" s="378"/>
      <c r="AH1172" s="378"/>
      <c r="AI1172" s="378"/>
      <c r="AJ1172" s="378"/>
      <c r="AK1172" s="378"/>
      <c r="AL1172" s="378"/>
      <c r="AM1172" s="378"/>
      <c r="AN1172" s="378"/>
      <c r="AO1172" s="378"/>
      <c r="AP1172" s="378"/>
      <c r="AQ1172" s="378"/>
      <c r="AR1172" s="378"/>
      <c r="AS1172" s="378"/>
      <c r="AT1172" s="378"/>
      <c r="AU1172" s="378"/>
    </row>
    <row r="1173" spans="1:47" x14ac:dyDescent="0.25">
      <c r="A1173" s="378"/>
      <c r="B1173" s="2068"/>
      <c r="C1173" s="2068"/>
      <c r="D1173" s="2068"/>
      <c r="E1173" s="2068"/>
      <c r="F1173" s="2068"/>
      <c r="G1173" s="2068"/>
      <c r="H1173" s="2068"/>
      <c r="I1173" s="2068"/>
      <c r="J1173" s="2068"/>
      <c r="K1173" s="2068"/>
      <c r="L1173" s="2068"/>
      <c r="M1173" s="378"/>
      <c r="N1173" s="378"/>
      <c r="O1173" s="378"/>
      <c r="P1173" s="378"/>
      <c r="Q1173" s="378"/>
      <c r="R1173" s="378"/>
      <c r="S1173" s="378"/>
      <c r="T1173" s="378"/>
      <c r="U1173" s="378"/>
      <c r="V1173" s="378"/>
      <c r="W1173" s="378"/>
      <c r="X1173" s="378"/>
      <c r="Y1173" s="378"/>
      <c r="Z1173" s="378"/>
      <c r="AA1173" s="378"/>
      <c r="AB1173" s="378"/>
      <c r="AC1173" s="378"/>
      <c r="AD1173" s="378"/>
      <c r="AE1173" s="378"/>
      <c r="AF1173" s="378"/>
      <c r="AG1173" s="378"/>
      <c r="AH1173" s="378"/>
      <c r="AI1173" s="378"/>
      <c r="AJ1173" s="378"/>
      <c r="AK1173" s="378"/>
      <c r="AL1173" s="378"/>
      <c r="AM1173" s="378"/>
      <c r="AN1173" s="378"/>
      <c r="AO1173" s="378"/>
      <c r="AP1173" s="378"/>
      <c r="AQ1173" s="378"/>
      <c r="AR1173" s="378"/>
      <c r="AS1173" s="378"/>
      <c r="AT1173" s="378"/>
      <c r="AU1173" s="378"/>
    </row>
    <row r="1174" spans="1:47" ht="15" customHeight="1" x14ac:dyDescent="0.25">
      <c r="A1174" s="378"/>
      <c r="B1174" s="2082" t="s">
        <v>986</v>
      </c>
      <c r="C1174" s="2083"/>
      <c r="D1174" s="2083"/>
      <c r="E1174" s="2083"/>
      <c r="F1174" s="2083"/>
      <c r="G1174" s="2083"/>
      <c r="H1174" s="2083"/>
      <c r="I1174" s="2083"/>
      <c r="J1174" s="2083"/>
      <c r="K1174" s="2083"/>
      <c r="L1174" s="2084"/>
      <c r="M1174" s="3"/>
      <c r="N1174" s="378"/>
      <c r="O1174" s="378"/>
      <c r="P1174" s="378"/>
      <c r="Q1174" s="378"/>
      <c r="R1174" s="378"/>
      <c r="S1174" s="378"/>
      <c r="T1174" s="378"/>
      <c r="U1174" s="378"/>
      <c r="V1174" s="378"/>
      <c r="W1174" s="378"/>
      <c r="X1174" s="378"/>
      <c r="Y1174" s="378"/>
      <c r="Z1174" s="378"/>
      <c r="AA1174" s="378"/>
      <c r="AB1174" s="378"/>
      <c r="AC1174" s="378"/>
      <c r="AD1174" s="378"/>
      <c r="AE1174" s="378"/>
      <c r="AF1174" s="378"/>
      <c r="AG1174" s="378"/>
      <c r="AH1174" s="378"/>
      <c r="AI1174" s="378"/>
      <c r="AJ1174" s="378"/>
      <c r="AK1174" s="378"/>
      <c r="AL1174" s="378"/>
      <c r="AM1174" s="378"/>
      <c r="AN1174" s="378"/>
      <c r="AO1174" s="378"/>
      <c r="AP1174" s="378"/>
      <c r="AQ1174" s="378"/>
      <c r="AR1174" s="378"/>
      <c r="AS1174" s="378"/>
      <c r="AT1174" s="378"/>
      <c r="AU1174" s="378"/>
    </row>
    <row r="1175" spans="1:47" s="453" customFormat="1" ht="15" customHeight="1" x14ac:dyDescent="0.25">
      <c r="A1175" s="378"/>
      <c r="B1175" s="2085"/>
      <c r="C1175" s="2086"/>
      <c r="D1175" s="2086"/>
      <c r="E1175" s="2086"/>
      <c r="F1175" s="2086"/>
      <c r="G1175" s="2086"/>
      <c r="H1175" s="2086"/>
      <c r="I1175" s="2086"/>
      <c r="J1175" s="2086"/>
      <c r="K1175" s="2086"/>
      <c r="L1175" s="2087"/>
      <c r="M1175" s="3"/>
      <c r="N1175" s="378"/>
      <c r="O1175" s="378"/>
      <c r="P1175" s="378"/>
      <c r="Q1175" s="378"/>
      <c r="R1175" s="378"/>
      <c r="S1175" s="378"/>
      <c r="T1175" s="378"/>
      <c r="U1175" s="378"/>
      <c r="V1175" s="378"/>
      <c r="W1175" s="378"/>
      <c r="X1175" s="378"/>
      <c r="Y1175" s="378"/>
      <c r="Z1175" s="378"/>
      <c r="AA1175" s="378"/>
      <c r="AB1175" s="378"/>
      <c r="AC1175" s="378"/>
      <c r="AD1175" s="378"/>
      <c r="AE1175" s="378"/>
      <c r="AF1175" s="378"/>
      <c r="AG1175" s="378"/>
      <c r="AH1175" s="378"/>
      <c r="AI1175" s="378"/>
      <c r="AJ1175" s="378"/>
      <c r="AK1175" s="378"/>
      <c r="AL1175" s="378"/>
      <c r="AM1175" s="378"/>
      <c r="AN1175" s="378"/>
      <c r="AO1175" s="378"/>
      <c r="AP1175" s="378"/>
      <c r="AQ1175" s="378"/>
      <c r="AR1175" s="378"/>
      <c r="AS1175" s="378"/>
      <c r="AT1175" s="378"/>
      <c r="AU1175" s="378"/>
    </row>
    <row r="1176" spans="1:47" s="453" customFormat="1" ht="15" customHeight="1" x14ac:dyDescent="0.25">
      <c r="A1176" s="378"/>
      <c r="B1176" s="2088"/>
      <c r="C1176" s="2089"/>
      <c r="D1176" s="2089"/>
      <c r="E1176" s="2089"/>
      <c r="F1176" s="2089"/>
      <c r="G1176" s="2089"/>
      <c r="H1176" s="2089"/>
      <c r="I1176" s="2089"/>
      <c r="J1176" s="2089"/>
      <c r="K1176" s="2089"/>
      <c r="L1176" s="2090"/>
      <c r="M1176" s="3"/>
      <c r="N1176" s="378"/>
      <c r="O1176" s="378"/>
      <c r="P1176" s="378"/>
      <c r="Q1176" s="378"/>
      <c r="R1176" s="378"/>
      <c r="S1176" s="378"/>
      <c r="T1176" s="378"/>
      <c r="U1176" s="378"/>
      <c r="V1176" s="378"/>
      <c r="W1176" s="378"/>
      <c r="X1176" s="378"/>
      <c r="Y1176" s="378"/>
      <c r="Z1176" s="378"/>
      <c r="AA1176" s="378"/>
      <c r="AB1176" s="378"/>
      <c r="AC1176" s="378"/>
      <c r="AD1176" s="378"/>
      <c r="AE1176" s="378"/>
      <c r="AF1176" s="378"/>
      <c r="AG1176" s="378"/>
      <c r="AH1176" s="378"/>
      <c r="AI1176" s="378"/>
      <c r="AJ1176" s="378"/>
      <c r="AK1176" s="378"/>
      <c r="AL1176" s="378"/>
      <c r="AM1176" s="378"/>
      <c r="AN1176" s="378"/>
      <c r="AO1176" s="378"/>
      <c r="AP1176" s="378"/>
      <c r="AQ1176" s="378"/>
      <c r="AR1176" s="378"/>
      <c r="AS1176" s="378"/>
      <c r="AT1176" s="378"/>
      <c r="AU1176" s="378"/>
    </row>
    <row r="1177" spans="1:47" ht="9" customHeight="1" x14ac:dyDescent="0.25">
      <c r="A1177" s="378"/>
      <c r="B1177" s="2067" t="s">
        <v>987</v>
      </c>
      <c r="C1177" s="2069"/>
      <c r="D1177" s="2069"/>
      <c r="E1177" s="2069"/>
      <c r="F1177" s="2069"/>
      <c r="G1177" s="2069"/>
      <c r="H1177" s="2069"/>
      <c r="I1177" s="2069"/>
      <c r="J1177" s="2069"/>
      <c r="K1177" s="2069"/>
      <c r="L1177" s="2069"/>
      <c r="M1177" s="378"/>
      <c r="N1177" s="378"/>
      <c r="O1177" s="378"/>
      <c r="P1177" s="378"/>
      <c r="Q1177" s="378"/>
      <c r="R1177" s="378"/>
      <c r="S1177" s="378"/>
      <c r="T1177" s="378"/>
      <c r="U1177" s="378"/>
      <c r="V1177" s="378"/>
      <c r="W1177" s="378"/>
      <c r="X1177" s="378"/>
      <c r="Y1177" s="378"/>
      <c r="Z1177" s="378"/>
      <c r="AA1177" s="378"/>
      <c r="AB1177" s="378"/>
      <c r="AC1177" s="378"/>
      <c r="AD1177" s="378"/>
      <c r="AE1177" s="378"/>
      <c r="AF1177" s="378"/>
      <c r="AG1177" s="378"/>
      <c r="AH1177" s="378"/>
      <c r="AI1177" s="378"/>
      <c r="AJ1177" s="378"/>
      <c r="AK1177" s="378"/>
      <c r="AL1177" s="378"/>
      <c r="AM1177" s="378"/>
      <c r="AN1177" s="378"/>
      <c r="AO1177" s="378"/>
      <c r="AP1177" s="378"/>
      <c r="AQ1177" s="378"/>
      <c r="AR1177" s="378"/>
      <c r="AS1177" s="378"/>
      <c r="AT1177" s="378"/>
      <c r="AU1177" s="378"/>
    </row>
    <row r="1178" spans="1:47" ht="9" customHeight="1" x14ac:dyDescent="0.25">
      <c r="A1178" s="378"/>
      <c r="B1178" s="2069"/>
      <c r="C1178" s="2069"/>
      <c r="D1178" s="2069"/>
      <c r="E1178" s="2069"/>
      <c r="F1178" s="2069"/>
      <c r="G1178" s="2069"/>
      <c r="H1178" s="2069"/>
      <c r="I1178" s="2069"/>
      <c r="J1178" s="2069"/>
      <c r="K1178" s="2069"/>
      <c r="L1178" s="2069"/>
      <c r="M1178" s="378"/>
      <c r="N1178" s="378"/>
      <c r="O1178" s="378"/>
      <c r="P1178" s="378"/>
      <c r="Q1178" s="378"/>
      <c r="R1178" s="378"/>
      <c r="S1178" s="378"/>
      <c r="T1178" s="378"/>
      <c r="U1178" s="378"/>
      <c r="V1178" s="378"/>
      <c r="W1178" s="378"/>
      <c r="X1178" s="378"/>
      <c r="Y1178" s="378"/>
      <c r="Z1178" s="378"/>
      <c r="AA1178" s="378"/>
      <c r="AB1178" s="378"/>
      <c r="AC1178" s="378"/>
      <c r="AD1178" s="378"/>
      <c r="AE1178" s="378"/>
      <c r="AF1178" s="378"/>
      <c r="AG1178" s="378"/>
      <c r="AH1178" s="378"/>
      <c r="AI1178" s="378"/>
      <c r="AJ1178" s="378"/>
      <c r="AK1178" s="378"/>
      <c r="AL1178" s="378"/>
      <c r="AM1178" s="378"/>
      <c r="AN1178" s="378"/>
      <c r="AO1178" s="378"/>
      <c r="AP1178" s="378"/>
      <c r="AQ1178" s="378"/>
      <c r="AR1178" s="378"/>
      <c r="AS1178" s="378"/>
      <c r="AT1178" s="378"/>
      <c r="AU1178" s="378"/>
    </row>
    <row r="1179" spans="1:47" x14ac:dyDescent="0.25">
      <c r="A1179" s="378"/>
      <c r="B1179" s="2069"/>
      <c r="C1179" s="2069"/>
      <c r="D1179" s="2069"/>
      <c r="E1179" s="2069"/>
      <c r="F1179" s="2069"/>
      <c r="G1179" s="2069"/>
      <c r="H1179" s="2069"/>
      <c r="I1179" s="2069"/>
      <c r="J1179" s="2069"/>
      <c r="K1179" s="2069"/>
      <c r="L1179" s="2069"/>
      <c r="M1179" s="378"/>
      <c r="N1179" s="378"/>
      <c r="O1179" s="378"/>
      <c r="P1179" s="378"/>
      <c r="Q1179" s="378"/>
      <c r="R1179" s="378"/>
      <c r="S1179" s="378"/>
      <c r="T1179" s="378"/>
      <c r="U1179" s="378"/>
      <c r="V1179" s="378"/>
      <c r="W1179" s="378"/>
      <c r="X1179" s="378"/>
      <c r="Y1179" s="378"/>
      <c r="Z1179" s="378"/>
      <c r="AA1179" s="378"/>
      <c r="AB1179" s="378"/>
      <c r="AC1179" s="378"/>
      <c r="AD1179" s="378"/>
      <c r="AE1179" s="378"/>
      <c r="AF1179" s="378"/>
      <c r="AG1179" s="378"/>
      <c r="AH1179" s="378"/>
      <c r="AI1179" s="378"/>
      <c r="AJ1179" s="378"/>
      <c r="AK1179" s="378"/>
      <c r="AL1179" s="378"/>
      <c r="AM1179" s="378"/>
      <c r="AN1179" s="378"/>
      <c r="AO1179" s="378"/>
      <c r="AP1179" s="378"/>
      <c r="AQ1179" s="378"/>
      <c r="AR1179" s="378"/>
      <c r="AS1179" s="378"/>
      <c r="AT1179" s="378"/>
      <c r="AU1179" s="378"/>
    </row>
    <row r="1180" spans="1:47" ht="15.75" customHeight="1" x14ac:dyDescent="0.25">
      <c r="A1180" s="378"/>
      <c r="B1180" s="2069"/>
      <c r="C1180" s="2069"/>
      <c r="D1180" s="2069"/>
      <c r="E1180" s="2069"/>
      <c r="F1180" s="2069"/>
      <c r="G1180" s="2069"/>
      <c r="H1180" s="2069"/>
      <c r="I1180" s="2069"/>
      <c r="J1180" s="2069"/>
      <c r="K1180" s="2069"/>
      <c r="L1180" s="2069"/>
      <c r="M1180" s="378"/>
      <c r="N1180" s="378"/>
      <c r="O1180" s="378"/>
      <c r="P1180" s="378"/>
      <c r="Q1180" s="378"/>
      <c r="R1180" s="378"/>
      <c r="S1180" s="378"/>
      <c r="T1180" s="378"/>
      <c r="U1180" s="378"/>
      <c r="V1180" s="378"/>
      <c r="W1180" s="378"/>
      <c r="X1180" s="378"/>
      <c r="Y1180" s="378"/>
      <c r="Z1180" s="378"/>
      <c r="AA1180" s="378"/>
      <c r="AB1180" s="378"/>
      <c r="AC1180" s="378"/>
      <c r="AD1180" s="378"/>
      <c r="AE1180" s="378"/>
      <c r="AF1180" s="378"/>
      <c r="AG1180" s="378"/>
      <c r="AH1180" s="378"/>
      <c r="AI1180" s="378"/>
      <c r="AJ1180" s="378"/>
      <c r="AK1180" s="378"/>
      <c r="AL1180" s="378"/>
      <c r="AM1180" s="378"/>
      <c r="AN1180" s="378"/>
      <c r="AO1180" s="378"/>
      <c r="AP1180" s="378"/>
      <c r="AQ1180" s="378"/>
      <c r="AR1180" s="378"/>
      <c r="AS1180" s="378"/>
      <c r="AT1180" s="378"/>
      <c r="AU1180" s="378"/>
    </row>
    <row r="1181" spans="1:47" x14ac:dyDescent="0.25">
      <c r="A1181" s="378"/>
      <c r="B1181" s="378"/>
      <c r="C1181" s="378"/>
      <c r="D1181" s="378"/>
      <c r="E1181" s="378"/>
      <c r="F1181" s="378"/>
      <c r="G1181" s="378"/>
      <c r="H1181" s="378"/>
      <c r="I1181" s="378"/>
      <c r="J1181" s="378"/>
      <c r="K1181" s="378"/>
      <c r="L1181" s="378"/>
      <c r="M1181" s="378"/>
      <c r="N1181" s="378"/>
      <c r="O1181" s="378"/>
      <c r="P1181" s="378"/>
      <c r="Q1181" s="378"/>
      <c r="R1181" s="378"/>
      <c r="S1181" s="378"/>
      <c r="T1181" s="378"/>
      <c r="U1181" s="378"/>
      <c r="V1181" s="378"/>
      <c r="W1181" s="378"/>
      <c r="X1181" s="378"/>
      <c r="Y1181" s="378"/>
      <c r="Z1181" s="378"/>
      <c r="AA1181" s="378"/>
      <c r="AB1181" s="378"/>
      <c r="AC1181" s="378"/>
      <c r="AD1181" s="378"/>
      <c r="AE1181" s="378"/>
      <c r="AF1181" s="378"/>
      <c r="AG1181" s="378"/>
      <c r="AH1181" s="378"/>
      <c r="AI1181" s="378"/>
      <c r="AJ1181" s="378"/>
      <c r="AK1181" s="378"/>
      <c r="AL1181" s="378"/>
      <c r="AM1181" s="378"/>
      <c r="AN1181" s="378"/>
      <c r="AO1181" s="378"/>
      <c r="AP1181" s="378"/>
      <c r="AQ1181" s="378"/>
      <c r="AR1181" s="378"/>
      <c r="AS1181" s="378"/>
      <c r="AT1181" s="378"/>
      <c r="AU1181" s="378"/>
    </row>
    <row r="1182" spans="1:47" s="532" customFormat="1" ht="24" customHeight="1" x14ac:dyDescent="0.25">
      <c r="A1182" s="378"/>
      <c r="B1182" s="2102" t="s">
        <v>988</v>
      </c>
      <c r="C1182" s="2102"/>
      <c r="D1182" s="2102"/>
      <c r="E1182" s="2065">
        <f>'2 GEOPROCESSAMENTO'!E38</f>
        <v>0</v>
      </c>
      <c r="F1182" s="2065"/>
      <c r="G1182" s="285"/>
      <c r="H1182" s="285"/>
      <c r="I1182" s="378"/>
      <c r="J1182" s="378"/>
      <c r="K1182" s="378"/>
      <c r="L1182" s="378"/>
      <c r="M1182" s="378"/>
      <c r="N1182" s="378"/>
      <c r="O1182" s="378"/>
      <c r="P1182" s="378"/>
      <c r="Q1182" s="378"/>
      <c r="R1182" s="378"/>
      <c r="S1182" s="378"/>
      <c r="T1182" s="378"/>
      <c r="U1182" s="378"/>
      <c r="V1182" s="378"/>
      <c r="W1182" s="378"/>
      <c r="X1182" s="378"/>
      <c r="Y1182" s="378"/>
      <c r="Z1182" s="378"/>
      <c r="AA1182" s="378"/>
      <c r="AB1182" s="378"/>
      <c r="AC1182" s="378"/>
      <c r="AD1182" s="378"/>
      <c r="AE1182" s="378"/>
      <c r="AF1182" s="378"/>
      <c r="AG1182" s="378"/>
      <c r="AH1182" s="378"/>
      <c r="AI1182" s="378"/>
      <c r="AJ1182" s="378"/>
      <c r="AK1182" s="378"/>
      <c r="AL1182" s="378"/>
      <c r="AM1182" s="378"/>
      <c r="AN1182" s="378"/>
      <c r="AO1182" s="378"/>
      <c r="AP1182" s="378"/>
      <c r="AQ1182" s="378"/>
      <c r="AR1182" s="378"/>
      <c r="AS1182" s="378"/>
      <c r="AT1182" s="378"/>
      <c r="AU1182" s="378"/>
    </row>
    <row r="1183" spans="1:47" s="532" customFormat="1" ht="24" customHeight="1" x14ac:dyDescent="0.25">
      <c r="A1183" s="378"/>
      <c r="B1183" s="2062" t="s">
        <v>989</v>
      </c>
      <c r="C1183" s="2063"/>
      <c r="D1183" s="2064"/>
      <c r="E1183" s="2066" t="e">
        <f>E1182/'2 GEOPROCESSAMENTO'!E39</f>
        <v>#DIV/0!</v>
      </c>
      <c r="F1183" s="2066"/>
      <c r="G1183" s="285"/>
      <c r="H1183" s="285"/>
      <c r="I1183" s="378"/>
      <c r="J1183" s="378"/>
      <c r="K1183" s="378"/>
      <c r="L1183" s="378"/>
      <c r="M1183" s="378"/>
      <c r="N1183" s="378"/>
      <c r="O1183" s="378"/>
      <c r="P1183" s="378"/>
      <c r="Q1183" s="378"/>
      <c r="R1183" s="378"/>
      <c r="S1183" s="378"/>
      <c r="T1183" s="378"/>
      <c r="U1183" s="378"/>
      <c r="V1183" s="378"/>
      <c r="W1183" s="378"/>
      <c r="X1183" s="378"/>
      <c r="Y1183" s="378"/>
      <c r="Z1183" s="378"/>
      <c r="AA1183" s="378"/>
      <c r="AB1183" s="378"/>
      <c r="AC1183" s="378"/>
      <c r="AD1183" s="378"/>
      <c r="AE1183" s="378"/>
      <c r="AF1183" s="378"/>
      <c r="AG1183" s="378"/>
      <c r="AH1183" s="378"/>
      <c r="AI1183" s="378"/>
      <c r="AJ1183" s="378"/>
      <c r="AK1183" s="378"/>
      <c r="AL1183" s="378"/>
      <c r="AM1183" s="378"/>
      <c r="AN1183" s="378"/>
      <c r="AO1183" s="378"/>
      <c r="AP1183" s="378"/>
      <c r="AQ1183" s="378"/>
      <c r="AR1183" s="378"/>
      <c r="AS1183" s="378"/>
      <c r="AT1183" s="378"/>
      <c r="AU1183" s="378"/>
    </row>
    <row r="1184" spans="1:47" s="532" customFormat="1" x14ac:dyDescent="0.25">
      <c r="A1184" s="378"/>
      <c r="B1184" s="378"/>
      <c r="C1184" s="378"/>
      <c r="D1184" s="378"/>
      <c r="E1184" s="378"/>
      <c r="F1184" s="378"/>
      <c r="G1184" s="378"/>
      <c r="H1184" s="378"/>
      <c r="I1184" s="378"/>
      <c r="J1184" s="378"/>
      <c r="K1184" s="378"/>
      <c r="L1184" s="378"/>
      <c r="M1184" s="378"/>
      <c r="N1184" s="378"/>
      <c r="O1184" s="378"/>
      <c r="P1184" s="378"/>
      <c r="Q1184" s="378"/>
      <c r="R1184" s="378"/>
      <c r="S1184" s="378"/>
      <c r="T1184" s="378"/>
      <c r="U1184" s="378"/>
      <c r="V1184" s="378"/>
      <c r="W1184" s="378"/>
      <c r="X1184" s="378"/>
      <c r="Y1184" s="378"/>
      <c r="Z1184" s="378"/>
      <c r="AA1184" s="378"/>
      <c r="AB1184" s="378"/>
      <c r="AC1184" s="378"/>
      <c r="AD1184" s="378"/>
      <c r="AE1184" s="378"/>
      <c r="AF1184" s="378"/>
      <c r="AG1184" s="378"/>
      <c r="AH1184" s="378"/>
      <c r="AI1184" s="378"/>
      <c r="AJ1184" s="378"/>
      <c r="AK1184" s="378"/>
      <c r="AL1184" s="378"/>
      <c r="AM1184" s="378"/>
      <c r="AN1184" s="378"/>
      <c r="AO1184" s="378"/>
      <c r="AP1184" s="378"/>
      <c r="AQ1184" s="378"/>
      <c r="AR1184" s="378"/>
      <c r="AS1184" s="378"/>
      <c r="AT1184" s="378"/>
      <c r="AU1184" s="378"/>
    </row>
    <row r="1185" spans="1:47" s="532" customFormat="1" x14ac:dyDescent="0.25">
      <c r="A1185" s="378"/>
      <c r="B1185" s="378"/>
      <c r="C1185" s="378"/>
      <c r="D1185" s="378"/>
      <c r="E1185" s="378"/>
      <c r="F1185" s="378"/>
      <c r="G1185" s="378"/>
      <c r="H1185" s="378"/>
      <c r="I1185" s="378"/>
      <c r="J1185" s="378"/>
      <c r="K1185" s="378"/>
      <c r="L1185" s="378"/>
      <c r="M1185" s="378"/>
      <c r="N1185" s="378"/>
      <c r="O1185" s="378"/>
      <c r="P1185" s="378"/>
      <c r="Q1185" s="378"/>
      <c r="R1185" s="378"/>
      <c r="S1185" s="378"/>
      <c r="T1185" s="378"/>
      <c r="U1185" s="378"/>
      <c r="V1185" s="378"/>
      <c r="W1185" s="378"/>
      <c r="X1185" s="378"/>
      <c r="Y1185" s="378"/>
      <c r="Z1185" s="378"/>
      <c r="AA1185" s="378"/>
      <c r="AB1185" s="378"/>
      <c r="AC1185" s="378"/>
      <c r="AD1185" s="378"/>
      <c r="AE1185" s="378"/>
      <c r="AF1185" s="378"/>
      <c r="AG1185" s="378"/>
      <c r="AH1185" s="378"/>
      <c r="AI1185" s="378"/>
      <c r="AJ1185" s="378"/>
      <c r="AK1185" s="378"/>
      <c r="AL1185" s="378"/>
      <c r="AM1185" s="378"/>
      <c r="AN1185" s="378"/>
      <c r="AO1185" s="378"/>
      <c r="AP1185" s="378"/>
      <c r="AQ1185" s="378"/>
      <c r="AR1185" s="378"/>
      <c r="AS1185" s="378"/>
      <c r="AT1185" s="378"/>
      <c r="AU1185" s="378"/>
    </row>
    <row r="1186" spans="1:47" ht="21" x14ac:dyDescent="0.35">
      <c r="A1186" s="749">
        <v>19</v>
      </c>
      <c r="B1186" s="2048" t="s">
        <v>179</v>
      </c>
      <c r="C1186" s="2048"/>
      <c r="D1186" s="2048"/>
      <c r="E1186" s="3"/>
      <c r="F1186" s="2060" t="s">
        <v>766</v>
      </c>
      <c r="G1186" s="2060"/>
      <c r="H1186" s="2060"/>
      <c r="I1186" s="2060"/>
      <c r="J1186" s="1201"/>
      <c r="K1186" s="1201"/>
      <c r="L1186" s="1201"/>
      <c r="M1186" s="1201"/>
      <c r="N1186" s="1201"/>
      <c r="O1186" s="378"/>
      <c r="P1186" s="378"/>
      <c r="Q1186" s="378"/>
      <c r="R1186" s="378"/>
      <c r="S1186" s="378"/>
      <c r="T1186" s="378"/>
      <c r="U1186" s="378"/>
      <c r="V1186" s="378"/>
      <c r="W1186" s="378"/>
      <c r="X1186" s="378"/>
      <c r="Y1186" s="378"/>
      <c r="Z1186" s="378"/>
      <c r="AA1186" s="378"/>
      <c r="AB1186" s="378"/>
      <c r="AC1186" s="378"/>
      <c r="AD1186" s="378"/>
      <c r="AE1186" s="378"/>
      <c r="AF1186" s="378"/>
      <c r="AG1186" s="378"/>
      <c r="AH1186" s="378"/>
      <c r="AI1186" s="378"/>
      <c r="AJ1186" s="378"/>
      <c r="AK1186" s="378"/>
      <c r="AL1186" s="378"/>
      <c r="AM1186" s="378"/>
      <c r="AN1186" s="378"/>
      <c r="AO1186" s="378"/>
      <c r="AP1186" s="378"/>
      <c r="AQ1186" s="378"/>
      <c r="AR1186" s="378"/>
      <c r="AS1186" s="378"/>
      <c r="AT1186" s="378"/>
      <c r="AU1186" s="378"/>
    </row>
    <row r="1187" spans="1:47" x14ac:dyDescent="0.25">
      <c r="A1187" s="378"/>
      <c r="B1187" s="2070" t="s">
        <v>77</v>
      </c>
      <c r="C1187" s="2070"/>
      <c r="D1187" s="1531">
        <v>1</v>
      </c>
      <c r="E1187" s="3"/>
      <c r="F1187" s="1197" t="e">
        <f>'3 INDICADORES'!G382/'GUIA DE APLICAÇÃO'!I1137</f>
        <v>#DIV/0!</v>
      </c>
      <c r="G1187" s="1203" t="e">
        <f>(((J1188*'GUIA DE APLICAÇÃO'!D1187)+(J1189*'GUIA DE APLICAÇÃO'!D1188)+(J1190*'GUIA DE APLICAÇÃO'!D1189))/100)</f>
        <v>#DIV/0!</v>
      </c>
      <c r="H1187" s="1203" t="e">
        <f>G1187*('3 INDICADORES'!G387)</f>
        <v>#DIV/0!</v>
      </c>
      <c r="I1187" s="1198" t="e">
        <f>IF('3 INDICADORES'!G387="",'GUIA DE APLICAÇÃO'!G1187,'GUIA DE APLICAÇÃO'!H1187)</f>
        <v>#DIV/0!</v>
      </c>
      <c r="J1187" s="1169" t="s">
        <v>243</v>
      </c>
      <c r="K1187" s="1201"/>
      <c r="L1187" s="1201"/>
      <c r="M1187" s="1201"/>
      <c r="N1187" s="1201"/>
      <c r="O1187" s="378"/>
      <c r="P1187" s="378"/>
      <c r="Q1187" s="378"/>
      <c r="R1187" s="378"/>
      <c r="S1187" s="378"/>
      <c r="T1187" s="378"/>
      <c r="U1187" s="378"/>
      <c r="V1187" s="378"/>
      <c r="W1187" s="378"/>
      <c r="X1187" s="378"/>
      <c r="Y1187" s="378"/>
      <c r="Z1187" s="378"/>
      <c r="AA1187" s="378"/>
      <c r="AB1187" s="378"/>
      <c r="AC1187" s="378"/>
      <c r="AD1187" s="378"/>
      <c r="AE1187" s="378"/>
      <c r="AF1187" s="378"/>
      <c r="AG1187" s="378"/>
      <c r="AH1187" s="378"/>
      <c r="AI1187" s="378"/>
      <c r="AJ1187" s="378"/>
      <c r="AK1187" s="378"/>
      <c r="AL1187" s="378"/>
      <c r="AM1187" s="378"/>
      <c r="AN1187" s="378"/>
      <c r="AO1187" s="378"/>
      <c r="AP1187" s="378"/>
      <c r="AQ1187" s="378"/>
      <c r="AR1187" s="378"/>
      <c r="AS1187" s="378"/>
      <c r="AT1187" s="378"/>
      <c r="AU1187" s="378"/>
    </row>
    <row r="1188" spans="1:47" x14ac:dyDescent="0.25">
      <c r="A1188" s="378"/>
      <c r="B1188" s="2070" t="s">
        <v>990</v>
      </c>
      <c r="C1188" s="2070"/>
      <c r="D1188" s="1531">
        <v>0.7</v>
      </c>
      <c r="E1188" s="3"/>
      <c r="F1188" s="1202">
        <f>IF('2 GEOPROCESSAMENTO'!D49&gt;0,'GUIA DE APLICAÇÃO'!I1188,0.7)</f>
        <v>0.7</v>
      </c>
      <c r="G1188" s="532"/>
      <c r="H1188" s="137"/>
      <c r="I1188" s="1202" t="e">
        <f>IF('GUIA DE APLICAÇÃO'!I1187&gt;1,1,'GUIA DE APLICAÇÃO'!I1187)</f>
        <v>#DIV/0!</v>
      </c>
      <c r="J1188" s="1202" t="e">
        <f>+'3 INDICADORES'!G382/'3 INDICADORES'!$G$385*100</f>
        <v>#DIV/0!</v>
      </c>
      <c r="K1188" s="1201"/>
      <c r="L1188" s="1201"/>
      <c r="M1188" s="1201"/>
      <c r="N1188" s="1201"/>
      <c r="O1188" s="378"/>
      <c r="P1188" s="378"/>
      <c r="Q1188" s="378"/>
      <c r="R1188" s="378"/>
      <c r="S1188" s="378"/>
      <c r="T1188" s="378"/>
      <c r="U1188" s="378"/>
      <c r="V1188" s="378"/>
      <c r="W1188" s="378"/>
      <c r="X1188" s="378"/>
      <c r="Y1188" s="378"/>
      <c r="Z1188" s="378"/>
      <c r="AA1188" s="378"/>
      <c r="AB1188" s="378"/>
      <c r="AC1188" s="378"/>
      <c r="AD1188" s="378"/>
      <c r="AE1188" s="378"/>
      <c r="AF1188" s="378"/>
      <c r="AG1188" s="378"/>
      <c r="AH1188" s="378"/>
      <c r="AI1188" s="378"/>
      <c r="AJ1188" s="378"/>
      <c r="AK1188" s="378"/>
      <c r="AL1188" s="378"/>
      <c r="AM1188" s="378"/>
      <c r="AN1188" s="378"/>
      <c r="AO1188" s="378"/>
      <c r="AP1188" s="378"/>
      <c r="AQ1188" s="378"/>
      <c r="AR1188" s="378"/>
      <c r="AS1188" s="378"/>
      <c r="AT1188" s="378"/>
      <c r="AU1188" s="378"/>
    </row>
    <row r="1189" spans="1:47" ht="15" customHeight="1" x14ac:dyDescent="0.25">
      <c r="A1189" s="378"/>
      <c r="B1189" s="2070" t="s">
        <v>991</v>
      </c>
      <c r="C1189" s="2070"/>
      <c r="D1189" s="1531">
        <v>0.1</v>
      </c>
      <c r="E1189" s="3"/>
      <c r="F1189" s="532"/>
      <c r="G1189" s="378"/>
      <c r="H1189" s="378"/>
      <c r="I1189" s="198"/>
      <c r="J1189" s="1202" t="e">
        <f>+'3 INDICADORES'!G383/'3 INDICADORES'!$G$385*100</f>
        <v>#DIV/0!</v>
      </c>
      <c r="K1189" s="378"/>
      <c r="L1189" s="378"/>
      <c r="M1189" s="532"/>
      <c r="N1189" s="1200"/>
      <c r="O1189" s="378"/>
      <c r="P1189" s="378"/>
      <c r="Q1189" s="378"/>
      <c r="R1189" s="378"/>
      <c r="S1189" s="378"/>
      <c r="T1189" s="378"/>
      <c r="U1189" s="378"/>
      <c r="V1189" s="378"/>
      <c r="W1189" s="378"/>
      <c r="X1189" s="378"/>
      <c r="Y1189" s="378"/>
      <c r="Z1189" s="378"/>
      <c r="AA1189" s="378"/>
      <c r="AB1189" s="378"/>
      <c r="AC1189" s="378"/>
      <c r="AD1189" s="378"/>
      <c r="AE1189" s="378"/>
      <c r="AF1189" s="378"/>
      <c r="AG1189" s="378"/>
      <c r="AH1189" s="378"/>
      <c r="AI1189" s="378"/>
      <c r="AJ1189" s="378"/>
      <c r="AK1189" s="378"/>
      <c r="AL1189" s="378"/>
      <c r="AM1189" s="378"/>
      <c r="AN1189" s="378"/>
      <c r="AO1189" s="378"/>
      <c r="AP1189" s="378"/>
      <c r="AQ1189" s="378"/>
      <c r="AR1189" s="378"/>
      <c r="AS1189" s="378"/>
      <c r="AT1189" s="378"/>
      <c r="AU1189" s="378"/>
    </row>
    <row r="1190" spans="1:47" x14ac:dyDescent="0.25">
      <c r="A1190" s="378"/>
      <c r="B1190" s="3"/>
      <c r="C1190" s="3"/>
      <c r="D1190" s="3"/>
      <c r="E1190" s="3"/>
      <c r="F1190" s="378"/>
      <c r="G1190" s="378"/>
      <c r="H1190" s="137"/>
      <c r="I1190" s="198"/>
      <c r="J1190" s="1202" t="e">
        <f>+'3 INDICADORES'!G384/'3 INDICADORES'!$G$385*100</f>
        <v>#DIV/0!</v>
      </c>
      <c r="K1190" s="1200"/>
      <c r="L1190" s="1200"/>
      <c r="M1190" s="1200"/>
      <c r="N1190" s="1200"/>
      <c r="O1190" s="378"/>
      <c r="P1190" s="378"/>
      <c r="Q1190" s="378"/>
      <c r="R1190" s="378"/>
      <c r="S1190" s="378"/>
      <c r="T1190" s="378"/>
      <c r="U1190" s="378"/>
      <c r="V1190" s="378"/>
      <c r="W1190" s="378"/>
      <c r="X1190" s="378"/>
      <c r="Y1190" s="378"/>
      <c r="Z1190" s="378"/>
      <c r="AA1190" s="378"/>
      <c r="AB1190" s="378"/>
      <c r="AC1190" s="378"/>
      <c r="AD1190" s="378"/>
      <c r="AE1190" s="378"/>
      <c r="AF1190" s="378"/>
      <c r="AG1190" s="378"/>
      <c r="AH1190" s="378"/>
      <c r="AI1190" s="378"/>
      <c r="AJ1190" s="378"/>
      <c r="AK1190" s="378"/>
      <c r="AL1190" s="378"/>
      <c r="AM1190" s="378"/>
      <c r="AN1190" s="378"/>
      <c r="AO1190" s="378"/>
      <c r="AP1190" s="378"/>
      <c r="AQ1190" s="378"/>
      <c r="AR1190" s="378"/>
      <c r="AS1190" s="378"/>
      <c r="AT1190" s="378"/>
      <c r="AU1190" s="378"/>
    </row>
    <row r="1191" spans="1:47" ht="15" customHeight="1" x14ac:dyDescent="0.25">
      <c r="A1191" s="378"/>
      <c r="B1191" s="2051" t="s">
        <v>992</v>
      </c>
      <c r="C1191" s="2051"/>
      <c r="D1191" s="2051"/>
      <c r="E1191" s="3"/>
      <c r="F1191" s="2040" t="s">
        <v>993</v>
      </c>
      <c r="G1191" s="2041"/>
      <c r="H1191" s="2041"/>
      <c r="I1191" s="2042"/>
      <c r="J1191" s="3"/>
      <c r="K1191" s="3"/>
      <c r="L1191" s="3"/>
      <c r="M1191" s="3"/>
      <c r="N1191" s="3"/>
      <c r="O1191" s="378"/>
      <c r="P1191" s="378"/>
      <c r="Q1191" s="378"/>
      <c r="R1191" s="378"/>
      <c r="S1191" s="378"/>
      <c r="T1191" s="378"/>
      <c r="U1191" s="378"/>
      <c r="V1191" s="378"/>
      <c r="W1191" s="378"/>
      <c r="X1191" s="378"/>
      <c r="Y1191" s="378"/>
      <c r="Z1191" s="378"/>
      <c r="AA1191" s="378"/>
      <c r="AB1191" s="378"/>
      <c r="AC1191" s="378"/>
      <c r="AD1191" s="378"/>
      <c r="AE1191" s="378"/>
      <c r="AF1191" s="378"/>
      <c r="AG1191" s="378"/>
      <c r="AH1191" s="378"/>
      <c r="AI1191" s="378"/>
      <c r="AJ1191" s="378"/>
      <c r="AK1191" s="378"/>
      <c r="AL1191" s="378"/>
      <c r="AM1191" s="378"/>
      <c r="AN1191" s="378"/>
      <c r="AO1191" s="378"/>
      <c r="AP1191" s="378"/>
      <c r="AQ1191" s="378"/>
      <c r="AR1191" s="378"/>
      <c r="AS1191" s="378"/>
      <c r="AT1191" s="378"/>
      <c r="AU1191" s="378"/>
    </row>
    <row r="1192" spans="1:47" x14ac:dyDescent="0.25">
      <c r="A1192" s="378"/>
      <c r="B1192" s="2051"/>
      <c r="C1192" s="2051"/>
      <c r="D1192" s="2051"/>
      <c r="E1192" s="3"/>
      <c r="F1192" s="2043"/>
      <c r="G1192" s="1922"/>
      <c r="H1192" s="1922"/>
      <c r="I1192" s="2044"/>
      <c r="J1192" s="3"/>
      <c r="K1192" s="3"/>
      <c r="L1192" s="3"/>
      <c r="M1192" s="3"/>
      <c r="N1192" s="3"/>
      <c r="O1192" s="378"/>
      <c r="P1192" s="378"/>
      <c r="Q1192" s="378"/>
      <c r="R1192" s="378"/>
      <c r="S1192" s="378"/>
      <c r="T1192" s="378"/>
      <c r="U1192" s="378"/>
      <c r="V1192" s="378"/>
      <c r="W1192" s="378"/>
      <c r="X1192" s="378"/>
      <c r="Y1192" s="378"/>
      <c r="Z1192" s="378"/>
      <c r="AA1192" s="378"/>
      <c r="AB1192" s="378"/>
      <c r="AC1192" s="378"/>
      <c r="AD1192" s="378"/>
      <c r="AE1192" s="378"/>
      <c r="AF1192" s="378"/>
      <c r="AG1192" s="378"/>
      <c r="AH1192" s="378"/>
      <c r="AI1192" s="378"/>
      <c r="AJ1192" s="378"/>
      <c r="AK1192" s="378"/>
      <c r="AL1192" s="378"/>
      <c r="AM1192" s="378"/>
      <c r="AN1192" s="378"/>
      <c r="AO1192" s="378"/>
      <c r="AP1192" s="378"/>
      <c r="AQ1192" s="378"/>
      <c r="AR1192" s="378"/>
      <c r="AS1192" s="378"/>
      <c r="AT1192" s="378"/>
      <c r="AU1192" s="378"/>
    </row>
    <row r="1193" spans="1:47" s="532" customFormat="1" x14ac:dyDescent="0.25">
      <c r="A1193" s="378"/>
      <c r="B1193" s="3"/>
      <c r="C1193" s="3"/>
      <c r="D1193" s="3"/>
      <c r="E1193" s="3"/>
      <c r="F1193" s="690"/>
      <c r="G1193" s="690"/>
      <c r="H1193" s="690"/>
      <c r="I1193" s="690"/>
      <c r="J1193" s="3"/>
      <c r="K1193" s="3"/>
      <c r="L1193" s="3"/>
      <c r="M1193" s="3"/>
      <c r="N1193" s="3"/>
      <c r="O1193" s="378"/>
      <c r="P1193" s="378"/>
      <c r="Q1193" s="378"/>
      <c r="R1193" s="378"/>
      <c r="S1193" s="378"/>
      <c r="T1193" s="378"/>
      <c r="U1193" s="378"/>
      <c r="V1193" s="378"/>
      <c r="W1193" s="378"/>
      <c r="X1193" s="378"/>
      <c r="Y1193" s="378"/>
      <c r="Z1193" s="378"/>
      <c r="AA1193" s="378"/>
      <c r="AB1193" s="378"/>
      <c r="AC1193" s="378"/>
      <c r="AD1193" s="378"/>
      <c r="AE1193" s="378"/>
      <c r="AF1193" s="378"/>
      <c r="AG1193" s="378"/>
      <c r="AH1193" s="378"/>
      <c r="AI1193" s="378"/>
      <c r="AJ1193" s="378"/>
      <c r="AK1193" s="378"/>
      <c r="AL1193" s="378"/>
      <c r="AM1193" s="378"/>
      <c r="AN1193" s="378"/>
      <c r="AO1193" s="378"/>
      <c r="AP1193" s="378"/>
      <c r="AQ1193" s="378"/>
      <c r="AR1193" s="378"/>
      <c r="AS1193" s="378"/>
      <c r="AT1193" s="378"/>
      <c r="AU1193" s="378"/>
    </row>
    <row r="1194" spans="1:47" s="532" customFormat="1" x14ac:dyDescent="0.25">
      <c r="A1194" s="378"/>
      <c r="B1194" s="2050" t="s">
        <v>994</v>
      </c>
      <c r="C1194" s="2050"/>
      <c r="D1194" s="2050"/>
      <c r="E1194" s="2050"/>
      <c r="F1194" s="2050"/>
      <c r="G1194" s="1199" t="e">
        <f>('3 INDICADORES'!G382+'3 INDICADORES'!G383+'3 INDICADORES'!G384)/'GUIA DE APLICAÇÃO'!I1137</f>
        <v>#DIV/0!</v>
      </c>
      <c r="H1194" s="198"/>
      <c r="I1194" s="690"/>
      <c r="J1194" s="3"/>
      <c r="K1194" s="3"/>
      <c r="L1194" s="3"/>
      <c r="M1194" s="3"/>
      <c r="N1194" s="3"/>
      <c r="O1194" s="378"/>
      <c r="P1194" s="378"/>
      <c r="Q1194" s="378"/>
      <c r="R1194" s="378"/>
      <c r="S1194" s="378"/>
      <c r="T1194" s="378"/>
      <c r="U1194" s="378"/>
      <c r="V1194" s="378"/>
      <c r="W1194" s="378"/>
      <c r="X1194" s="378"/>
      <c r="Y1194" s="378"/>
      <c r="Z1194" s="378"/>
      <c r="AA1194" s="378"/>
      <c r="AB1194" s="378"/>
      <c r="AC1194" s="378"/>
      <c r="AD1194" s="378"/>
      <c r="AE1194" s="378"/>
      <c r="AF1194" s="378"/>
      <c r="AG1194" s="378"/>
      <c r="AH1194" s="378"/>
      <c r="AI1194" s="378"/>
      <c r="AJ1194" s="378"/>
      <c r="AK1194" s="378"/>
      <c r="AL1194" s="378"/>
      <c r="AM1194" s="378"/>
      <c r="AN1194" s="378"/>
      <c r="AO1194" s="378"/>
      <c r="AP1194" s="378"/>
      <c r="AQ1194" s="378"/>
      <c r="AR1194" s="378"/>
      <c r="AS1194" s="378"/>
      <c r="AT1194" s="378"/>
      <c r="AU1194" s="378"/>
    </row>
    <row r="1195" spans="1:47" s="532" customFormat="1" x14ac:dyDescent="0.25">
      <c r="A1195" s="378"/>
      <c r="B1195" s="378"/>
      <c r="C1195" s="378"/>
      <c r="D1195" s="378"/>
      <c r="E1195" s="378"/>
      <c r="F1195" s="690"/>
      <c r="G1195" s="690"/>
      <c r="H1195" s="690"/>
      <c r="I1195" s="690"/>
      <c r="J1195" s="378"/>
      <c r="K1195" s="378"/>
      <c r="L1195" s="378"/>
      <c r="M1195" s="378"/>
      <c r="N1195" s="378"/>
      <c r="O1195" s="378"/>
      <c r="P1195" s="378"/>
      <c r="Q1195" s="378"/>
      <c r="R1195" s="378"/>
      <c r="S1195" s="378"/>
      <c r="T1195" s="378"/>
      <c r="U1195" s="378"/>
      <c r="V1195" s="378"/>
      <c r="W1195" s="378"/>
      <c r="X1195" s="378"/>
      <c r="Y1195" s="378"/>
      <c r="Z1195" s="378"/>
      <c r="AA1195" s="378"/>
      <c r="AB1195" s="378"/>
      <c r="AC1195" s="378"/>
      <c r="AD1195" s="378"/>
      <c r="AE1195" s="378"/>
      <c r="AF1195" s="378"/>
      <c r="AG1195" s="378"/>
      <c r="AH1195" s="378"/>
      <c r="AI1195" s="378"/>
      <c r="AJ1195" s="378"/>
      <c r="AK1195" s="378"/>
      <c r="AL1195" s="378"/>
      <c r="AM1195" s="378"/>
      <c r="AN1195" s="378"/>
      <c r="AO1195" s="378"/>
      <c r="AP1195" s="378"/>
      <c r="AQ1195" s="378"/>
      <c r="AR1195" s="378"/>
      <c r="AS1195" s="378"/>
      <c r="AT1195" s="378"/>
      <c r="AU1195" s="378"/>
    </row>
    <row r="1196" spans="1:47" s="532" customFormat="1" x14ac:dyDescent="0.25">
      <c r="A1196" s="378"/>
      <c r="B1196" s="378"/>
      <c r="C1196" s="378"/>
      <c r="D1196" s="378"/>
      <c r="E1196" s="378"/>
      <c r="F1196" s="690"/>
      <c r="G1196" s="690"/>
      <c r="H1196" s="690"/>
      <c r="I1196" s="690"/>
      <c r="J1196" s="378"/>
      <c r="K1196" s="378"/>
      <c r="L1196" s="378"/>
      <c r="M1196" s="378"/>
      <c r="N1196" s="378"/>
      <c r="O1196" s="378"/>
      <c r="P1196" s="378"/>
      <c r="Q1196" s="378"/>
      <c r="R1196" s="378"/>
      <c r="S1196" s="378"/>
      <c r="T1196" s="378"/>
      <c r="U1196" s="378"/>
      <c r="V1196" s="378"/>
      <c r="W1196" s="378"/>
      <c r="X1196" s="378"/>
      <c r="Y1196" s="378"/>
      <c r="Z1196" s="378"/>
      <c r="AA1196" s="378"/>
      <c r="AB1196" s="378"/>
      <c r="AC1196" s="378"/>
      <c r="AD1196" s="378"/>
      <c r="AE1196" s="378"/>
      <c r="AF1196" s="378"/>
      <c r="AG1196" s="378"/>
      <c r="AH1196" s="378"/>
      <c r="AI1196" s="378"/>
      <c r="AJ1196" s="378"/>
      <c r="AK1196" s="378"/>
      <c r="AL1196" s="378"/>
      <c r="AM1196" s="378"/>
      <c r="AN1196" s="378"/>
      <c r="AO1196" s="378"/>
      <c r="AP1196" s="378"/>
      <c r="AQ1196" s="378"/>
      <c r="AR1196" s="378"/>
      <c r="AS1196" s="378"/>
      <c r="AT1196" s="378"/>
      <c r="AU1196" s="378"/>
    </row>
    <row r="1197" spans="1:47" ht="21" customHeight="1" x14ac:dyDescent="0.35">
      <c r="A1197" s="749">
        <v>20</v>
      </c>
      <c r="B1197" s="2048" t="s">
        <v>179</v>
      </c>
      <c r="C1197" s="2048"/>
      <c r="D1197" s="2048"/>
      <c r="E1197" s="378"/>
      <c r="F1197" s="2052" t="s">
        <v>766</v>
      </c>
      <c r="G1197" s="2052"/>
      <c r="H1197" s="2052"/>
      <c r="I1197" s="2052"/>
      <c r="J1197" s="378"/>
      <c r="K1197" s="550"/>
      <c r="L1197" s="550"/>
      <c r="M1197" s="550"/>
      <c r="N1197" s="550"/>
      <c r="O1197" s="378"/>
      <c r="P1197" s="378"/>
      <c r="Q1197" s="378"/>
      <c r="R1197" s="378"/>
      <c r="S1197" s="378"/>
      <c r="T1197" s="378"/>
      <c r="U1197" s="378"/>
      <c r="V1197" s="378"/>
      <c r="W1197" s="378"/>
      <c r="X1197" s="378"/>
      <c r="Y1197" s="378"/>
      <c r="Z1197" s="378"/>
      <c r="AA1197" s="378"/>
      <c r="AB1197" s="378"/>
      <c r="AC1197" s="378"/>
      <c r="AD1197" s="378"/>
      <c r="AE1197" s="378"/>
      <c r="AF1197" s="378"/>
      <c r="AG1197" s="378"/>
      <c r="AH1197" s="378"/>
      <c r="AI1197" s="378"/>
      <c r="AJ1197" s="378"/>
      <c r="AK1197" s="378"/>
      <c r="AL1197" s="378"/>
      <c r="AM1197" s="378"/>
      <c r="AN1197" s="378"/>
      <c r="AO1197" s="378"/>
      <c r="AP1197" s="378"/>
      <c r="AQ1197" s="378"/>
      <c r="AR1197" s="378"/>
      <c r="AS1197" s="378"/>
      <c r="AT1197" s="378"/>
      <c r="AU1197" s="378"/>
    </row>
    <row r="1198" spans="1:47" x14ac:dyDescent="0.25">
      <c r="A1198" s="378"/>
      <c r="B1198" s="2047" t="s">
        <v>569</v>
      </c>
      <c r="C1198" s="2047"/>
      <c r="D1198" s="1160">
        <v>1</v>
      </c>
      <c r="E1198" s="378"/>
      <c r="F1198" s="1550" t="s">
        <v>995</v>
      </c>
      <c r="G1198" s="1162">
        <f>IF('3 INDICADORES'!F395&gt;0,1,0)</f>
        <v>1</v>
      </c>
      <c r="H1198" s="1162">
        <f>IF('3 INDICADORES'!F396&gt;0,+'3 INDICADORES'!F396/'3 INDICADORES'!D392*100,0)</f>
        <v>0</v>
      </c>
      <c r="I1198" s="1162">
        <f>IF('3 INDICADORES'!F397&gt;0,+'3 INDICADORES'!F397/'3 INDICADORES'!D392*100,0)</f>
        <v>0</v>
      </c>
      <c r="J1198" s="378"/>
      <c r="K1198" s="550"/>
      <c r="L1198" s="550"/>
      <c r="M1198" s="550"/>
      <c r="N1198" s="550"/>
      <c r="O1198" s="378"/>
      <c r="P1198" s="378"/>
      <c r="Q1198" s="378"/>
      <c r="R1198" s="378"/>
      <c r="S1198" s="378"/>
      <c r="T1198" s="378"/>
      <c r="U1198" s="378"/>
      <c r="V1198" s="378"/>
      <c r="W1198" s="378"/>
      <c r="X1198" s="378"/>
      <c r="Y1198" s="378"/>
      <c r="Z1198" s="378"/>
      <c r="AA1198" s="378"/>
      <c r="AB1198" s="378"/>
      <c r="AC1198" s="378"/>
      <c r="AD1198" s="378"/>
      <c r="AE1198" s="378"/>
      <c r="AF1198" s="378"/>
      <c r="AG1198" s="378"/>
      <c r="AH1198" s="378"/>
      <c r="AI1198" s="378"/>
      <c r="AJ1198" s="378"/>
      <c r="AK1198" s="378"/>
      <c r="AL1198" s="378"/>
      <c r="AM1198" s="378"/>
      <c r="AN1198" s="378"/>
      <c r="AO1198" s="378"/>
      <c r="AP1198" s="378"/>
      <c r="AQ1198" s="378"/>
      <c r="AR1198" s="378"/>
      <c r="AS1198" s="378"/>
      <c r="AT1198" s="378"/>
      <c r="AU1198" s="378"/>
    </row>
    <row r="1199" spans="1:47" x14ac:dyDescent="0.25">
      <c r="A1199" s="378"/>
      <c r="B1199" s="2047" t="s">
        <v>996</v>
      </c>
      <c r="C1199" s="2047"/>
      <c r="D1199" s="1160">
        <v>0.7</v>
      </c>
      <c r="E1199" s="378"/>
      <c r="F1199" s="1550"/>
      <c r="G1199" s="1162">
        <f>IF('3 INDICADORES'!F398&gt;0,+'3 INDICADORES'!F398/'3 INDICADORES'!D392*100,0)</f>
        <v>0</v>
      </c>
      <c r="H1199" s="1079">
        <f>SUM(F1201:F1202)</f>
        <v>0.3</v>
      </c>
      <c r="I1199" s="1205"/>
      <c r="J1199" s="378"/>
      <c r="K1199" s="550"/>
      <c r="L1199" s="550"/>
      <c r="M1199" s="550"/>
      <c r="N1199" s="550"/>
      <c r="O1199" s="378"/>
      <c r="P1199" s="378"/>
      <c r="Q1199" s="378"/>
      <c r="R1199" s="378"/>
      <c r="S1199" s="378"/>
      <c r="T1199" s="378"/>
      <c r="U1199" s="378"/>
      <c r="V1199" s="378"/>
      <c r="W1199" s="378"/>
      <c r="X1199" s="378"/>
      <c r="Y1199" s="378"/>
      <c r="Z1199" s="378"/>
      <c r="AA1199" s="378"/>
      <c r="AB1199" s="378"/>
      <c r="AC1199" s="378"/>
      <c r="AD1199" s="378"/>
      <c r="AE1199" s="378"/>
      <c r="AF1199" s="378"/>
      <c r="AG1199" s="378"/>
      <c r="AH1199" s="378"/>
      <c r="AI1199" s="378"/>
      <c r="AJ1199" s="378"/>
      <c r="AK1199" s="378"/>
      <c r="AL1199" s="378"/>
      <c r="AM1199" s="378"/>
      <c r="AN1199" s="378"/>
      <c r="AO1199" s="378"/>
      <c r="AP1199" s="378"/>
      <c r="AQ1199" s="378"/>
      <c r="AR1199" s="378"/>
      <c r="AS1199" s="378"/>
      <c r="AT1199" s="378"/>
      <c r="AU1199" s="378"/>
    </row>
    <row r="1200" spans="1:47" x14ac:dyDescent="0.25">
      <c r="A1200" s="378"/>
      <c r="B1200" s="2047" t="s">
        <v>571</v>
      </c>
      <c r="C1200" s="2047"/>
      <c r="D1200" s="1160">
        <v>0.7</v>
      </c>
      <c r="E1200" s="378"/>
      <c r="F1200" s="1206">
        <f>IF(AND('3 INDICADORES'!D394=0,G1201=0),0.7,G1201)</f>
        <v>0.3</v>
      </c>
      <c r="G1200" s="1206">
        <f>IF('3 INDICADORES'!F396&gt;0,I1201,F1200)</f>
        <v>0.3</v>
      </c>
      <c r="H1200" s="1207">
        <f>'GUIA DE APLICAÇÃO'!G567</f>
        <v>0</v>
      </c>
      <c r="I1200" s="1208" t="e">
        <f>IF('GUIA DE APLICAÇÃO'!G574&gt;20%,0,'GUIA DE APLICAÇÃO'!G567)</f>
        <v>#DIV/0!</v>
      </c>
      <c r="J1200" s="378"/>
      <c r="K1200" s="3"/>
      <c r="L1200" s="550"/>
      <c r="M1200" s="550"/>
      <c r="N1200" s="550"/>
      <c r="O1200" s="378"/>
      <c r="P1200" s="378"/>
      <c r="Q1200" s="378"/>
      <c r="R1200" s="378"/>
      <c r="S1200" s="378"/>
      <c r="T1200" s="378"/>
      <c r="U1200" s="378"/>
      <c r="V1200" s="378"/>
      <c r="W1200" s="378"/>
      <c r="X1200" s="378"/>
      <c r="Y1200" s="378"/>
      <c r="Z1200" s="378"/>
      <c r="AA1200" s="378"/>
      <c r="AB1200" s="378"/>
      <c r="AC1200" s="378"/>
      <c r="AD1200" s="378"/>
      <c r="AE1200" s="378"/>
      <c r="AF1200" s="378"/>
      <c r="AG1200" s="378"/>
      <c r="AH1200" s="378"/>
      <c r="AI1200" s="378"/>
      <c r="AJ1200" s="378"/>
      <c r="AK1200" s="378"/>
      <c r="AL1200" s="378"/>
      <c r="AM1200" s="378"/>
      <c r="AN1200" s="378"/>
      <c r="AO1200" s="378"/>
      <c r="AP1200" s="378"/>
      <c r="AQ1200" s="378"/>
      <c r="AR1200" s="378"/>
      <c r="AS1200" s="378"/>
      <c r="AT1200" s="378"/>
      <c r="AU1200" s="378"/>
    </row>
    <row r="1201" spans="1:47" ht="17.25" customHeight="1" x14ac:dyDescent="0.25">
      <c r="A1201" s="378"/>
      <c r="B1201" s="2047" t="s">
        <v>566</v>
      </c>
      <c r="C1201" s="2047"/>
      <c r="D1201" s="1160">
        <v>0.1</v>
      </c>
      <c r="E1201" s="378"/>
      <c r="F1201" s="1210">
        <f>IF(G1200&gt;1,1,G1200)</f>
        <v>0.3</v>
      </c>
      <c r="G1201" s="1211">
        <f>IF('3 INDICADORES'!F398="",((((H1198*'GUIA DE APLICAÇÃO'!D1199)+(I1198*'GUIA DE APLICAÇÃO'!D1200)+(G1199*'GUIA DE APLICAÇÃO'!D1201))/100)+G1198*0.3),(((H1198*'GUIA DE APLICAÇÃO'!D1199)+(I1198*'GUIA DE APLICAÇÃO'!D1200)+(G1199*'GUIA DE APLICAÇÃO'!D1201))/100))</f>
        <v>0.3</v>
      </c>
      <c r="H1201" s="1209"/>
      <c r="I1201" s="1176">
        <f>IF(AND('3 INDICADORES'!F397="",'3 INDICADORES'!F398=""),0.7,'GUIA DE APLICAÇÃO'!F1200)</f>
        <v>0.7</v>
      </c>
      <c r="J1201" s="378"/>
      <c r="K1201" s="550"/>
      <c r="L1201" s="550"/>
      <c r="M1201" s="550"/>
      <c r="N1201" s="550"/>
      <c r="O1201" s="378"/>
      <c r="P1201" s="378"/>
      <c r="Q1201" s="378"/>
      <c r="R1201" s="378"/>
      <c r="S1201" s="378"/>
      <c r="T1201" s="378"/>
      <c r="U1201" s="378"/>
      <c r="V1201" s="378"/>
      <c r="W1201" s="378"/>
      <c r="X1201" s="378"/>
      <c r="Y1201" s="378"/>
      <c r="Z1201" s="378"/>
      <c r="AA1201" s="378"/>
      <c r="AB1201" s="378"/>
      <c r="AC1201" s="378"/>
      <c r="AD1201" s="378"/>
      <c r="AE1201" s="378"/>
      <c r="AF1201" s="378"/>
      <c r="AG1201" s="378"/>
      <c r="AH1201" s="378"/>
      <c r="AI1201" s="378"/>
      <c r="AJ1201" s="378"/>
      <c r="AK1201" s="378"/>
      <c r="AL1201" s="378"/>
      <c r="AM1201" s="378"/>
      <c r="AN1201" s="378"/>
      <c r="AO1201" s="378"/>
      <c r="AP1201" s="378"/>
      <c r="AQ1201" s="378"/>
      <c r="AR1201" s="378"/>
      <c r="AS1201" s="378"/>
      <c r="AT1201" s="378"/>
      <c r="AU1201" s="378"/>
    </row>
    <row r="1202" spans="1:47" ht="18.75" customHeight="1" x14ac:dyDescent="0.25">
      <c r="A1202" s="378"/>
      <c r="B1202" s="2045"/>
      <c r="C1202" s="2045"/>
      <c r="D1202" s="2045"/>
      <c r="E1202" s="378"/>
      <c r="F1202" s="378"/>
      <c r="G1202" s="1204"/>
      <c r="H1202" s="1204"/>
      <c r="I1202" s="1204"/>
      <c r="J1202" s="378"/>
      <c r="K1202" s="550"/>
      <c r="L1202" s="550"/>
      <c r="M1202" s="550"/>
      <c r="N1202" s="550"/>
      <c r="O1202" s="378"/>
      <c r="P1202" s="378"/>
      <c r="Q1202" s="378"/>
      <c r="R1202" s="378"/>
      <c r="S1202" s="378"/>
      <c r="T1202" s="378"/>
      <c r="U1202" s="378"/>
      <c r="V1202" s="378"/>
      <c r="W1202" s="378"/>
      <c r="X1202" s="378"/>
      <c r="Y1202" s="378"/>
      <c r="Z1202" s="378"/>
      <c r="AA1202" s="378"/>
      <c r="AB1202" s="378"/>
      <c r="AC1202" s="378"/>
      <c r="AD1202" s="378"/>
      <c r="AE1202" s="378"/>
      <c r="AF1202" s="378"/>
      <c r="AG1202" s="378"/>
      <c r="AH1202" s="378"/>
      <c r="AI1202" s="378"/>
      <c r="AJ1202" s="378"/>
      <c r="AK1202" s="378"/>
      <c r="AL1202" s="378"/>
      <c r="AM1202" s="378"/>
      <c r="AN1202" s="378"/>
      <c r="AO1202" s="378"/>
      <c r="AP1202" s="378"/>
      <c r="AQ1202" s="378"/>
      <c r="AR1202" s="378"/>
      <c r="AS1202" s="378"/>
      <c r="AT1202" s="378"/>
      <c r="AU1202" s="378"/>
    </row>
    <row r="1203" spans="1:47" s="532" customFormat="1" ht="18.75" customHeight="1" x14ac:dyDescent="0.25">
      <c r="A1203" s="378"/>
      <c r="B1203" s="2049" t="s">
        <v>997</v>
      </c>
      <c r="C1203" s="2049"/>
      <c r="D1203" s="2049"/>
      <c r="E1203" s="2049"/>
      <c r="F1203" s="1212">
        <f>+'GUIA DE APLICAÇÃO'!M567</f>
        <v>0</v>
      </c>
      <c r="G1203" s="702"/>
      <c r="H1203" s="603"/>
      <c r="I1203" s="694"/>
      <c r="J1203" s="3"/>
      <c r="K1203" s="378"/>
      <c r="L1203" s="378"/>
      <c r="M1203" s="378"/>
      <c r="N1203" s="378"/>
      <c r="O1203" s="378"/>
      <c r="P1203" s="378"/>
      <c r="Q1203" s="378"/>
      <c r="R1203" s="378"/>
      <c r="S1203" s="378"/>
      <c r="T1203" s="378"/>
      <c r="U1203" s="378"/>
      <c r="V1203" s="378"/>
      <c r="W1203" s="378"/>
      <c r="X1203" s="378"/>
      <c r="Y1203" s="378"/>
      <c r="Z1203" s="378"/>
      <c r="AA1203" s="378"/>
      <c r="AB1203" s="378"/>
      <c r="AC1203" s="378"/>
      <c r="AD1203" s="378"/>
      <c r="AE1203" s="378"/>
      <c r="AF1203" s="378"/>
      <c r="AG1203" s="378"/>
      <c r="AH1203" s="378"/>
      <c r="AI1203" s="378"/>
      <c r="AJ1203" s="378"/>
      <c r="AK1203" s="378"/>
      <c r="AL1203" s="378"/>
      <c r="AM1203" s="378"/>
      <c r="AN1203" s="378"/>
      <c r="AO1203" s="378"/>
      <c r="AP1203" s="378"/>
      <c r="AQ1203" s="378"/>
      <c r="AR1203" s="378"/>
      <c r="AS1203" s="378"/>
      <c r="AT1203" s="378"/>
      <c r="AU1203" s="378"/>
    </row>
    <row r="1204" spans="1:47" s="532" customFormat="1" ht="25.5" x14ac:dyDescent="0.25">
      <c r="A1204" s="378"/>
      <c r="B1204" s="2046" t="s">
        <v>998</v>
      </c>
      <c r="C1204" s="2046"/>
      <c r="D1204" s="2046"/>
      <c r="E1204" s="2046"/>
      <c r="F1204" s="1212">
        <f>+'2 GEOPROCESSAMENTO'!D54</f>
        <v>0</v>
      </c>
      <c r="G1204" s="1090">
        <f>+F1203-F1204</f>
        <v>0</v>
      </c>
      <c r="H1204" s="603"/>
      <c r="I1204" s="694"/>
      <c r="J1204" s="3"/>
      <c r="K1204" s="378"/>
      <c r="L1204" s="378"/>
      <c r="M1204" s="378"/>
      <c r="N1204" s="378"/>
      <c r="O1204" s="378"/>
      <c r="P1204" s="378"/>
      <c r="Q1204" s="378"/>
      <c r="R1204" s="378"/>
      <c r="S1204" s="378"/>
      <c r="T1204" s="378"/>
      <c r="U1204" s="378"/>
      <c r="V1204" s="378"/>
      <c r="W1204" s="378"/>
      <c r="X1204" s="378"/>
      <c r="Y1204" s="378"/>
      <c r="Z1204" s="378"/>
      <c r="AA1204" s="378"/>
      <c r="AB1204" s="378"/>
      <c r="AC1204" s="378"/>
      <c r="AD1204" s="378"/>
      <c r="AE1204" s="378"/>
      <c r="AF1204" s="378"/>
      <c r="AG1204" s="378"/>
      <c r="AH1204" s="378"/>
      <c r="AI1204" s="378"/>
      <c r="AJ1204" s="378"/>
      <c r="AK1204" s="378"/>
      <c r="AL1204" s="378"/>
      <c r="AM1204" s="378"/>
      <c r="AN1204" s="378"/>
      <c r="AO1204" s="378"/>
      <c r="AP1204" s="378"/>
      <c r="AQ1204" s="378"/>
      <c r="AR1204" s="378"/>
      <c r="AS1204" s="378"/>
      <c r="AT1204" s="378"/>
      <c r="AU1204" s="378"/>
    </row>
    <row r="1205" spans="1:47" s="532" customFormat="1" ht="25.5" x14ac:dyDescent="0.25">
      <c r="A1205" s="378"/>
      <c r="B1205" s="2046" t="s">
        <v>999</v>
      </c>
      <c r="C1205" s="2046"/>
      <c r="D1205" s="2046"/>
      <c r="E1205" s="2046"/>
      <c r="F1205" s="1212"/>
      <c r="G1205" s="1090">
        <f>+F1205-G1204</f>
        <v>0</v>
      </c>
      <c r="H1205" s="603"/>
      <c r="I1205" s="694"/>
      <c r="J1205" s="3"/>
      <c r="K1205" s="378"/>
      <c r="L1205" s="378"/>
      <c r="M1205" s="378"/>
      <c r="N1205" s="378"/>
      <c r="O1205" s="378"/>
      <c r="P1205" s="378"/>
      <c r="Q1205" s="378"/>
      <c r="R1205" s="378"/>
      <c r="S1205" s="378"/>
      <c r="T1205" s="378"/>
      <c r="U1205" s="378"/>
      <c r="V1205" s="378"/>
      <c r="W1205" s="378"/>
      <c r="X1205" s="378"/>
      <c r="Y1205" s="378"/>
      <c r="Z1205" s="378"/>
      <c r="AA1205" s="378"/>
      <c r="AB1205" s="378"/>
      <c r="AC1205" s="378"/>
      <c r="AD1205" s="378"/>
      <c r="AE1205" s="378"/>
      <c r="AF1205" s="378"/>
      <c r="AG1205" s="378"/>
      <c r="AH1205" s="378"/>
      <c r="AI1205" s="378"/>
      <c r="AJ1205" s="378"/>
      <c r="AK1205" s="378"/>
      <c r="AL1205" s="378"/>
      <c r="AM1205" s="378"/>
      <c r="AN1205" s="378"/>
      <c r="AO1205" s="378"/>
      <c r="AP1205" s="378"/>
      <c r="AQ1205" s="378"/>
      <c r="AR1205" s="378"/>
      <c r="AS1205" s="378"/>
      <c r="AT1205" s="378"/>
      <c r="AU1205" s="378"/>
    </row>
    <row r="1206" spans="1:47" s="532" customFormat="1" ht="25.5" x14ac:dyDescent="0.25">
      <c r="A1206" s="378"/>
      <c r="B1206" s="2046" t="s">
        <v>1000</v>
      </c>
      <c r="C1206" s="2046"/>
      <c r="D1206" s="2046"/>
      <c r="E1206" s="2046"/>
      <c r="F1206" s="1212">
        <v>0</v>
      </c>
      <c r="G1206" s="702"/>
      <c r="H1206" s="603"/>
      <c r="I1206" s="694"/>
      <c r="J1206" s="3"/>
      <c r="K1206" s="378"/>
      <c r="L1206" s="378"/>
      <c r="M1206" s="378"/>
      <c r="N1206" s="378"/>
      <c r="O1206" s="378"/>
      <c r="P1206" s="378"/>
      <c r="Q1206" s="378"/>
      <c r="R1206" s="378"/>
      <c r="S1206" s="378"/>
      <c r="T1206" s="378"/>
      <c r="U1206" s="378"/>
      <c r="V1206" s="378"/>
      <c r="W1206" s="378"/>
      <c r="X1206" s="378"/>
      <c r="Y1206" s="378"/>
      <c r="Z1206" s="378"/>
      <c r="AA1206" s="378"/>
      <c r="AB1206" s="378"/>
      <c r="AC1206" s="378"/>
      <c r="AD1206" s="378"/>
      <c r="AE1206" s="378"/>
      <c r="AF1206" s="378"/>
      <c r="AG1206" s="378"/>
      <c r="AH1206" s="378"/>
      <c r="AI1206" s="378"/>
      <c r="AJ1206" s="378"/>
      <c r="AK1206" s="378"/>
      <c r="AL1206" s="378"/>
      <c r="AM1206" s="378"/>
      <c r="AN1206" s="378"/>
      <c r="AO1206" s="378"/>
      <c r="AP1206" s="378"/>
      <c r="AQ1206" s="378"/>
      <c r="AR1206" s="378"/>
      <c r="AS1206" s="378"/>
      <c r="AT1206" s="378"/>
      <c r="AU1206" s="378"/>
    </row>
    <row r="1207" spans="1:47" s="532" customFormat="1" ht="25.5" x14ac:dyDescent="0.25">
      <c r="A1207" s="378"/>
      <c r="B1207" s="2046" t="s">
        <v>1001</v>
      </c>
      <c r="C1207" s="2046"/>
      <c r="D1207" s="2046"/>
      <c r="E1207" s="2046"/>
      <c r="F1207" s="1212">
        <f>+G1205</f>
        <v>0</v>
      </c>
      <c r="G1207" s="702"/>
      <c r="H1207" s="603"/>
      <c r="I1207" s="694"/>
      <c r="J1207" s="3"/>
      <c r="K1207" s="378"/>
      <c r="L1207" s="378"/>
      <c r="M1207" s="378"/>
      <c r="N1207" s="378"/>
      <c r="O1207" s="378"/>
      <c r="P1207" s="378"/>
      <c r="Q1207" s="378"/>
      <c r="R1207" s="378"/>
      <c r="S1207" s="378"/>
      <c r="T1207" s="378"/>
      <c r="U1207" s="378"/>
      <c r="V1207" s="378"/>
      <c r="W1207" s="378"/>
      <c r="X1207" s="378"/>
      <c r="Y1207" s="378"/>
      <c r="Z1207" s="378"/>
      <c r="AA1207" s="378"/>
      <c r="AB1207" s="378"/>
      <c r="AC1207" s="378"/>
      <c r="AD1207" s="378"/>
      <c r="AE1207" s="378"/>
      <c r="AF1207" s="378"/>
      <c r="AG1207" s="378"/>
      <c r="AH1207" s="378"/>
      <c r="AI1207" s="378"/>
      <c r="AJ1207" s="378"/>
      <c r="AK1207" s="378"/>
      <c r="AL1207" s="378"/>
      <c r="AM1207" s="378"/>
      <c r="AN1207" s="378"/>
      <c r="AO1207" s="378"/>
      <c r="AP1207" s="378"/>
      <c r="AQ1207" s="378"/>
      <c r="AR1207" s="378"/>
      <c r="AS1207" s="378"/>
      <c r="AT1207" s="378"/>
      <c r="AU1207" s="378"/>
    </row>
    <row r="1208" spans="1:47" s="532" customFormat="1" x14ac:dyDescent="0.25">
      <c r="A1208" s="378"/>
      <c r="B1208" s="1529"/>
      <c r="C1208" s="1529"/>
      <c r="D1208" s="1529"/>
      <c r="E1208" s="3"/>
      <c r="F1208" s="545"/>
      <c r="G1208" s="691"/>
      <c r="H1208" s="529"/>
      <c r="I1208" s="157"/>
      <c r="J1208" s="3"/>
      <c r="K1208" s="378"/>
      <c r="L1208" s="378"/>
      <c r="M1208" s="378"/>
      <c r="N1208" s="378"/>
      <c r="O1208" s="378"/>
      <c r="P1208" s="378"/>
      <c r="Q1208" s="378"/>
      <c r="R1208" s="378"/>
      <c r="S1208" s="378"/>
      <c r="T1208" s="378"/>
      <c r="U1208" s="378"/>
      <c r="V1208" s="378"/>
      <c r="W1208" s="378"/>
      <c r="X1208" s="378"/>
      <c r="Y1208" s="378"/>
      <c r="Z1208" s="378"/>
      <c r="AA1208" s="378"/>
      <c r="AB1208" s="378"/>
      <c r="AC1208" s="378"/>
      <c r="AD1208" s="378"/>
      <c r="AE1208" s="378"/>
      <c r="AF1208" s="378"/>
      <c r="AG1208" s="378"/>
      <c r="AH1208" s="378"/>
      <c r="AI1208" s="378"/>
      <c r="AJ1208" s="378"/>
      <c r="AK1208" s="378"/>
      <c r="AL1208" s="378"/>
      <c r="AM1208" s="378"/>
      <c r="AN1208" s="378"/>
      <c r="AO1208" s="378"/>
      <c r="AP1208" s="378"/>
      <c r="AQ1208" s="378"/>
      <c r="AR1208" s="378"/>
      <c r="AS1208" s="378"/>
      <c r="AT1208" s="378"/>
      <c r="AU1208" s="378"/>
    </row>
    <row r="1209" spans="1:47" ht="21" x14ac:dyDescent="0.35">
      <c r="A1209" s="749">
        <v>21</v>
      </c>
      <c r="B1209" s="2055" t="s">
        <v>179</v>
      </c>
      <c r="C1209" s="2055"/>
      <c r="D1209" s="378"/>
      <c r="E1209" s="1213" t="s">
        <v>1002</v>
      </c>
      <c r="F1209" s="1214" t="s">
        <v>766</v>
      </c>
      <c r="G1209" s="1215"/>
      <c r="H1209" s="1215"/>
      <c r="I1209" s="1215"/>
      <c r="J1209" s="1216"/>
      <c r="K1209" s="1214"/>
      <c r="L1209" s="1217"/>
      <c r="M1209" s="378"/>
      <c r="N1209" s="378"/>
      <c r="O1209" s="378"/>
      <c r="P1209" s="378"/>
      <c r="Q1209" s="378"/>
      <c r="R1209" s="378"/>
      <c r="S1209" s="378"/>
      <c r="T1209" s="378"/>
      <c r="U1209" s="378"/>
      <c r="V1209" s="378"/>
      <c r="W1209" s="378"/>
      <c r="X1209" s="378"/>
      <c r="Y1209" s="378"/>
      <c r="Z1209" s="378"/>
      <c r="AA1209" s="378"/>
      <c r="AB1209" s="378"/>
      <c r="AC1209" s="378"/>
      <c r="AD1209" s="378"/>
      <c r="AE1209" s="378"/>
      <c r="AF1209" s="378"/>
      <c r="AG1209" s="378"/>
      <c r="AH1209" s="378"/>
      <c r="AI1209" s="378"/>
      <c r="AJ1209" s="378"/>
      <c r="AK1209" s="378"/>
      <c r="AL1209" s="378"/>
      <c r="AM1209" s="378"/>
      <c r="AN1209" s="378"/>
      <c r="AO1209" s="378"/>
      <c r="AP1209" s="378"/>
      <c r="AQ1209" s="378"/>
      <c r="AR1209" s="378"/>
      <c r="AS1209" s="378"/>
      <c r="AT1209" s="378"/>
      <c r="AU1209" s="378"/>
    </row>
    <row r="1210" spans="1:47" x14ac:dyDescent="0.25">
      <c r="A1210" s="378"/>
      <c r="B1210" s="1046" t="s">
        <v>524</v>
      </c>
      <c r="C1210" s="1536">
        <v>0.9</v>
      </c>
      <c r="D1210" s="378"/>
      <c r="E1210" s="373"/>
      <c r="F1210" s="373"/>
      <c r="G1210" s="135"/>
      <c r="H1210" s="135"/>
      <c r="I1210" s="135"/>
      <c r="J1210" s="374"/>
      <c r="K1210" s="157"/>
      <c r="L1210" s="157"/>
      <c r="M1210" s="378"/>
      <c r="N1210" s="378"/>
      <c r="O1210" s="378"/>
      <c r="P1210" s="378"/>
      <c r="Q1210" s="378"/>
      <c r="R1210" s="378"/>
      <c r="S1210" s="378"/>
      <c r="T1210" s="378"/>
      <c r="U1210" s="378"/>
      <c r="V1210" s="378"/>
      <c r="W1210" s="378"/>
      <c r="X1210" s="378"/>
      <c r="Y1210" s="378"/>
      <c r="Z1210" s="378"/>
      <c r="AA1210" s="378"/>
      <c r="AB1210" s="378"/>
      <c r="AC1210" s="378"/>
      <c r="AD1210" s="378"/>
      <c r="AE1210" s="378"/>
      <c r="AF1210" s="378"/>
      <c r="AG1210" s="378"/>
      <c r="AH1210" s="378"/>
      <c r="AI1210" s="378"/>
      <c r="AJ1210" s="378"/>
      <c r="AK1210" s="378"/>
      <c r="AL1210" s="378"/>
      <c r="AM1210" s="378"/>
      <c r="AN1210" s="378"/>
      <c r="AO1210" s="378"/>
      <c r="AP1210" s="378"/>
      <c r="AQ1210" s="378"/>
      <c r="AR1210" s="378"/>
      <c r="AS1210" s="378"/>
      <c r="AT1210" s="378"/>
      <c r="AU1210" s="378"/>
    </row>
    <row r="1211" spans="1:47" x14ac:dyDescent="0.25">
      <c r="A1211" s="378"/>
      <c r="B1211" s="1046" t="s">
        <v>525</v>
      </c>
      <c r="C1211" s="1536">
        <v>0.5</v>
      </c>
      <c r="D1211" s="378"/>
      <c r="E1211" s="373"/>
      <c r="F1211" s="373"/>
      <c r="G1211" s="135"/>
      <c r="H1211" s="135"/>
      <c r="I1211" s="135"/>
      <c r="J1211" s="374"/>
      <c r="K1211" s="157"/>
      <c r="L1211" s="157"/>
      <c r="M1211" s="378"/>
      <c r="N1211" s="378"/>
      <c r="O1211" s="378"/>
      <c r="P1211" s="378"/>
      <c r="Q1211" s="378"/>
      <c r="R1211" s="378"/>
      <c r="S1211" s="378"/>
      <c r="T1211" s="378"/>
      <c r="U1211" s="378"/>
      <c r="V1211" s="378"/>
      <c r="W1211" s="378"/>
      <c r="X1211" s="378"/>
      <c r="Y1211" s="378"/>
      <c r="Z1211" s="378"/>
      <c r="AA1211" s="378"/>
      <c r="AB1211" s="378"/>
      <c r="AC1211" s="378"/>
      <c r="AD1211" s="378"/>
      <c r="AE1211" s="378"/>
      <c r="AF1211" s="378"/>
      <c r="AG1211" s="378"/>
      <c r="AH1211" s="378"/>
      <c r="AI1211" s="378"/>
      <c r="AJ1211" s="378"/>
      <c r="AK1211" s="378"/>
      <c r="AL1211" s="378"/>
      <c r="AM1211" s="378"/>
      <c r="AN1211" s="378"/>
      <c r="AO1211" s="378"/>
      <c r="AP1211" s="378"/>
      <c r="AQ1211" s="378"/>
      <c r="AR1211" s="378"/>
      <c r="AS1211" s="378"/>
      <c r="AT1211" s="378"/>
      <c r="AU1211" s="378"/>
    </row>
    <row r="1212" spans="1:47" x14ac:dyDescent="0.25">
      <c r="A1212" s="378"/>
      <c r="B1212" s="1046" t="s">
        <v>576</v>
      </c>
      <c r="C1212" s="1536">
        <v>0.1</v>
      </c>
      <c r="D1212" s="378"/>
      <c r="E1212" s="374"/>
      <c r="F1212" s="135"/>
      <c r="G1212" s="135"/>
      <c r="H1212" s="374"/>
      <c r="I1212" s="374"/>
      <c r="J1212" s="374"/>
      <c r="K1212" s="157"/>
      <c r="L1212" s="157"/>
      <c r="M1212" s="1193" t="e">
        <f>'GUIA DE APLICAÇÃO'!E1213+'GUIA DE APLICAÇÃO'!F1213+'GUIA DE APLICAÇÃO'!G1213+'GUIA DE APLICAÇÃO'!H1213</f>
        <v>#DIV/0!</v>
      </c>
      <c r="N1212" s="378"/>
      <c r="O1212" s="378"/>
      <c r="P1212" s="378"/>
      <c r="Q1212" s="378"/>
      <c r="R1212" s="378"/>
      <c r="S1212" s="378"/>
      <c r="T1212" s="378"/>
      <c r="U1212" s="378"/>
      <c r="V1212" s="378"/>
      <c r="W1212" s="378"/>
      <c r="X1212" s="378"/>
      <c r="Y1212" s="378"/>
      <c r="Z1212" s="378"/>
      <c r="AA1212" s="378"/>
      <c r="AB1212" s="378"/>
      <c r="AC1212" s="378"/>
      <c r="AD1212" s="378"/>
      <c r="AE1212" s="378"/>
      <c r="AF1212" s="378"/>
      <c r="AG1212" s="378"/>
      <c r="AH1212" s="378"/>
      <c r="AI1212" s="378"/>
      <c r="AJ1212" s="378"/>
      <c r="AK1212" s="378"/>
      <c r="AL1212" s="378"/>
      <c r="AM1212" s="378"/>
      <c r="AN1212" s="378"/>
      <c r="AO1212" s="378"/>
      <c r="AP1212" s="378"/>
      <c r="AQ1212" s="378"/>
      <c r="AR1212" s="378"/>
      <c r="AS1212" s="378"/>
      <c r="AT1212" s="378"/>
      <c r="AU1212" s="378"/>
    </row>
    <row r="1213" spans="1:47" x14ac:dyDescent="0.25">
      <c r="A1213" s="378"/>
      <c r="B1213" s="378"/>
      <c r="C1213" s="378"/>
      <c r="D1213" s="378"/>
      <c r="E1213" s="1181" t="e">
        <f>'3 INDICADORES'!D407/'GUIA DE APLICAÇÃO'!M1216</f>
        <v>#DIV/0!</v>
      </c>
      <c r="F1213" s="1181" t="e">
        <f>'3 INDICADORES'!E407/'GUIA DE APLICAÇÃO'!M1216</f>
        <v>#DIV/0!</v>
      </c>
      <c r="G1213" s="1181" t="e">
        <f>'3 INDICADORES'!F407/'GUIA DE APLICAÇÃO'!M1216</f>
        <v>#DIV/0!</v>
      </c>
      <c r="H1213" s="1181" t="e">
        <f>'3 INDICADORES'!G407/'GUIA DE APLICAÇÃO'!M1216</f>
        <v>#DIV/0!</v>
      </c>
      <c r="I1213" s="135"/>
      <c r="J1213" s="135"/>
      <c r="K1213" s="157"/>
      <c r="L1213" s="157"/>
      <c r="M1213" s="1193" t="e">
        <f>'GUIA DE APLICAÇÃO'!E1214+'GUIA DE APLICAÇÃO'!F1214+'GUIA DE APLICAÇÃO'!G1214+'GUIA DE APLICAÇÃO'!H1214</f>
        <v>#DIV/0!</v>
      </c>
      <c r="N1213" s="378"/>
      <c r="O1213" s="378"/>
      <c r="P1213" s="378"/>
      <c r="Q1213" s="378"/>
      <c r="R1213" s="378"/>
      <c r="S1213" s="378"/>
      <c r="T1213" s="378"/>
      <c r="U1213" s="378"/>
      <c r="V1213" s="378"/>
      <c r="W1213" s="378"/>
      <c r="X1213" s="378"/>
      <c r="Y1213" s="378"/>
      <c r="Z1213" s="378"/>
      <c r="AA1213" s="378"/>
      <c r="AB1213" s="378"/>
      <c r="AC1213" s="378"/>
      <c r="AD1213" s="378"/>
      <c r="AE1213" s="378"/>
      <c r="AF1213" s="378"/>
      <c r="AG1213" s="378"/>
      <c r="AH1213" s="378"/>
      <c r="AI1213" s="378"/>
      <c r="AJ1213" s="378"/>
      <c r="AK1213" s="378"/>
      <c r="AL1213" s="378"/>
      <c r="AM1213" s="378"/>
      <c r="AN1213" s="378"/>
      <c r="AO1213" s="378"/>
      <c r="AP1213" s="378"/>
      <c r="AQ1213" s="378"/>
      <c r="AR1213" s="378"/>
      <c r="AS1213" s="378"/>
      <c r="AT1213" s="378"/>
      <c r="AU1213" s="378"/>
    </row>
    <row r="1214" spans="1:47" x14ac:dyDescent="0.25">
      <c r="A1214" s="378"/>
      <c r="B1214" s="2055" t="s">
        <v>179</v>
      </c>
      <c r="C1214" s="2055"/>
      <c r="D1214" s="378"/>
      <c r="E1214" s="1181" t="e">
        <f>'3 INDICADORES'!D408/'GUIA DE APLICAÇÃO'!M1216</f>
        <v>#DIV/0!</v>
      </c>
      <c r="F1214" s="1181" t="e">
        <f>'3 INDICADORES'!E408/'GUIA DE APLICAÇÃO'!M1216</f>
        <v>#DIV/0!</v>
      </c>
      <c r="G1214" s="1181" t="e">
        <f>'3 INDICADORES'!F408/'GUIA DE APLICAÇÃO'!M1216</f>
        <v>#DIV/0!</v>
      </c>
      <c r="H1214" s="1181" t="e">
        <f>'3 INDICADORES'!G408/'GUIA DE APLICAÇÃO'!M1216</f>
        <v>#DIV/0!</v>
      </c>
      <c r="I1214" s="135"/>
      <c r="J1214" s="135"/>
      <c r="K1214" s="157"/>
      <c r="L1214" s="157"/>
      <c r="M1214" s="1193" t="e">
        <f>'GUIA DE APLICAÇÃO'!E1215+'GUIA DE APLICAÇÃO'!F1215+'GUIA DE APLICAÇÃO'!G1215+'GUIA DE APLICAÇÃO'!H1215</f>
        <v>#DIV/0!</v>
      </c>
      <c r="N1214" s="378"/>
      <c r="O1214" s="378"/>
      <c r="P1214" s="378"/>
      <c r="Q1214" s="378"/>
      <c r="R1214" s="378"/>
      <c r="S1214" s="378"/>
      <c r="T1214" s="378"/>
      <c r="U1214" s="378"/>
      <c r="V1214" s="378"/>
      <c r="W1214" s="378"/>
      <c r="X1214" s="378"/>
      <c r="Y1214" s="378"/>
      <c r="Z1214" s="378"/>
      <c r="AA1214" s="378"/>
      <c r="AB1214" s="378"/>
      <c r="AC1214" s="378"/>
      <c r="AD1214" s="378"/>
      <c r="AE1214" s="378"/>
      <c r="AF1214" s="378"/>
      <c r="AG1214" s="378"/>
      <c r="AH1214" s="378"/>
      <c r="AI1214" s="378"/>
      <c r="AJ1214" s="378"/>
      <c r="AK1214" s="378"/>
      <c r="AL1214" s="378"/>
      <c r="AM1214" s="378"/>
      <c r="AN1214" s="378"/>
      <c r="AO1214" s="378"/>
      <c r="AP1214" s="378"/>
      <c r="AQ1214" s="378"/>
      <c r="AR1214" s="378"/>
      <c r="AS1214" s="378"/>
      <c r="AT1214" s="378"/>
      <c r="AU1214" s="378"/>
    </row>
    <row r="1215" spans="1:47" x14ac:dyDescent="0.25">
      <c r="A1215" s="378"/>
      <c r="B1215" s="1531">
        <v>0</v>
      </c>
      <c r="C1215" s="1160">
        <v>0</v>
      </c>
      <c r="D1215" s="378"/>
      <c r="E1215" s="1181" t="e">
        <f>'3 INDICADORES'!D409/'GUIA DE APLICAÇÃO'!M1216</f>
        <v>#DIV/0!</v>
      </c>
      <c r="F1215" s="1181" t="e">
        <f>'3 INDICADORES'!E409/'GUIA DE APLICAÇÃO'!M1216</f>
        <v>#DIV/0!</v>
      </c>
      <c r="G1215" s="1181" t="e">
        <f>'3 INDICADORES'!F409/'GUIA DE APLICAÇÃO'!M1216</f>
        <v>#DIV/0!</v>
      </c>
      <c r="H1215" s="1181" t="e">
        <f>'3 INDICADORES'!G409/'GUIA DE APLICAÇÃO'!M1216</f>
        <v>#DIV/0!</v>
      </c>
      <c r="I1215" s="135"/>
      <c r="J1215" s="135"/>
      <c r="K1215" s="157"/>
      <c r="L1215" s="157"/>
      <c r="M1215" s="1220"/>
      <c r="N1215" s="378"/>
      <c r="O1215" s="378"/>
      <c r="P1215" s="378"/>
      <c r="Q1215" s="378"/>
      <c r="R1215" s="378"/>
      <c r="S1215" s="378"/>
      <c r="T1215" s="378"/>
      <c r="U1215" s="378"/>
      <c r="V1215" s="378"/>
      <c r="W1215" s="378"/>
      <c r="X1215" s="378"/>
      <c r="Y1215" s="378"/>
      <c r="Z1215" s="378"/>
      <c r="AA1215" s="378"/>
      <c r="AB1215" s="378"/>
      <c r="AC1215" s="378"/>
      <c r="AD1215" s="378"/>
      <c r="AE1215" s="378"/>
      <c r="AF1215" s="378"/>
      <c r="AG1215" s="378"/>
      <c r="AH1215" s="378"/>
      <c r="AI1215" s="378"/>
      <c r="AJ1215" s="378"/>
      <c r="AK1215" s="378"/>
      <c r="AL1215" s="378"/>
      <c r="AM1215" s="378"/>
      <c r="AN1215" s="378"/>
      <c r="AO1215" s="378"/>
      <c r="AP1215" s="378"/>
      <c r="AQ1215" s="378"/>
      <c r="AR1215" s="378"/>
      <c r="AS1215" s="378"/>
      <c r="AT1215" s="378"/>
      <c r="AU1215" s="378"/>
    </row>
    <row r="1216" spans="1:47" x14ac:dyDescent="0.25">
      <c r="A1216" s="378"/>
      <c r="B1216" s="1531">
        <v>5</v>
      </c>
      <c r="C1216" s="1531">
        <v>0.1</v>
      </c>
      <c r="D1216" s="378"/>
      <c r="E1216" s="375"/>
      <c r="F1216" s="375"/>
      <c r="G1216" s="375"/>
      <c r="H1216" s="375"/>
      <c r="I1216" s="135"/>
      <c r="J1216" s="374"/>
      <c r="K1216" s="157"/>
      <c r="L1216" s="157"/>
      <c r="M1216" s="1190">
        <f>'3 INDICADORES'!D407+'3 INDICADORES'!D408+'3 INDICADORES'!D409+'3 INDICADORES'!E407+'3 INDICADORES'!E408+'3 INDICADORES'!E409+'3 INDICADORES'!F407+'3 INDICADORES'!F408+'3 INDICADORES'!F409+'3 INDICADORES'!G407+'3 INDICADORES'!G408+'3 INDICADORES'!G409</f>
        <v>0</v>
      </c>
      <c r="N1216" s="378"/>
      <c r="O1216" s="378"/>
      <c r="P1216" s="378"/>
      <c r="Q1216" s="378"/>
      <c r="R1216" s="378"/>
      <c r="S1216" s="378"/>
      <c r="T1216" s="378"/>
      <c r="U1216" s="378"/>
      <c r="V1216" s="378"/>
      <c r="W1216" s="378"/>
      <c r="X1216" s="378"/>
      <c r="Y1216" s="378"/>
      <c r="Z1216" s="378"/>
      <c r="AA1216" s="378"/>
      <c r="AB1216" s="378"/>
      <c r="AC1216" s="378"/>
      <c r="AD1216" s="378"/>
      <c r="AE1216" s="378"/>
      <c r="AF1216" s="378"/>
      <c r="AG1216" s="378"/>
      <c r="AH1216" s="378"/>
      <c r="AI1216" s="378"/>
      <c r="AJ1216" s="378"/>
      <c r="AK1216" s="378"/>
      <c r="AL1216" s="378"/>
      <c r="AM1216" s="378"/>
      <c r="AN1216" s="378"/>
      <c r="AO1216" s="378"/>
      <c r="AP1216" s="378"/>
      <c r="AQ1216" s="378"/>
      <c r="AR1216" s="378"/>
      <c r="AS1216" s="378"/>
      <c r="AT1216" s="378"/>
      <c r="AU1216" s="378"/>
    </row>
    <row r="1217" spans="1:47" x14ac:dyDescent="0.25">
      <c r="A1217" s="378"/>
      <c r="B1217" s="1531">
        <v>10</v>
      </c>
      <c r="C1217" s="1531">
        <v>0.2</v>
      </c>
      <c r="D1217" s="378"/>
      <c r="E1217" s="375"/>
      <c r="F1217" s="375"/>
      <c r="G1217" s="375"/>
      <c r="H1217" s="375"/>
      <c r="I1217" s="135"/>
      <c r="J1217" s="374"/>
      <c r="K1217" s="157"/>
      <c r="L1217" s="157"/>
      <c r="M1217" s="378"/>
      <c r="N1217" s="378"/>
      <c r="O1217" s="378"/>
      <c r="P1217" s="378"/>
      <c r="Q1217" s="378"/>
      <c r="R1217" s="378"/>
      <c r="S1217" s="378"/>
      <c r="T1217" s="378"/>
      <c r="U1217" s="378"/>
      <c r="V1217" s="378"/>
      <c r="W1217" s="378"/>
      <c r="X1217" s="378"/>
      <c r="Y1217" s="378"/>
      <c r="Z1217" s="378"/>
      <c r="AA1217" s="378"/>
      <c r="AB1217" s="378"/>
      <c r="AC1217" s="378"/>
      <c r="AD1217" s="378"/>
      <c r="AE1217" s="378"/>
      <c r="AF1217" s="378"/>
      <c r="AG1217" s="378"/>
      <c r="AH1217" s="378"/>
      <c r="AI1217" s="378"/>
      <c r="AJ1217" s="378"/>
      <c r="AK1217" s="378"/>
      <c r="AL1217" s="378"/>
      <c r="AM1217" s="378"/>
      <c r="AN1217" s="378"/>
      <c r="AO1217" s="378"/>
      <c r="AP1217" s="378"/>
      <c r="AQ1217" s="378"/>
      <c r="AR1217" s="378"/>
      <c r="AS1217" s="378"/>
      <c r="AT1217" s="378"/>
      <c r="AU1217" s="378"/>
    </row>
    <row r="1218" spans="1:47" x14ac:dyDescent="0.25">
      <c r="A1218" s="378"/>
      <c r="B1218" s="1531">
        <v>20</v>
      </c>
      <c r="C1218" s="1531">
        <v>0.4</v>
      </c>
      <c r="D1218" s="378"/>
      <c r="E1218" s="375"/>
      <c r="F1218" s="375"/>
      <c r="G1218" s="375"/>
      <c r="H1218" s="2054" t="s">
        <v>1003</v>
      </c>
      <c r="I1218" s="2054"/>
      <c r="J1218" s="1539" t="s">
        <v>1004</v>
      </c>
      <c r="K1218" s="1539" t="s">
        <v>1005</v>
      </c>
      <c r="L1218" s="1539" t="s">
        <v>1006</v>
      </c>
      <c r="M1218" s="378"/>
      <c r="N1218" s="378"/>
      <c r="O1218" s="378"/>
      <c r="P1218" s="378"/>
      <c r="Q1218" s="378"/>
      <c r="R1218" s="378"/>
      <c r="S1218" s="378"/>
      <c r="T1218" s="378"/>
      <c r="U1218" s="378"/>
      <c r="V1218" s="378"/>
      <c r="W1218" s="378"/>
      <c r="X1218" s="378"/>
      <c r="Y1218" s="378"/>
      <c r="Z1218" s="378"/>
      <c r="AA1218" s="378"/>
      <c r="AB1218" s="378"/>
      <c r="AC1218" s="378"/>
      <c r="AD1218" s="378"/>
      <c r="AE1218" s="378"/>
      <c r="AF1218" s="378"/>
      <c r="AG1218" s="378"/>
      <c r="AH1218" s="378"/>
      <c r="AI1218" s="378"/>
      <c r="AJ1218" s="378"/>
      <c r="AK1218" s="378"/>
      <c r="AL1218" s="378"/>
      <c r="AM1218" s="378"/>
      <c r="AN1218" s="378"/>
      <c r="AO1218" s="378"/>
      <c r="AP1218" s="378"/>
      <c r="AQ1218" s="378"/>
      <c r="AR1218" s="378"/>
      <c r="AS1218" s="378"/>
      <c r="AT1218" s="378"/>
      <c r="AU1218" s="378"/>
    </row>
    <row r="1219" spans="1:47" x14ac:dyDescent="0.25">
      <c r="A1219" s="378"/>
      <c r="B1219" s="1531">
        <v>40</v>
      </c>
      <c r="C1219" s="1531">
        <v>0.6</v>
      </c>
      <c r="D1219" s="378"/>
      <c r="E1219" s="375"/>
      <c r="F1219" s="375"/>
      <c r="G1219" s="375"/>
      <c r="H1219" s="2054" t="s">
        <v>1007</v>
      </c>
      <c r="I1219" s="2054"/>
      <c r="J1219" s="2054"/>
      <c r="K1219" s="2054"/>
      <c r="L1219" s="2054"/>
      <c r="M1219" s="378"/>
      <c r="N1219" s="378"/>
      <c r="O1219" s="378"/>
      <c r="P1219" s="378"/>
      <c r="Q1219" s="378"/>
      <c r="R1219" s="378"/>
      <c r="S1219" s="378"/>
      <c r="T1219" s="378"/>
      <c r="U1219" s="378"/>
      <c r="V1219" s="378"/>
      <c r="W1219" s="378"/>
      <c r="X1219" s="378"/>
      <c r="Y1219" s="378"/>
      <c r="Z1219" s="378"/>
      <c r="AA1219" s="378"/>
      <c r="AB1219" s="378"/>
      <c r="AC1219" s="378"/>
      <c r="AD1219" s="378"/>
      <c r="AE1219" s="378"/>
      <c r="AF1219" s="378"/>
      <c r="AG1219" s="378"/>
      <c r="AH1219" s="378"/>
      <c r="AI1219" s="378"/>
      <c r="AJ1219" s="378"/>
      <c r="AK1219" s="378"/>
      <c r="AL1219" s="378"/>
      <c r="AM1219" s="378"/>
      <c r="AN1219" s="378"/>
      <c r="AO1219" s="378"/>
      <c r="AP1219" s="378"/>
      <c r="AQ1219" s="378"/>
      <c r="AR1219" s="378"/>
      <c r="AS1219" s="378"/>
      <c r="AT1219" s="378"/>
      <c r="AU1219" s="378"/>
    </row>
    <row r="1220" spans="1:47" x14ac:dyDescent="0.25">
      <c r="A1220" s="378"/>
      <c r="B1220" s="1218">
        <v>60</v>
      </c>
      <c r="C1220" s="1218">
        <v>0.7</v>
      </c>
      <c r="D1220" s="378"/>
      <c r="E1220" s="375"/>
      <c r="F1220" s="375"/>
      <c r="G1220" s="375"/>
      <c r="H1220" s="2054" t="s">
        <v>1008</v>
      </c>
      <c r="I1220" s="2054"/>
      <c r="J1220" s="1539">
        <f>+'1 QUESTIONÁRIO'!D113</f>
        <v>0</v>
      </c>
      <c r="K1220" s="1221" t="e">
        <f t="shared" ref="K1220:K1228" si="6">J1220/$J$1229</f>
        <v>#DIV/0!</v>
      </c>
      <c r="L1220" s="1539" t="e">
        <f t="shared" ref="L1220:L1228" si="7">IF(K1220&gt;0,K1220*LOG10(K1220),0)</f>
        <v>#DIV/0!</v>
      </c>
      <c r="M1220" s="378"/>
      <c r="N1220" s="378"/>
      <c r="O1220" s="378"/>
      <c r="P1220" s="378"/>
      <c r="Q1220" s="378"/>
      <c r="R1220" s="378"/>
      <c r="S1220" s="378"/>
      <c r="T1220" s="378"/>
      <c r="U1220" s="378"/>
      <c r="V1220" s="378"/>
      <c r="W1220" s="378"/>
      <c r="X1220" s="378"/>
      <c r="Y1220" s="378"/>
      <c r="Z1220" s="378"/>
      <c r="AA1220" s="378"/>
      <c r="AB1220" s="378"/>
      <c r="AC1220" s="378"/>
      <c r="AD1220" s="378"/>
      <c r="AE1220" s="378"/>
      <c r="AF1220" s="378"/>
      <c r="AG1220" s="378"/>
      <c r="AH1220" s="378"/>
      <c r="AI1220" s="378"/>
      <c r="AJ1220" s="378"/>
      <c r="AK1220" s="378"/>
      <c r="AL1220" s="378"/>
      <c r="AM1220" s="378"/>
      <c r="AN1220" s="378"/>
      <c r="AO1220" s="378"/>
      <c r="AP1220" s="378"/>
      <c r="AQ1220" s="378"/>
      <c r="AR1220" s="378"/>
      <c r="AS1220" s="378"/>
      <c r="AT1220" s="378"/>
      <c r="AU1220" s="378"/>
    </row>
    <row r="1221" spans="1:47" x14ac:dyDescent="0.25">
      <c r="A1221" s="378"/>
      <c r="B1221" s="1531">
        <v>70</v>
      </c>
      <c r="C1221" s="1531">
        <v>0.8</v>
      </c>
      <c r="D1221" s="378"/>
      <c r="E1221" s="1213" t="s">
        <v>1009</v>
      </c>
      <c r="F1221" s="2058" t="s">
        <v>766</v>
      </c>
      <c r="G1221" s="2059"/>
      <c r="H1221" s="2054" t="s">
        <v>521</v>
      </c>
      <c r="I1221" s="2054"/>
      <c r="J1221" s="1539">
        <f>+'1 QUESTIONÁRIO'!D114</f>
        <v>0</v>
      </c>
      <c r="K1221" s="1221" t="e">
        <f t="shared" si="6"/>
        <v>#DIV/0!</v>
      </c>
      <c r="L1221" s="1539" t="e">
        <f t="shared" si="7"/>
        <v>#DIV/0!</v>
      </c>
      <c r="M1221" s="378"/>
      <c r="N1221" s="378"/>
      <c r="O1221" s="378"/>
      <c r="P1221" s="378"/>
      <c r="Q1221" s="378"/>
      <c r="R1221" s="378"/>
      <c r="S1221" s="378"/>
      <c r="T1221" s="378"/>
      <c r="U1221" s="378"/>
      <c r="V1221" s="378"/>
      <c r="W1221" s="378"/>
      <c r="X1221" s="378"/>
      <c r="Y1221" s="378"/>
      <c r="Z1221" s="378"/>
      <c r="AA1221" s="378"/>
      <c r="AB1221" s="378"/>
      <c r="AC1221" s="378"/>
      <c r="AD1221" s="378"/>
      <c r="AE1221" s="378"/>
      <c r="AF1221" s="378"/>
      <c r="AG1221" s="378"/>
      <c r="AH1221" s="378"/>
      <c r="AI1221" s="378"/>
      <c r="AJ1221" s="378"/>
      <c r="AK1221" s="378"/>
      <c r="AL1221" s="378"/>
      <c r="AM1221" s="378"/>
      <c r="AN1221" s="378"/>
      <c r="AO1221" s="378"/>
      <c r="AP1221" s="378"/>
      <c r="AQ1221" s="378"/>
      <c r="AR1221" s="378"/>
      <c r="AS1221" s="378"/>
      <c r="AT1221" s="378"/>
      <c r="AU1221" s="378"/>
    </row>
    <row r="1222" spans="1:47" ht="15" customHeight="1" x14ac:dyDescent="0.25">
      <c r="A1222" s="378"/>
      <c r="B1222" s="1531">
        <v>80</v>
      </c>
      <c r="C1222" s="1531">
        <v>0.9</v>
      </c>
      <c r="D1222" s="378"/>
      <c r="E1222" s="2005" t="s">
        <v>1010</v>
      </c>
      <c r="F1222" s="2006"/>
      <c r="G1222" s="2007"/>
      <c r="H1222" s="2054" t="s">
        <v>64</v>
      </c>
      <c r="I1222" s="2054"/>
      <c r="J1222" s="1532">
        <f>+'1 QUESTIONÁRIO'!D115</f>
        <v>0</v>
      </c>
      <c r="K1222" s="1221" t="e">
        <f t="shared" si="6"/>
        <v>#DIV/0!</v>
      </c>
      <c r="L1222" s="1539" t="e">
        <f t="shared" si="7"/>
        <v>#DIV/0!</v>
      </c>
      <c r="M1222" s="378"/>
      <c r="N1222" s="378"/>
      <c r="O1222" s="378"/>
      <c r="P1222" s="378"/>
      <c r="Q1222" s="378"/>
      <c r="R1222" s="378"/>
      <c r="S1222" s="378"/>
      <c r="T1222" s="378"/>
      <c r="U1222" s="378"/>
      <c r="V1222" s="378"/>
      <c r="W1222" s="378"/>
      <c r="X1222" s="378"/>
      <c r="Y1222" s="378"/>
      <c r="Z1222" s="378"/>
      <c r="AA1222" s="378"/>
      <c r="AB1222" s="378"/>
      <c r="AC1222" s="378"/>
      <c r="AD1222" s="378"/>
      <c r="AE1222" s="378"/>
      <c r="AF1222" s="378"/>
      <c r="AG1222" s="378"/>
      <c r="AH1222" s="378"/>
      <c r="AI1222" s="378"/>
      <c r="AJ1222" s="378"/>
      <c r="AK1222" s="378"/>
      <c r="AL1222" s="378"/>
      <c r="AM1222" s="378"/>
      <c r="AN1222" s="378"/>
      <c r="AO1222" s="378"/>
      <c r="AP1222" s="378"/>
      <c r="AQ1222" s="378"/>
      <c r="AR1222" s="378"/>
      <c r="AS1222" s="378"/>
      <c r="AT1222" s="378"/>
      <c r="AU1222" s="378"/>
    </row>
    <row r="1223" spans="1:47" x14ac:dyDescent="0.25">
      <c r="A1223" s="378"/>
      <c r="B1223" s="1531">
        <v>100</v>
      </c>
      <c r="C1223" s="1160">
        <v>1</v>
      </c>
      <c r="D1223" s="378"/>
      <c r="E1223" s="1224" t="s">
        <v>1011</v>
      </c>
      <c r="F1223" s="475">
        <v>0.99139999999999995</v>
      </c>
      <c r="G1223" s="1225"/>
      <c r="H1223" s="2054" t="s">
        <v>73</v>
      </c>
      <c r="I1223" s="2054"/>
      <c r="J1223" s="1539">
        <f>+'1 QUESTIONÁRIO'!D116</f>
        <v>0</v>
      </c>
      <c r="K1223" s="1221" t="e">
        <f t="shared" si="6"/>
        <v>#DIV/0!</v>
      </c>
      <c r="L1223" s="1539" t="e">
        <f t="shared" si="7"/>
        <v>#DIV/0!</v>
      </c>
      <c r="M1223" s="378"/>
      <c r="N1223" s="378"/>
      <c r="O1223" s="378"/>
      <c r="P1223" s="378"/>
      <c r="Q1223" s="378"/>
      <c r="R1223" s="378"/>
      <c r="S1223" s="378"/>
      <c r="T1223" s="378"/>
      <c r="U1223" s="378"/>
      <c r="V1223" s="378"/>
      <c r="W1223" s="378"/>
      <c r="X1223" s="378"/>
      <c r="Y1223" s="378"/>
      <c r="Z1223" s="378"/>
      <c r="AA1223" s="378"/>
      <c r="AB1223" s="378"/>
      <c r="AC1223" s="378"/>
      <c r="AD1223" s="378"/>
      <c r="AE1223" s="378"/>
      <c r="AF1223" s="378"/>
      <c r="AG1223" s="378"/>
      <c r="AH1223" s="378"/>
      <c r="AI1223" s="378"/>
      <c r="AJ1223" s="378"/>
      <c r="AK1223" s="378"/>
      <c r="AL1223" s="378"/>
      <c r="AM1223" s="378"/>
      <c r="AN1223" s="378"/>
      <c r="AO1223" s="378"/>
      <c r="AP1223" s="378"/>
      <c r="AQ1223" s="378"/>
      <c r="AR1223" s="378"/>
      <c r="AS1223" s="378"/>
      <c r="AT1223" s="378"/>
      <c r="AU1223" s="378"/>
    </row>
    <row r="1224" spans="1:47" x14ac:dyDescent="0.25">
      <c r="A1224" s="378"/>
      <c r="B1224" s="378"/>
      <c r="C1224" s="378"/>
      <c r="D1224" s="378"/>
      <c r="E1224" s="1224" t="s">
        <v>805</v>
      </c>
      <c r="F1224" s="475">
        <v>1.1679999999999999</v>
      </c>
      <c r="G1224" s="1225"/>
      <c r="H1224" s="2054" t="s">
        <v>74</v>
      </c>
      <c r="I1224" s="2054"/>
      <c r="J1224" s="1539">
        <f>+'1 QUESTIONÁRIO'!D117</f>
        <v>0</v>
      </c>
      <c r="K1224" s="1221" t="e">
        <f t="shared" si="6"/>
        <v>#DIV/0!</v>
      </c>
      <c r="L1224" s="1539" t="e">
        <f t="shared" si="7"/>
        <v>#DIV/0!</v>
      </c>
      <c r="M1224" s="378"/>
      <c r="N1224" s="378"/>
      <c r="O1224" s="378"/>
      <c r="P1224" s="378"/>
      <c r="Q1224" s="378"/>
      <c r="R1224" s="378"/>
      <c r="S1224" s="378"/>
      <c r="T1224" s="378"/>
      <c r="U1224" s="378"/>
      <c r="V1224" s="378"/>
      <c r="W1224" s="378"/>
      <c r="X1224" s="378"/>
      <c r="Y1224" s="378"/>
      <c r="Z1224" s="378"/>
      <c r="AA1224" s="378"/>
      <c r="AB1224" s="378"/>
      <c r="AC1224" s="378"/>
      <c r="AD1224" s="378"/>
      <c r="AE1224" s="378"/>
      <c r="AF1224" s="378"/>
      <c r="AG1224" s="378"/>
      <c r="AH1224" s="378"/>
      <c r="AI1224" s="378"/>
      <c r="AJ1224" s="378"/>
      <c r="AK1224" s="378"/>
      <c r="AL1224" s="378"/>
      <c r="AM1224" s="378"/>
      <c r="AN1224" s="378"/>
      <c r="AO1224" s="378"/>
      <c r="AP1224" s="378"/>
      <c r="AQ1224" s="378"/>
      <c r="AR1224" s="378"/>
      <c r="AS1224" s="378"/>
      <c r="AT1224" s="378"/>
      <c r="AU1224" s="378"/>
    </row>
    <row r="1225" spans="1:47" x14ac:dyDescent="0.25">
      <c r="A1225" s="378"/>
      <c r="B1225" s="378"/>
      <c r="C1225" s="378"/>
      <c r="D1225" s="378"/>
      <c r="E1225" s="1226" t="s">
        <v>853</v>
      </c>
      <c r="F1225" s="475">
        <v>1.7645062999999999E-2</v>
      </c>
      <c r="G1225" s="1225"/>
      <c r="H1225" s="2054" t="s">
        <v>1012</v>
      </c>
      <c r="I1225" s="2054"/>
      <c r="J1225" s="1539">
        <f>SUM('3 INDICADORES'!D362:D364)</f>
        <v>0</v>
      </c>
      <c r="K1225" s="1221" t="e">
        <f t="shared" si="6"/>
        <v>#DIV/0!</v>
      </c>
      <c r="L1225" s="1539" t="e">
        <f t="shared" si="7"/>
        <v>#DIV/0!</v>
      </c>
      <c r="M1225" s="378"/>
      <c r="N1225" s="378"/>
      <c r="O1225" s="378"/>
      <c r="P1225" s="378"/>
      <c r="Q1225" s="378"/>
      <c r="R1225" s="378"/>
      <c r="S1225" s="378"/>
      <c r="T1225" s="378"/>
      <c r="U1225" s="378"/>
      <c r="V1225" s="378"/>
      <c r="W1225" s="378"/>
      <c r="X1225" s="378"/>
      <c r="Y1225" s="378"/>
      <c r="Z1225" s="378"/>
      <c r="AA1225" s="378"/>
      <c r="AB1225" s="378"/>
      <c r="AC1225" s="378"/>
      <c r="AD1225" s="378"/>
      <c r="AE1225" s="378"/>
      <c r="AF1225" s="378"/>
      <c r="AG1225" s="378"/>
      <c r="AH1225" s="378"/>
      <c r="AI1225" s="378"/>
      <c r="AJ1225" s="378"/>
      <c r="AK1225" s="378"/>
      <c r="AL1225" s="378"/>
      <c r="AM1225" s="378"/>
      <c r="AN1225" s="378"/>
      <c r="AO1225" s="378"/>
      <c r="AP1225" s="378"/>
      <c r="AQ1225" s="378"/>
      <c r="AR1225" s="378"/>
      <c r="AS1225" s="378"/>
      <c r="AT1225" s="378"/>
      <c r="AU1225" s="378"/>
    </row>
    <row r="1226" spans="1:47" ht="15" customHeight="1" x14ac:dyDescent="0.25">
      <c r="A1226" s="378"/>
      <c r="B1226" s="378"/>
      <c r="C1226" s="378"/>
      <c r="D1226" s="378"/>
      <c r="E1226" s="1227" t="s">
        <v>143</v>
      </c>
      <c r="F1226" s="2056" t="s">
        <v>1013</v>
      </c>
      <c r="G1226" s="2057"/>
      <c r="H1226" s="2054" t="s">
        <v>1014</v>
      </c>
      <c r="I1226" s="2054"/>
      <c r="J1226" s="1539">
        <f>SUM('3 INDICADORES'!E362:E364)</f>
        <v>0</v>
      </c>
      <c r="K1226" s="1221" t="e">
        <f t="shared" si="6"/>
        <v>#DIV/0!</v>
      </c>
      <c r="L1226" s="1539" t="e">
        <f t="shared" si="7"/>
        <v>#DIV/0!</v>
      </c>
      <c r="M1226" s="378"/>
      <c r="N1226" s="378"/>
      <c r="O1226" s="378"/>
      <c r="P1226" s="378"/>
      <c r="Q1226" s="378"/>
      <c r="R1226" s="378"/>
      <c r="S1226" s="378"/>
      <c r="T1226" s="378"/>
      <c r="U1226" s="378"/>
      <c r="V1226" s="378"/>
      <c r="W1226" s="378"/>
      <c r="X1226" s="378"/>
      <c r="Y1226" s="378"/>
      <c r="Z1226" s="378"/>
      <c r="AA1226" s="378"/>
      <c r="AB1226" s="378"/>
      <c r="AC1226" s="378"/>
      <c r="AD1226" s="378"/>
      <c r="AE1226" s="378"/>
      <c r="AF1226" s="378"/>
      <c r="AG1226" s="378"/>
      <c r="AH1226" s="378"/>
      <c r="AI1226" s="378"/>
      <c r="AJ1226" s="378"/>
      <c r="AK1226" s="378"/>
      <c r="AL1226" s="378"/>
      <c r="AM1226" s="378"/>
      <c r="AN1226" s="378"/>
      <c r="AO1226" s="378"/>
      <c r="AP1226" s="378"/>
      <c r="AQ1226" s="378"/>
      <c r="AR1226" s="378"/>
      <c r="AS1226" s="378"/>
      <c r="AT1226" s="378"/>
      <c r="AU1226" s="378"/>
    </row>
    <row r="1227" spans="1:47" ht="15" customHeight="1" x14ac:dyDescent="0.25">
      <c r="A1227" s="378"/>
      <c r="B1227" s="378"/>
      <c r="C1227" s="378"/>
      <c r="D1227" s="378"/>
      <c r="E1227" s="1219"/>
      <c r="F1227" s="476"/>
      <c r="G1227" s="135"/>
      <c r="H1227" s="2054" t="s">
        <v>1015</v>
      </c>
      <c r="I1227" s="2054"/>
      <c r="J1227" s="1539">
        <f>SUM('3 INDICADORES'!F362:F364)</f>
        <v>0</v>
      </c>
      <c r="K1227" s="1221" t="e">
        <f t="shared" si="6"/>
        <v>#DIV/0!</v>
      </c>
      <c r="L1227" s="1539" t="e">
        <f t="shared" si="7"/>
        <v>#DIV/0!</v>
      </c>
      <c r="M1227" s="378"/>
      <c r="N1227" s="378"/>
      <c r="O1227" s="378"/>
      <c r="P1227" s="378"/>
      <c r="Q1227" s="378"/>
      <c r="R1227" s="378"/>
      <c r="S1227" s="378"/>
      <c r="T1227" s="378"/>
      <c r="U1227" s="378"/>
      <c r="V1227" s="378"/>
      <c r="W1227" s="378"/>
      <c r="X1227" s="378"/>
      <c r="Y1227" s="378"/>
      <c r="Z1227" s="378"/>
      <c r="AA1227" s="378"/>
      <c r="AB1227" s="378"/>
      <c r="AC1227" s="378"/>
      <c r="AD1227" s="378"/>
      <c r="AE1227" s="378"/>
      <c r="AF1227" s="378"/>
      <c r="AG1227" s="378"/>
      <c r="AH1227" s="378"/>
      <c r="AI1227" s="378"/>
      <c r="AJ1227" s="378"/>
      <c r="AK1227" s="378"/>
      <c r="AL1227" s="378"/>
      <c r="AM1227" s="378"/>
      <c r="AN1227" s="378"/>
      <c r="AO1227" s="378"/>
      <c r="AP1227" s="378"/>
      <c r="AQ1227" s="378"/>
      <c r="AR1227" s="378"/>
      <c r="AS1227" s="378"/>
      <c r="AT1227" s="378"/>
      <c r="AU1227" s="378"/>
    </row>
    <row r="1228" spans="1:47" ht="15" customHeight="1" x14ac:dyDescent="0.25">
      <c r="A1228" s="378"/>
      <c r="B1228" s="378"/>
      <c r="C1228" s="378"/>
      <c r="D1228" s="378"/>
      <c r="E1228" s="135"/>
      <c r="F1228" s="135"/>
      <c r="G1228" s="135"/>
      <c r="H1228" s="2054" t="s">
        <v>1016</v>
      </c>
      <c r="I1228" s="2054"/>
      <c r="J1228" s="1539">
        <f>SUM('3 INDICADORES'!G362:G364)</f>
        <v>0</v>
      </c>
      <c r="K1228" s="1221" t="e">
        <f t="shared" si="6"/>
        <v>#DIV/0!</v>
      </c>
      <c r="L1228" s="1539" t="e">
        <f t="shared" si="7"/>
        <v>#DIV/0!</v>
      </c>
      <c r="M1228" s="378"/>
      <c r="N1228" s="378"/>
      <c r="O1228" s="378"/>
      <c r="P1228" s="378"/>
      <c r="Q1228" s="378"/>
      <c r="R1228" s="378"/>
      <c r="S1228" s="378"/>
      <c r="T1228" s="378"/>
      <c r="U1228" s="378"/>
      <c r="V1228" s="378"/>
      <c r="W1228" s="378"/>
      <c r="X1228" s="378"/>
      <c r="Y1228" s="378"/>
      <c r="Z1228" s="378"/>
      <c r="AA1228" s="378"/>
      <c r="AB1228" s="378"/>
      <c r="AC1228" s="378"/>
      <c r="AD1228" s="378"/>
      <c r="AE1228" s="378"/>
      <c r="AF1228" s="378"/>
      <c r="AG1228" s="378"/>
      <c r="AH1228" s="378"/>
      <c r="AI1228" s="378"/>
      <c r="AJ1228" s="378"/>
      <c r="AK1228" s="378"/>
      <c r="AL1228" s="378"/>
      <c r="AM1228" s="378"/>
      <c r="AN1228" s="378"/>
      <c r="AO1228" s="378"/>
      <c r="AP1228" s="378"/>
      <c r="AQ1228" s="378"/>
      <c r="AR1228" s="378"/>
      <c r="AS1228" s="378"/>
      <c r="AT1228" s="378"/>
      <c r="AU1228" s="378"/>
    </row>
    <row r="1229" spans="1:47" ht="15" customHeight="1" x14ac:dyDescent="0.25">
      <c r="A1229" s="378"/>
      <c r="B1229" s="378"/>
      <c r="C1229" s="378"/>
      <c r="D1229" s="378"/>
      <c r="E1229" s="135"/>
      <c r="F1229" s="135"/>
      <c r="G1229" s="135"/>
      <c r="H1229" s="2053" t="s">
        <v>1017</v>
      </c>
      <c r="I1229" s="2053"/>
      <c r="J1229" s="1222">
        <f>SUM(J1220:J1228)</f>
        <v>0</v>
      </c>
      <c r="K1229" s="1223" t="e">
        <f>SUM(K1220:K1228)</f>
        <v>#DIV/0!</v>
      </c>
      <c r="L1229" s="1222" t="e">
        <f>-(SUM(L1220:L1228))</f>
        <v>#DIV/0!</v>
      </c>
      <c r="M1229" s="378"/>
      <c r="N1229" s="378"/>
      <c r="O1229" s="378"/>
      <c r="P1229" s="378"/>
      <c r="Q1229" s="378"/>
      <c r="R1229" s="378"/>
      <c r="S1229" s="378"/>
      <c r="T1229" s="378"/>
      <c r="U1229" s="378"/>
      <c r="V1229" s="378"/>
      <c r="W1229" s="378"/>
      <c r="X1229" s="378"/>
      <c r="Y1229" s="378"/>
      <c r="Z1229" s="378"/>
      <c r="AA1229" s="378"/>
      <c r="AB1229" s="378"/>
      <c r="AC1229" s="378"/>
      <c r="AD1229" s="378"/>
      <c r="AE1229" s="378"/>
      <c r="AF1229" s="378"/>
      <c r="AG1229" s="378"/>
      <c r="AH1229" s="378"/>
      <c r="AI1229" s="378"/>
      <c r="AJ1229" s="378"/>
      <c r="AK1229" s="378"/>
      <c r="AL1229" s="378"/>
      <c r="AM1229" s="378"/>
      <c r="AN1229" s="378"/>
      <c r="AO1229" s="378"/>
      <c r="AP1229" s="378"/>
      <c r="AQ1229" s="378"/>
      <c r="AR1229" s="378"/>
      <c r="AS1229" s="378"/>
      <c r="AT1229" s="378"/>
      <c r="AU1229" s="378"/>
    </row>
    <row r="1230" spans="1:47" x14ac:dyDescent="0.25">
      <c r="A1230" s="378"/>
      <c r="B1230" s="378"/>
      <c r="C1230" s="378"/>
      <c r="D1230" s="378"/>
      <c r="E1230" s="135"/>
      <c r="F1230" s="135"/>
      <c r="G1230" s="135"/>
      <c r="H1230" s="135"/>
      <c r="I1230" s="135"/>
      <c r="J1230" s="135"/>
      <c r="K1230" s="135"/>
      <c r="L1230" s="135"/>
      <c r="M1230" s="135"/>
      <c r="N1230" s="378"/>
      <c r="O1230" s="378"/>
      <c r="P1230" s="378"/>
      <c r="Q1230" s="378"/>
      <c r="R1230" s="378"/>
      <c r="S1230" s="378"/>
      <c r="T1230" s="378"/>
      <c r="U1230" s="378"/>
      <c r="V1230" s="378"/>
      <c r="W1230" s="378"/>
      <c r="X1230" s="378"/>
      <c r="Y1230" s="378"/>
      <c r="Z1230" s="378"/>
      <c r="AA1230" s="378"/>
      <c r="AB1230" s="378"/>
      <c r="AC1230" s="378"/>
      <c r="AD1230" s="378"/>
      <c r="AE1230" s="378"/>
      <c r="AF1230" s="378"/>
      <c r="AG1230" s="378"/>
      <c r="AH1230" s="378"/>
      <c r="AI1230" s="378"/>
      <c r="AJ1230" s="378"/>
      <c r="AK1230" s="378"/>
      <c r="AL1230" s="378"/>
      <c r="AM1230" s="378"/>
      <c r="AN1230" s="378"/>
      <c r="AO1230" s="378"/>
      <c r="AP1230" s="378"/>
      <c r="AQ1230" s="378"/>
      <c r="AR1230" s="378"/>
      <c r="AS1230" s="378"/>
      <c r="AT1230" s="378"/>
      <c r="AU1230" s="378"/>
    </row>
    <row r="1231" spans="1:47" hidden="1" x14ac:dyDescent="0.25">
      <c r="A1231" s="378"/>
      <c r="B1231" s="378"/>
      <c r="C1231" s="378"/>
      <c r="D1231" s="378"/>
      <c r="E1231" s="378"/>
      <c r="F1231" s="378"/>
      <c r="G1231" s="378"/>
      <c r="H1231" s="378"/>
      <c r="I1231" s="378"/>
      <c r="J1231" s="378"/>
      <c r="K1231" s="378"/>
      <c r="L1231" s="378"/>
      <c r="M1231" s="378"/>
      <c r="N1231" s="378"/>
      <c r="O1231" s="378"/>
      <c r="P1231" s="378"/>
      <c r="Q1231" s="378"/>
      <c r="R1231" s="378"/>
      <c r="S1231" s="378"/>
      <c r="T1231" s="378"/>
      <c r="U1231" s="378"/>
      <c r="V1231" s="378"/>
      <c r="W1231" s="378"/>
      <c r="X1231" s="378"/>
      <c r="Y1231" s="378"/>
      <c r="Z1231" s="378"/>
      <c r="AA1231" s="378"/>
      <c r="AB1231" s="378"/>
      <c r="AC1231" s="378"/>
      <c r="AD1231" s="378"/>
      <c r="AE1231" s="378"/>
      <c r="AF1231" s="378"/>
      <c r="AG1231" s="378"/>
      <c r="AH1231" s="378"/>
      <c r="AI1231" s="378"/>
      <c r="AJ1231" s="378"/>
      <c r="AK1231" s="378"/>
      <c r="AL1231" s="378"/>
      <c r="AM1231" s="378"/>
      <c r="AN1231" s="378"/>
      <c r="AO1231" s="378"/>
      <c r="AP1231" s="378"/>
      <c r="AQ1231" s="378"/>
      <c r="AR1231" s="378"/>
      <c r="AS1231" s="378"/>
      <c r="AT1231" s="378"/>
      <c r="AU1231" s="378"/>
    </row>
    <row r="1232" spans="1:47" ht="15" hidden="1" customHeight="1" x14ac:dyDescent="0.25">
      <c r="A1232" s="378"/>
      <c r="B1232" s="378"/>
      <c r="C1232" s="378"/>
      <c r="D1232" s="378"/>
      <c r="E1232" s="378"/>
      <c r="F1232" s="378"/>
      <c r="G1232" s="378"/>
      <c r="H1232" s="378"/>
      <c r="I1232" s="378"/>
      <c r="J1232" s="378"/>
      <c r="K1232" s="378"/>
      <c r="L1232" s="378"/>
      <c r="M1232" s="378"/>
      <c r="N1232" s="378"/>
      <c r="O1232" s="378"/>
      <c r="P1232" s="378"/>
      <c r="Q1232" s="378"/>
      <c r="R1232" s="378"/>
      <c r="S1232" s="378"/>
      <c r="T1232" s="378"/>
      <c r="U1232" s="378"/>
      <c r="V1232" s="378"/>
      <c r="W1232" s="378"/>
      <c r="X1232" s="378"/>
      <c r="Y1232" s="378"/>
      <c r="Z1232" s="378"/>
      <c r="AA1232" s="378"/>
      <c r="AB1232" s="378"/>
      <c r="AC1232" s="378"/>
      <c r="AD1232" s="378"/>
      <c r="AE1232" s="378"/>
      <c r="AF1232" s="378"/>
      <c r="AG1232" s="378"/>
      <c r="AH1232" s="378"/>
      <c r="AI1232" s="378"/>
      <c r="AJ1232" s="378"/>
      <c r="AK1232" s="378"/>
      <c r="AL1232" s="378"/>
      <c r="AM1232" s="378"/>
      <c r="AN1232" s="378"/>
      <c r="AO1232" s="378"/>
      <c r="AP1232" s="378"/>
      <c r="AQ1232" s="378"/>
      <c r="AR1232" s="378"/>
      <c r="AS1232" s="378"/>
      <c r="AT1232" s="378"/>
      <c r="AU1232" s="378"/>
    </row>
    <row r="1233" spans="1:47" hidden="1" x14ac:dyDescent="0.25">
      <c r="A1233" s="378"/>
      <c r="B1233" s="378"/>
      <c r="C1233" s="378"/>
      <c r="D1233" s="378"/>
      <c r="E1233" s="378"/>
      <c r="F1233" s="378"/>
      <c r="G1233" s="378"/>
      <c r="H1233" s="378"/>
      <c r="I1233" s="378"/>
      <c r="J1233" s="378"/>
      <c r="K1233" s="378"/>
      <c r="L1233" s="378"/>
      <c r="M1233" s="378"/>
      <c r="N1233" s="378"/>
      <c r="O1233" s="378"/>
      <c r="P1233" s="378"/>
      <c r="Q1233" s="378"/>
      <c r="R1233" s="378"/>
      <c r="S1233" s="378"/>
      <c r="T1233" s="378"/>
      <c r="U1233" s="378"/>
      <c r="V1233" s="378"/>
      <c r="W1233" s="378"/>
      <c r="X1233" s="378"/>
      <c r="Y1233" s="378"/>
      <c r="Z1233" s="378"/>
      <c r="AA1233" s="378"/>
      <c r="AB1233" s="378"/>
      <c r="AC1233" s="378"/>
      <c r="AD1233" s="378"/>
      <c r="AE1233" s="378"/>
      <c r="AF1233" s="378"/>
      <c r="AG1233" s="378"/>
      <c r="AH1233" s="378"/>
      <c r="AI1233" s="378"/>
      <c r="AJ1233" s="378"/>
      <c r="AK1233" s="378"/>
      <c r="AL1233" s="378"/>
      <c r="AM1233" s="378"/>
      <c r="AN1233" s="378"/>
      <c r="AO1233" s="378"/>
      <c r="AP1233" s="378"/>
      <c r="AQ1233" s="378"/>
      <c r="AR1233" s="378"/>
      <c r="AS1233" s="378"/>
      <c r="AT1233" s="378"/>
      <c r="AU1233" s="378"/>
    </row>
    <row r="1234" spans="1:47" hidden="1" x14ac:dyDescent="0.25">
      <c r="A1234" s="378"/>
      <c r="B1234" s="378"/>
      <c r="C1234" s="378"/>
      <c r="D1234" s="378"/>
      <c r="E1234" s="378"/>
      <c r="F1234" s="378"/>
      <c r="G1234" s="378"/>
      <c r="H1234" s="378"/>
      <c r="I1234" s="378"/>
      <c r="J1234" s="378"/>
      <c r="K1234" s="378"/>
      <c r="L1234" s="378"/>
      <c r="M1234" s="378"/>
      <c r="N1234" s="378"/>
      <c r="O1234" s="378"/>
      <c r="P1234" s="378"/>
      <c r="Q1234" s="378"/>
      <c r="R1234" s="378"/>
      <c r="S1234" s="378"/>
      <c r="T1234" s="378"/>
      <c r="U1234" s="378"/>
      <c r="V1234" s="378"/>
      <c r="W1234" s="378"/>
      <c r="X1234" s="378"/>
      <c r="Y1234" s="378"/>
      <c r="Z1234" s="378"/>
      <c r="AA1234" s="378"/>
      <c r="AB1234" s="378"/>
      <c r="AC1234" s="378"/>
      <c r="AD1234" s="378"/>
      <c r="AE1234" s="378"/>
      <c r="AF1234" s="378"/>
      <c r="AG1234" s="378"/>
      <c r="AH1234" s="378"/>
      <c r="AI1234" s="378"/>
      <c r="AJ1234" s="378"/>
      <c r="AK1234" s="378"/>
      <c r="AL1234" s="378"/>
      <c r="AM1234" s="378"/>
      <c r="AN1234" s="378"/>
      <c r="AO1234" s="378"/>
      <c r="AP1234" s="378"/>
      <c r="AQ1234" s="378"/>
      <c r="AR1234" s="378"/>
      <c r="AS1234" s="378"/>
      <c r="AT1234" s="378"/>
      <c r="AU1234" s="378"/>
    </row>
    <row r="1235" spans="1:47" hidden="1" x14ac:dyDescent="0.25">
      <c r="A1235" s="378"/>
      <c r="B1235" s="378"/>
      <c r="C1235" s="378"/>
      <c r="D1235" s="378"/>
      <c r="E1235" s="378"/>
      <c r="F1235" s="378"/>
      <c r="G1235" s="378"/>
      <c r="H1235" s="378"/>
      <c r="I1235" s="378"/>
      <c r="J1235" s="378"/>
      <c r="K1235" s="378"/>
      <c r="L1235" s="378"/>
      <c r="M1235" s="378"/>
      <c r="N1235" s="378"/>
      <c r="O1235" s="378"/>
      <c r="P1235" s="378"/>
      <c r="Q1235" s="378"/>
      <c r="R1235" s="378"/>
      <c r="S1235" s="378"/>
      <c r="T1235" s="378"/>
      <c r="U1235" s="378"/>
      <c r="V1235" s="378"/>
      <c r="W1235" s="378"/>
      <c r="X1235" s="378"/>
      <c r="Y1235" s="378"/>
      <c r="Z1235" s="378"/>
      <c r="AA1235" s="378"/>
      <c r="AB1235" s="378"/>
      <c r="AC1235" s="378"/>
      <c r="AD1235" s="378"/>
      <c r="AE1235" s="378"/>
      <c r="AF1235" s="378"/>
      <c r="AG1235" s="378"/>
      <c r="AH1235" s="378"/>
      <c r="AI1235" s="378"/>
      <c r="AJ1235" s="378"/>
      <c r="AK1235" s="378"/>
      <c r="AL1235" s="378"/>
      <c r="AM1235" s="378"/>
      <c r="AN1235" s="378"/>
      <c r="AO1235" s="378"/>
      <c r="AP1235" s="378"/>
      <c r="AQ1235" s="378"/>
      <c r="AR1235" s="378"/>
      <c r="AS1235" s="378"/>
      <c r="AT1235" s="378"/>
      <c r="AU1235" s="378"/>
    </row>
    <row r="1236" spans="1:47" hidden="1" x14ac:dyDescent="0.25">
      <c r="A1236" s="378"/>
      <c r="B1236" s="378"/>
      <c r="C1236" s="378"/>
      <c r="D1236" s="378"/>
      <c r="E1236" s="378"/>
      <c r="F1236" s="378"/>
      <c r="G1236" s="378"/>
      <c r="H1236" s="378"/>
      <c r="I1236" s="378"/>
      <c r="J1236" s="378"/>
      <c r="K1236" s="378"/>
      <c r="L1236" s="378"/>
      <c r="M1236" s="378"/>
      <c r="N1236" s="378"/>
      <c r="O1236" s="378"/>
      <c r="P1236" s="378"/>
      <c r="Q1236" s="378"/>
      <c r="R1236" s="378"/>
      <c r="S1236" s="378"/>
      <c r="T1236" s="378"/>
      <c r="U1236" s="378"/>
      <c r="V1236" s="378"/>
      <c r="W1236" s="378"/>
      <c r="X1236" s="378"/>
      <c r="Y1236" s="378"/>
      <c r="Z1236" s="378"/>
      <c r="AA1236" s="378"/>
      <c r="AB1236" s="378"/>
      <c r="AC1236" s="378"/>
      <c r="AD1236" s="378"/>
      <c r="AE1236" s="378"/>
      <c r="AF1236" s="378"/>
      <c r="AG1236" s="378"/>
      <c r="AH1236" s="378"/>
      <c r="AI1236" s="378"/>
      <c r="AJ1236" s="378"/>
      <c r="AK1236" s="378"/>
      <c r="AL1236" s="378"/>
      <c r="AM1236" s="378"/>
      <c r="AN1236" s="378"/>
      <c r="AO1236" s="378"/>
      <c r="AP1236" s="378"/>
      <c r="AQ1236" s="378"/>
      <c r="AR1236" s="378"/>
      <c r="AS1236" s="378"/>
      <c r="AT1236" s="378"/>
      <c r="AU1236" s="378"/>
    </row>
    <row r="1237" spans="1:47" hidden="1" x14ac:dyDescent="0.25">
      <c r="A1237" s="378"/>
      <c r="B1237" s="378"/>
      <c r="C1237" s="378"/>
      <c r="D1237" s="378"/>
      <c r="E1237" s="378"/>
      <c r="F1237" s="378"/>
      <c r="G1237" s="378"/>
      <c r="H1237" s="378"/>
      <c r="I1237" s="378"/>
      <c r="J1237" s="378"/>
      <c r="K1237" s="378"/>
      <c r="L1237" s="378"/>
      <c r="M1237" s="378"/>
      <c r="N1237" s="378"/>
      <c r="O1237" s="378"/>
      <c r="P1237" s="378"/>
      <c r="Q1237" s="378"/>
      <c r="R1237" s="378"/>
      <c r="S1237" s="378"/>
      <c r="T1237" s="378"/>
      <c r="U1237" s="378"/>
      <c r="V1237" s="378"/>
      <c r="W1237" s="378"/>
      <c r="X1237" s="378"/>
      <c r="Y1237" s="378"/>
      <c r="Z1237" s="378"/>
      <c r="AA1237" s="378"/>
      <c r="AB1237" s="378"/>
      <c r="AC1237" s="378"/>
      <c r="AD1237" s="378"/>
      <c r="AE1237" s="378"/>
      <c r="AF1237" s="378"/>
      <c r="AG1237" s="378"/>
      <c r="AH1237" s="378"/>
      <c r="AI1237" s="378"/>
      <c r="AJ1237" s="378"/>
      <c r="AK1237" s="378"/>
      <c r="AL1237" s="378"/>
      <c r="AM1237" s="378"/>
      <c r="AN1237" s="378"/>
      <c r="AO1237" s="378"/>
      <c r="AP1237" s="378"/>
      <c r="AQ1237" s="378"/>
      <c r="AR1237" s="378"/>
      <c r="AS1237" s="378"/>
      <c r="AT1237" s="378"/>
      <c r="AU1237" s="378"/>
    </row>
    <row r="1238" spans="1:47" hidden="1" x14ac:dyDescent="0.25">
      <c r="A1238" s="378"/>
      <c r="B1238" s="378"/>
      <c r="C1238" s="378"/>
      <c r="D1238" s="378"/>
      <c r="E1238" s="378"/>
      <c r="F1238" s="378"/>
      <c r="G1238" s="378"/>
      <c r="H1238" s="378"/>
      <c r="I1238" s="378"/>
      <c r="J1238" s="378"/>
      <c r="K1238" s="378"/>
      <c r="L1238" s="378"/>
      <c r="M1238" s="378"/>
      <c r="N1238" s="378"/>
      <c r="O1238" s="378"/>
      <c r="P1238" s="378"/>
      <c r="Q1238" s="378"/>
      <c r="R1238" s="378"/>
      <c r="S1238" s="378"/>
      <c r="T1238" s="378"/>
      <c r="U1238" s="378"/>
      <c r="V1238" s="378"/>
      <c r="W1238" s="378"/>
      <c r="X1238" s="378"/>
      <c r="Y1238" s="378"/>
      <c r="Z1238" s="378"/>
      <c r="AA1238" s="378"/>
      <c r="AB1238" s="378"/>
      <c r="AC1238" s="378"/>
      <c r="AD1238" s="378"/>
      <c r="AE1238" s="378"/>
      <c r="AF1238" s="378"/>
      <c r="AG1238" s="378"/>
      <c r="AH1238" s="378"/>
      <c r="AI1238" s="378"/>
      <c r="AJ1238" s="378"/>
      <c r="AK1238" s="378"/>
      <c r="AL1238" s="378"/>
      <c r="AM1238" s="378"/>
      <c r="AN1238" s="378"/>
      <c r="AO1238" s="378"/>
      <c r="AP1238" s="378"/>
      <c r="AQ1238" s="378"/>
      <c r="AR1238" s="378"/>
      <c r="AS1238" s="378"/>
      <c r="AT1238" s="378"/>
      <c r="AU1238" s="378"/>
    </row>
    <row r="1239" spans="1:47" hidden="1" x14ac:dyDescent="0.25">
      <c r="A1239" s="378"/>
      <c r="B1239" s="378"/>
      <c r="C1239" s="378"/>
      <c r="D1239" s="378"/>
      <c r="E1239" s="378"/>
      <c r="F1239" s="378"/>
      <c r="G1239" s="378"/>
      <c r="H1239" s="378"/>
      <c r="I1239" s="378"/>
      <c r="J1239" s="378"/>
      <c r="K1239" s="378"/>
      <c r="L1239" s="378"/>
      <c r="M1239" s="378"/>
      <c r="N1239" s="378"/>
      <c r="O1239" s="378"/>
      <c r="P1239" s="378"/>
      <c r="Q1239" s="378"/>
      <c r="R1239" s="378"/>
      <c r="S1239" s="378"/>
      <c r="T1239" s="378"/>
      <c r="U1239" s="378"/>
      <c r="V1239" s="378"/>
      <c r="W1239" s="378"/>
      <c r="X1239" s="378"/>
      <c r="Y1239" s="378"/>
      <c r="Z1239" s="378"/>
      <c r="AA1239" s="378"/>
      <c r="AB1239" s="378"/>
      <c r="AC1239" s="378"/>
      <c r="AD1239" s="378"/>
      <c r="AE1239" s="378"/>
      <c r="AF1239" s="378"/>
      <c r="AG1239" s="378"/>
      <c r="AH1239" s="378"/>
      <c r="AI1239" s="378"/>
      <c r="AJ1239" s="378"/>
      <c r="AK1239" s="378"/>
      <c r="AL1239" s="378"/>
      <c r="AM1239" s="378"/>
      <c r="AN1239" s="378"/>
      <c r="AO1239" s="378"/>
      <c r="AP1239" s="378"/>
      <c r="AQ1239" s="378"/>
      <c r="AR1239" s="378"/>
      <c r="AS1239" s="378"/>
      <c r="AT1239" s="378"/>
      <c r="AU1239" s="378"/>
    </row>
    <row r="1240" spans="1:47" hidden="1" x14ac:dyDescent="0.25">
      <c r="A1240" s="378"/>
      <c r="B1240" s="378"/>
      <c r="C1240" s="378"/>
      <c r="D1240" s="378"/>
      <c r="E1240" s="378"/>
      <c r="F1240" s="378"/>
      <c r="G1240" s="378"/>
      <c r="H1240" s="378"/>
      <c r="I1240" s="378"/>
      <c r="J1240" s="378"/>
      <c r="K1240" s="378"/>
      <c r="L1240" s="378"/>
      <c r="M1240" s="378"/>
      <c r="N1240" s="378"/>
      <c r="O1240" s="378"/>
      <c r="P1240" s="378"/>
      <c r="Q1240" s="378"/>
      <c r="R1240" s="378"/>
      <c r="S1240" s="378"/>
      <c r="T1240" s="378"/>
      <c r="U1240" s="378"/>
      <c r="V1240" s="378"/>
      <c r="W1240" s="378"/>
      <c r="X1240" s="378"/>
      <c r="Y1240" s="378"/>
      <c r="Z1240" s="378"/>
      <c r="AA1240" s="378"/>
      <c r="AB1240" s="378"/>
      <c r="AC1240" s="378"/>
      <c r="AD1240" s="378"/>
      <c r="AE1240" s="378"/>
      <c r="AF1240" s="378"/>
      <c r="AG1240" s="378"/>
      <c r="AH1240" s="378"/>
      <c r="AI1240" s="378"/>
      <c r="AJ1240" s="378"/>
      <c r="AK1240" s="378"/>
      <c r="AL1240" s="378"/>
      <c r="AM1240" s="378"/>
      <c r="AN1240" s="378"/>
      <c r="AO1240" s="378"/>
      <c r="AP1240" s="378"/>
      <c r="AQ1240" s="378"/>
      <c r="AR1240" s="378"/>
      <c r="AS1240" s="378"/>
      <c r="AT1240" s="378"/>
      <c r="AU1240" s="378"/>
    </row>
    <row r="1241" spans="1:47" hidden="1" x14ac:dyDescent="0.25">
      <c r="A1241" s="378"/>
      <c r="B1241" s="378"/>
      <c r="C1241" s="378"/>
      <c r="D1241" s="378"/>
      <c r="E1241" s="378"/>
      <c r="F1241" s="378"/>
      <c r="G1241" s="378"/>
      <c r="H1241" s="378"/>
      <c r="I1241" s="378"/>
      <c r="J1241" s="378"/>
      <c r="K1241" s="378"/>
      <c r="L1241" s="378"/>
      <c r="M1241" s="378"/>
      <c r="N1241" s="378"/>
      <c r="O1241" s="378"/>
      <c r="P1241" s="378"/>
      <c r="Q1241" s="378"/>
      <c r="R1241" s="378"/>
      <c r="S1241" s="378"/>
      <c r="T1241" s="378"/>
      <c r="U1241" s="378"/>
      <c r="V1241" s="378"/>
      <c r="W1241" s="378"/>
      <c r="X1241" s="378"/>
      <c r="Y1241" s="378"/>
      <c r="Z1241" s="378"/>
      <c r="AA1241" s="378"/>
      <c r="AB1241" s="378"/>
      <c r="AC1241" s="378"/>
      <c r="AD1241" s="378"/>
      <c r="AE1241" s="378"/>
      <c r="AF1241" s="378"/>
      <c r="AG1241" s="378"/>
      <c r="AH1241" s="378"/>
      <c r="AI1241" s="378"/>
      <c r="AJ1241" s="378"/>
      <c r="AK1241" s="378"/>
      <c r="AL1241" s="378"/>
      <c r="AM1241" s="378"/>
      <c r="AN1241" s="378"/>
      <c r="AO1241" s="378"/>
      <c r="AP1241" s="378"/>
      <c r="AQ1241" s="378"/>
      <c r="AR1241" s="378"/>
      <c r="AS1241" s="378"/>
      <c r="AT1241" s="378"/>
      <c r="AU1241" s="378"/>
    </row>
    <row r="1242" spans="1:47" hidden="1" x14ac:dyDescent="0.25">
      <c r="A1242" s="378"/>
      <c r="B1242" s="378"/>
      <c r="C1242" s="378"/>
      <c r="D1242" s="378"/>
      <c r="E1242" s="378"/>
      <c r="F1242" s="378"/>
      <c r="G1242" s="378"/>
      <c r="H1242" s="378"/>
      <c r="I1242" s="378"/>
      <c r="J1242" s="378"/>
      <c r="K1242" s="378"/>
      <c r="L1242" s="378"/>
      <c r="M1242" s="378"/>
      <c r="N1242" s="378"/>
      <c r="O1242" s="378"/>
      <c r="P1242" s="378"/>
      <c r="Q1242" s="378"/>
      <c r="R1242" s="378"/>
      <c r="S1242" s="378"/>
      <c r="T1242" s="378"/>
      <c r="U1242" s="378"/>
      <c r="V1242" s="378"/>
      <c r="W1242" s="378"/>
      <c r="X1242" s="378"/>
      <c r="Y1242" s="378"/>
      <c r="Z1242" s="378"/>
      <c r="AA1242" s="378"/>
      <c r="AB1242" s="378"/>
      <c r="AC1242" s="378"/>
      <c r="AD1242" s="378"/>
      <c r="AE1242" s="378"/>
      <c r="AF1242" s="378"/>
      <c r="AG1242" s="378"/>
      <c r="AH1242" s="378"/>
      <c r="AI1242" s="378"/>
      <c r="AJ1242" s="378"/>
      <c r="AK1242" s="378"/>
      <c r="AL1242" s="378"/>
      <c r="AM1242" s="378"/>
      <c r="AN1242" s="378"/>
      <c r="AO1242" s="378"/>
      <c r="AP1242" s="378"/>
      <c r="AQ1242" s="378"/>
      <c r="AR1242" s="378"/>
      <c r="AS1242" s="378"/>
      <c r="AT1242" s="378"/>
      <c r="AU1242" s="378"/>
    </row>
    <row r="1243" spans="1:47" hidden="1" x14ac:dyDescent="0.25">
      <c r="A1243" s="378"/>
      <c r="B1243" s="378"/>
      <c r="C1243" s="378"/>
      <c r="D1243" s="378"/>
      <c r="E1243" s="378"/>
      <c r="F1243" s="378"/>
      <c r="G1243" s="378"/>
      <c r="H1243" s="378"/>
      <c r="I1243" s="378"/>
      <c r="J1243" s="378"/>
      <c r="K1243" s="378"/>
      <c r="L1243" s="378"/>
      <c r="M1243" s="378"/>
      <c r="N1243" s="378"/>
      <c r="O1243" s="378"/>
      <c r="P1243" s="378"/>
      <c r="Q1243" s="378"/>
      <c r="R1243" s="378"/>
      <c r="S1243" s="378"/>
      <c r="T1243" s="378"/>
      <c r="U1243" s="378"/>
      <c r="V1243" s="378"/>
      <c r="W1243" s="378"/>
      <c r="X1243" s="378"/>
      <c r="Y1243" s="378"/>
      <c r="Z1243" s="378"/>
      <c r="AA1243" s="378"/>
      <c r="AB1243" s="378"/>
      <c r="AC1243" s="378"/>
      <c r="AD1243" s="378"/>
      <c r="AE1243" s="378"/>
      <c r="AF1243" s="378"/>
      <c r="AG1243" s="378"/>
      <c r="AH1243" s="378"/>
      <c r="AI1243" s="378"/>
      <c r="AJ1243" s="378"/>
      <c r="AK1243" s="378"/>
      <c r="AL1243" s="378"/>
      <c r="AM1243" s="378"/>
      <c r="AN1243" s="378"/>
      <c r="AO1243" s="378"/>
      <c r="AP1243" s="378"/>
      <c r="AQ1243" s="378"/>
      <c r="AR1243" s="378"/>
      <c r="AS1243" s="378"/>
      <c r="AT1243" s="378"/>
      <c r="AU1243" s="378"/>
    </row>
    <row r="1244" spans="1:47" hidden="1" x14ac:dyDescent="0.25">
      <c r="A1244" s="378"/>
      <c r="B1244" s="378"/>
      <c r="C1244" s="378"/>
      <c r="D1244" s="378"/>
      <c r="E1244" s="378"/>
      <c r="F1244" s="378"/>
      <c r="G1244" s="378"/>
      <c r="H1244" s="378"/>
      <c r="I1244" s="378"/>
      <c r="J1244" s="378"/>
      <c r="K1244" s="378"/>
      <c r="L1244" s="378"/>
      <c r="M1244" s="378"/>
      <c r="N1244" s="378"/>
      <c r="O1244" s="378"/>
      <c r="P1244" s="378"/>
      <c r="Q1244" s="378"/>
      <c r="R1244" s="378"/>
      <c r="S1244" s="378"/>
      <c r="T1244" s="378"/>
      <c r="U1244" s="378"/>
      <c r="V1244" s="378"/>
      <c r="W1244" s="378"/>
      <c r="X1244" s="378"/>
      <c r="Y1244" s="378"/>
      <c r="Z1244" s="378"/>
      <c r="AA1244" s="378"/>
      <c r="AB1244" s="378"/>
      <c r="AC1244" s="378"/>
      <c r="AD1244" s="378"/>
      <c r="AE1244" s="378"/>
      <c r="AF1244" s="378"/>
      <c r="AG1244" s="378"/>
      <c r="AH1244" s="378"/>
      <c r="AI1244" s="378"/>
      <c r="AJ1244" s="378"/>
      <c r="AK1244" s="378"/>
      <c r="AL1244" s="378"/>
      <c r="AM1244" s="378"/>
      <c r="AN1244" s="378"/>
      <c r="AO1244" s="378"/>
      <c r="AP1244" s="378"/>
      <c r="AQ1244" s="378"/>
      <c r="AR1244" s="378"/>
      <c r="AS1244" s="378"/>
      <c r="AT1244" s="378"/>
      <c r="AU1244" s="378"/>
    </row>
    <row r="1245" spans="1:47" hidden="1" x14ac:dyDescent="0.25">
      <c r="A1245" s="378"/>
      <c r="B1245" s="378"/>
      <c r="C1245" s="378"/>
      <c r="D1245" s="378"/>
      <c r="E1245" s="378"/>
      <c r="F1245" s="378"/>
      <c r="G1245" s="378"/>
      <c r="H1245" s="378"/>
      <c r="I1245" s="378"/>
      <c r="J1245" s="378"/>
      <c r="K1245" s="378"/>
      <c r="L1245" s="378"/>
      <c r="M1245" s="378"/>
      <c r="N1245" s="378"/>
      <c r="O1245" s="378"/>
      <c r="P1245" s="378"/>
      <c r="Q1245" s="378"/>
      <c r="R1245" s="378"/>
      <c r="S1245" s="378"/>
      <c r="T1245" s="378"/>
      <c r="U1245" s="378"/>
      <c r="V1245" s="378"/>
      <c r="W1245" s="378"/>
      <c r="X1245" s="378"/>
      <c r="Y1245" s="378"/>
      <c r="Z1245" s="378"/>
      <c r="AA1245" s="378"/>
      <c r="AB1245" s="378"/>
      <c r="AC1245" s="378"/>
      <c r="AD1245" s="378"/>
      <c r="AE1245" s="378"/>
      <c r="AF1245" s="378"/>
      <c r="AG1245" s="378"/>
      <c r="AH1245" s="378"/>
      <c r="AI1245" s="378"/>
      <c r="AJ1245" s="378"/>
      <c r="AK1245" s="378"/>
      <c r="AL1245" s="378"/>
      <c r="AM1245" s="378"/>
      <c r="AN1245" s="378"/>
      <c r="AO1245" s="378"/>
      <c r="AP1245" s="378"/>
      <c r="AQ1245" s="378"/>
      <c r="AR1245" s="378"/>
      <c r="AS1245" s="378"/>
      <c r="AT1245" s="378"/>
      <c r="AU1245" s="378"/>
    </row>
    <row r="1246" spans="1:47" hidden="1" x14ac:dyDescent="0.25">
      <c r="A1246" s="378"/>
      <c r="B1246" s="378"/>
      <c r="C1246" s="378"/>
      <c r="D1246" s="378"/>
      <c r="E1246" s="378"/>
      <c r="F1246" s="378"/>
      <c r="G1246" s="378"/>
      <c r="H1246" s="378"/>
      <c r="I1246" s="378"/>
      <c r="J1246" s="378"/>
      <c r="K1246" s="378"/>
      <c r="L1246" s="378"/>
      <c r="M1246" s="378"/>
      <c r="N1246" s="378"/>
      <c r="O1246" s="378"/>
      <c r="P1246" s="378"/>
      <c r="Q1246" s="378"/>
      <c r="R1246" s="378"/>
      <c r="S1246" s="378"/>
      <c r="T1246" s="378"/>
      <c r="U1246" s="378"/>
      <c r="V1246" s="378"/>
      <c r="W1246" s="378"/>
      <c r="X1246" s="378"/>
      <c r="Y1246" s="378"/>
      <c r="Z1246" s="378"/>
      <c r="AA1246" s="378"/>
      <c r="AB1246" s="378"/>
      <c r="AC1246" s="378"/>
      <c r="AD1246" s="378"/>
      <c r="AE1246" s="378"/>
      <c r="AF1246" s="378"/>
      <c r="AG1246" s="378"/>
      <c r="AH1246" s="378"/>
      <c r="AI1246" s="378"/>
      <c r="AJ1246" s="378"/>
      <c r="AK1246" s="378"/>
      <c r="AL1246" s="378"/>
      <c r="AM1246" s="378"/>
      <c r="AN1246" s="378"/>
      <c r="AO1246" s="378"/>
      <c r="AP1246" s="378"/>
      <c r="AQ1246" s="378"/>
      <c r="AR1246" s="378"/>
      <c r="AS1246" s="378"/>
      <c r="AT1246" s="378"/>
      <c r="AU1246" s="378"/>
    </row>
    <row r="1247" spans="1:47" hidden="1" x14ac:dyDescent="0.25">
      <c r="A1247" s="378"/>
      <c r="B1247" s="378"/>
      <c r="C1247" s="378"/>
      <c r="D1247" s="378"/>
      <c r="E1247" s="378"/>
      <c r="F1247" s="378"/>
      <c r="G1247" s="378"/>
      <c r="H1247" s="378"/>
      <c r="I1247" s="378"/>
      <c r="J1247" s="378"/>
      <c r="K1247" s="378"/>
      <c r="L1247" s="378"/>
      <c r="M1247" s="378"/>
      <c r="N1247" s="378"/>
      <c r="O1247" s="378"/>
      <c r="P1247" s="378"/>
      <c r="Q1247" s="378"/>
      <c r="R1247" s="378"/>
      <c r="S1247" s="378"/>
      <c r="T1247" s="378"/>
      <c r="U1247" s="378"/>
      <c r="V1247" s="378"/>
      <c r="W1247" s="378"/>
      <c r="X1247" s="378"/>
      <c r="Y1247" s="378"/>
      <c r="Z1247" s="378"/>
      <c r="AA1247" s="378"/>
      <c r="AB1247" s="378"/>
      <c r="AC1247" s="378"/>
      <c r="AD1247" s="378"/>
      <c r="AE1247" s="378"/>
      <c r="AF1247" s="378"/>
      <c r="AG1247" s="378"/>
      <c r="AH1247" s="378"/>
      <c r="AI1247" s="378"/>
      <c r="AJ1247" s="378"/>
      <c r="AK1247" s="378"/>
      <c r="AL1247" s="378"/>
      <c r="AM1247" s="378"/>
      <c r="AN1247" s="378"/>
      <c r="AO1247" s="378"/>
      <c r="AP1247" s="378"/>
      <c r="AQ1247" s="378"/>
      <c r="AR1247" s="378"/>
      <c r="AS1247" s="378"/>
      <c r="AT1247" s="378"/>
      <c r="AU1247" s="378"/>
    </row>
    <row r="1248" spans="1:47" hidden="1" x14ac:dyDescent="0.25">
      <c r="A1248" s="378"/>
      <c r="B1248" s="378"/>
      <c r="C1248" s="378"/>
      <c r="D1248" s="378"/>
      <c r="E1248" s="378"/>
      <c r="F1248" s="378"/>
      <c r="G1248" s="378"/>
      <c r="H1248" s="378"/>
      <c r="I1248" s="378"/>
      <c r="J1248" s="378"/>
      <c r="K1248" s="378"/>
      <c r="L1248" s="378"/>
      <c r="M1248" s="378"/>
      <c r="N1248" s="378"/>
      <c r="O1248" s="378"/>
      <c r="P1248" s="378"/>
      <c r="Q1248" s="378"/>
      <c r="R1248" s="378"/>
      <c r="S1248" s="378"/>
      <c r="T1248" s="378"/>
      <c r="U1248" s="378"/>
      <c r="V1248" s="378"/>
      <c r="W1248" s="378"/>
      <c r="X1248" s="378"/>
      <c r="Y1248" s="378"/>
      <c r="Z1248" s="378"/>
      <c r="AA1248" s="378"/>
      <c r="AB1248" s="378"/>
      <c r="AC1248" s="378"/>
      <c r="AD1248" s="378"/>
      <c r="AE1248" s="378"/>
      <c r="AF1248" s="378"/>
      <c r="AG1248" s="378"/>
      <c r="AH1248" s="378"/>
      <c r="AI1248" s="378"/>
      <c r="AJ1248" s="378"/>
      <c r="AK1248" s="378"/>
      <c r="AL1248" s="378"/>
      <c r="AM1248" s="378"/>
      <c r="AN1248" s="378"/>
      <c r="AO1248" s="378"/>
      <c r="AP1248" s="378"/>
      <c r="AQ1248" s="378"/>
      <c r="AR1248" s="378"/>
      <c r="AS1248" s="378"/>
      <c r="AT1248" s="378"/>
      <c r="AU1248" s="378"/>
    </row>
    <row r="1249" spans="1:47" hidden="1" x14ac:dyDescent="0.25">
      <c r="A1249" s="378"/>
      <c r="B1249" s="378"/>
      <c r="C1249" s="378"/>
      <c r="D1249" s="378"/>
      <c r="E1249" s="378"/>
      <c r="F1249" s="378"/>
      <c r="G1249" s="378"/>
      <c r="H1249" s="378"/>
      <c r="I1249" s="378"/>
      <c r="J1249" s="378"/>
      <c r="K1249" s="378"/>
      <c r="L1249" s="378"/>
      <c r="M1249" s="378"/>
      <c r="N1249" s="378"/>
      <c r="O1249" s="378"/>
      <c r="P1249" s="378"/>
      <c r="Q1249" s="378"/>
      <c r="R1249" s="378"/>
      <c r="S1249" s="378"/>
      <c r="T1249" s="378"/>
      <c r="U1249" s="378"/>
      <c r="V1249" s="378"/>
      <c r="W1249" s="378"/>
      <c r="X1249" s="378"/>
      <c r="Y1249" s="378"/>
      <c r="Z1249" s="378"/>
      <c r="AA1249" s="378"/>
      <c r="AB1249" s="378"/>
      <c r="AC1249" s="378"/>
      <c r="AD1249" s="378"/>
      <c r="AE1249" s="378"/>
      <c r="AF1249" s="378"/>
      <c r="AG1249" s="378"/>
      <c r="AH1249" s="378"/>
      <c r="AI1249" s="378"/>
      <c r="AJ1249" s="378"/>
      <c r="AK1249" s="378"/>
      <c r="AL1249" s="378"/>
      <c r="AM1249" s="378"/>
      <c r="AN1249" s="378"/>
      <c r="AO1249" s="378"/>
      <c r="AP1249" s="378"/>
      <c r="AQ1249" s="378"/>
      <c r="AR1249" s="378"/>
      <c r="AS1249" s="378"/>
      <c r="AT1249" s="378"/>
      <c r="AU1249" s="378"/>
    </row>
    <row r="1250" spans="1:47" hidden="1" x14ac:dyDescent="0.25">
      <c r="A1250" s="378"/>
      <c r="B1250" s="378"/>
      <c r="C1250" s="378"/>
      <c r="D1250" s="378"/>
      <c r="E1250" s="378"/>
      <c r="F1250" s="378"/>
      <c r="G1250" s="378"/>
      <c r="H1250" s="378"/>
      <c r="I1250" s="378"/>
      <c r="J1250" s="378"/>
      <c r="K1250" s="378"/>
      <c r="L1250" s="378"/>
      <c r="M1250" s="378"/>
      <c r="N1250" s="378"/>
      <c r="O1250" s="378"/>
      <c r="P1250" s="378"/>
      <c r="Q1250" s="378"/>
      <c r="R1250" s="378"/>
      <c r="S1250" s="378"/>
      <c r="T1250" s="378"/>
      <c r="U1250" s="378"/>
      <c r="V1250" s="378"/>
      <c r="W1250" s="378"/>
      <c r="X1250" s="378"/>
      <c r="Y1250" s="378"/>
      <c r="Z1250" s="378"/>
      <c r="AA1250" s="378"/>
      <c r="AB1250" s="378"/>
      <c r="AC1250" s="378"/>
      <c r="AD1250" s="378"/>
      <c r="AE1250" s="378"/>
      <c r="AF1250" s="378"/>
      <c r="AG1250" s="378"/>
      <c r="AH1250" s="378"/>
      <c r="AI1250" s="378"/>
      <c r="AJ1250" s="378"/>
      <c r="AK1250" s="378"/>
      <c r="AL1250" s="378"/>
      <c r="AM1250" s="378"/>
      <c r="AN1250" s="378"/>
      <c r="AO1250" s="378"/>
      <c r="AP1250" s="378"/>
      <c r="AQ1250" s="378"/>
      <c r="AR1250" s="378"/>
      <c r="AS1250" s="378"/>
      <c r="AT1250" s="378"/>
      <c r="AU1250" s="378"/>
    </row>
    <row r="1251" spans="1:47" hidden="1" x14ac:dyDescent="0.25">
      <c r="A1251" s="378"/>
      <c r="B1251" s="378"/>
      <c r="C1251" s="378"/>
      <c r="D1251" s="378"/>
      <c r="E1251" s="378"/>
      <c r="F1251" s="378"/>
      <c r="G1251" s="378"/>
      <c r="H1251" s="378"/>
      <c r="I1251" s="378"/>
      <c r="J1251" s="378"/>
      <c r="K1251" s="378"/>
      <c r="L1251" s="378"/>
      <c r="M1251" s="378"/>
      <c r="N1251" s="378"/>
      <c r="O1251" s="378"/>
      <c r="P1251" s="378"/>
      <c r="Q1251" s="378"/>
      <c r="R1251" s="378"/>
      <c r="S1251" s="378"/>
      <c r="T1251" s="378"/>
      <c r="U1251" s="378"/>
      <c r="V1251" s="378"/>
      <c r="W1251" s="378"/>
      <c r="X1251" s="378"/>
      <c r="Y1251" s="378"/>
      <c r="Z1251" s="378"/>
      <c r="AA1251" s="378"/>
      <c r="AB1251" s="378"/>
      <c r="AC1251" s="378"/>
      <c r="AD1251" s="378"/>
      <c r="AE1251" s="378"/>
      <c r="AF1251" s="378"/>
      <c r="AG1251" s="378"/>
      <c r="AH1251" s="378"/>
      <c r="AI1251" s="378"/>
      <c r="AJ1251" s="378"/>
      <c r="AK1251" s="378"/>
      <c r="AL1251" s="378"/>
      <c r="AM1251" s="378"/>
      <c r="AN1251" s="378"/>
      <c r="AO1251" s="378"/>
      <c r="AP1251" s="378"/>
      <c r="AQ1251" s="378"/>
      <c r="AR1251" s="378"/>
      <c r="AS1251" s="378"/>
      <c r="AT1251" s="378"/>
      <c r="AU1251" s="378"/>
    </row>
    <row r="1252" spans="1:47" hidden="1" x14ac:dyDescent="0.25">
      <c r="A1252" s="378"/>
      <c r="B1252" s="378"/>
      <c r="C1252" s="378"/>
      <c r="D1252" s="378"/>
      <c r="E1252" s="378"/>
      <c r="F1252" s="378"/>
      <c r="G1252" s="378"/>
      <c r="H1252" s="378"/>
      <c r="I1252" s="378"/>
      <c r="J1252" s="378"/>
      <c r="K1252" s="378"/>
      <c r="L1252" s="378"/>
      <c r="M1252" s="378"/>
      <c r="N1252" s="378"/>
      <c r="O1252" s="378"/>
      <c r="P1252" s="378"/>
      <c r="Q1252" s="378"/>
      <c r="R1252" s="378"/>
      <c r="S1252" s="378"/>
      <c r="T1252" s="378"/>
      <c r="U1252" s="378"/>
      <c r="V1252" s="378"/>
      <c r="W1252" s="378"/>
      <c r="X1252" s="378"/>
      <c r="Y1252" s="378"/>
      <c r="Z1252" s="378"/>
      <c r="AA1252" s="378"/>
      <c r="AB1252" s="378"/>
      <c r="AC1252" s="378"/>
      <c r="AD1252" s="378"/>
      <c r="AE1252" s="378"/>
      <c r="AF1252" s="378"/>
      <c r="AG1252" s="378"/>
      <c r="AH1252" s="378"/>
      <c r="AI1252" s="378"/>
      <c r="AJ1252" s="378"/>
      <c r="AK1252" s="378"/>
      <c r="AL1252" s="378"/>
      <c r="AM1252" s="378"/>
      <c r="AN1252" s="378"/>
      <c r="AO1252" s="378"/>
      <c r="AP1252" s="378"/>
      <c r="AQ1252" s="378"/>
      <c r="AR1252" s="378"/>
      <c r="AS1252" s="378"/>
      <c r="AT1252" s="378"/>
      <c r="AU1252" s="378"/>
    </row>
    <row r="1253" spans="1:47" hidden="1" x14ac:dyDescent="0.25">
      <c r="A1253" s="378"/>
      <c r="B1253" s="378"/>
      <c r="C1253" s="378"/>
      <c r="D1253" s="378"/>
      <c r="E1253" s="378"/>
      <c r="F1253" s="378"/>
      <c r="G1253" s="378"/>
      <c r="H1253" s="378"/>
      <c r="I1253" s="378"/>
      <c r="J1253" s="378"/>
      <c r="K1253" s="378"/>
      <c r="L1253" s="378"/>
      <c r="M1253" s="378"/>
      <c r="N1253" s="378"/>
      <c r="O1253" s="378"/>
      <c r="P1253" s="378"/>
      <c r="Q1253" s="378"/>
      <c r="R1253" s="378"/>
      <c r="S1253" s="378"/>
      <c r="T1253" s="378"/>
      <c r="U1253" s="378"/>
      <c r="V1253" s="378"/>
      <c r="W1253" s="378"/>
      <c r="X1253" s="378"/>
      <c r="Y1253" s="378"/>
      <c r="Z1253" s="378"/>
      <c r="AA1253" s="378"/>
      <c r="AB1253" s="378"/>
      <c r="AC1253" s="378"/>
      <c r="AD1253" s="378"/>
      <c r="AE1253" s="378"/>
      <c r="AF1253" s="378"/>
      <c r="AG1253" s="378"/>
      <c r="AH1253" s="378"/>
      <c r="AI1253" s="378"/>
      <c r="AJ1253" s="378"/>
      <c r="AK1253" s="378"/>
      <c r="AL1253" s="378"/>
      <c r="AM1253" s="378"/>
      <c r="AN1253" s="378"/>
      <c r="AO1253" s="378"/>
      <c r="AP1253" s="378"/>
      <c r="AQ1253" s="378"/>
      <c r="AR1253" s="378"/>
      <c r="AS1253" s="378"/>
      <c r="AT1253" s="378"/>
      <c r="AU1253" s="378"/>
    </row>
    <row r="1254" spans="1:47" hidden="1" x14ac:dyDescent="0.25">
      <c r="A1254" s="378"/>
      <c r="B1254" s="378"/>
      <c r="C1254" s="378"/>
      <c r="D1254" s="378"/>
      <c r="E1254" s="378"/>
      <c r="F1254" s="378"/>
      <c r="G1254" s="378"/>
      <c r="H1254" s="378"/>
      <c r="I1254" s="378"/>
      <c r="J1254" s="378"/>
      <c r="K1254" s="378"/>
      <c r="L1254" s="378"/>
      <c r="M1254" s="378"/>
      <c r="N1254" s="378"/>
      <c r="O1254" s="378"/>
      <c r="P1254" s="378"/>
      <c r="Q1254" s="378"/>
      <c r="R1254" s="378"/>
      <c r="S1254" s="378"/>
      <c r="T1254" s="378"/>
      <c r="U1254" s="378"/>
      <c r="V1254" s="378"/>
      <c r="W1254" s="378"/>
      <c r="X1254" s="378"/>
      <c r="Y1254" s="378"/>
      <c r="Z1254" s="378"/>
      <c r="AA1254" s="378"/>
      <c r="AB1254" s="378"/>
      <c r="AC1254" s="378"/>
      <c r="AD1254" s="378"/>
      <c r="AE1254" s="378"/>
      <c r="AF1254" s="378"/>
      <c r="AG1254" s="378"/>
      <c r="AH1254" s="378"/>
      <c r="AI1254" s="378"/>
      <c r="AJ1254" s="378"/>
      <c r="AK1254" s="378"/>
      <c r="AL1254" s="378"/>
      <c r="AM1254" s="378"/>
      <c r="AN1254" s="378"/>
      <c r="AO1254" s="378"/>
      <c r="AP1254" s="378"/>
      <c r="AQ1254" s="378"/>
      <c r="AR1254" s="378"/>
      <c r="AS1254" s="378"/>
      <c r="AT1254" s="378"/>
      <c r="AU1254" s="378"/>
    </row>
    <row r="1255" spans="1:47" hidden="1" x14ac:dyDescent="0.25">
      <c r="A1255" s="378"/>
      <c r="B1255" s="378"/>
      <c r="C1255" s="378"/>
      <c r="D1255" s="378"/>
      <c r="E1255" s="378"/>
      <c r="F1255" s="378"/>
      <c r="G1255" s="378"/>
      <c r="H1255" s="378"/>
      <c r="I1255" s="378"/>
      <c r="J1255" s="378"/>
      <c r="K1255" s="378"/>
      <c r="L1255" s="378"/>
      <c r="M1255" s="378"/>
      <c r="N1255" s="378"/>
      <c r="O1255" s="378"/>
      <c r="P1255" s="378"/>
      <c r="Q1255" s="378"/>
      <c r="R1255" s="378"/>
      <c r="S1255" s="378"/>
      <c r="T1255" s="378"/>
      <c r="U1255" s="378"/>
      <c r="V1255" s="378"/>
      <c r="W1255" s="378"/>
      <c r="X1255" s="378"/>
      <c r="Y1255" s="378"/>
      <c r="Z1255" s="378"/>
      <c r="AA1255" s="378"/>
      <c r="AB1255" s="378"/>
      <c r="AC1255" s="378"/>
      <c r="AD1255" s="378"/>
      <c r="AE1255" s="378"/>
      <c r="AF1255" s="378"/>
      <c r="AG1255" s="378"/>
      <c r="AH1255" s="378"/>
      <c r="AI1255" s="378"/>
      <c r="AJ1255" s="378"/>
      <c r="AK1255" s="378"/>
      <c r="AL1255" s="378"/>
      <c r="AM1255" s="378"/>
      <c r="AN1255" s="378"/>
      <c r="AO1255" s="378"/>
      <c r="AP1255" s="378"/>
      <c r="AQ1255" s="378"/>
      <c r="AR1255" s="378"/>
      <c r="AS1255" s="378"/>
      <c r="AT1255" s="378"/>
      <c r="AU1255" s="378"/>
    </row>
    <row r="1256" spans="1:47" hidden="1" x14ac:dyDescent="0.25">
      <c r="A1256" s="378"/>
      <c r="B1256" s="378"/>
      <c r="C1256" s="378"/>
      <c r="D1256" s="378"/>
      <c r="E1256" s="378"/>
      <c r="F1256" s="378"/>
      <c r="G1256" s="378"/>
      <c r="H1256" s="378"/>
      <c r="I1256" s="378"/>
      <c r="J1256" s="378"/>
      <c r="K1256" s="378"/>
      <c r="L1256" s="378"/>
      <c r="M1256" s="378"/>
      <c r="N1256" s="378"/>
      <c r="O1256" s="378"/>
      <c r="P1256" s="378"/>
      <c r="Q1256" s="378"/>
      <c r="R1256" s="378"/>
      <c r="S1256" s="378"/>
      <c r="T1256" s="378"/>
      <c r="U1256" s="378"/>
      <c r="V1256" s="378"/>
      <c r="W1256" s="378"/>
      <c r="X1256" s="378"/>
      <c r="Y1256" s="378"/>
      <c r="Z1256" s="378"/>
      <c r="AA1256" s="378"/>
      <c r="AB1256" s="378"/>
      <c r="AC1256" s="378"/>
      <c r="AD1256" s="378"/>
      <c r="AE1256" s="378"/>
      <c r="AF1256" s="378"/>
      <c r="AG1256" s="378"/>
      <c r="AH1256" s="378"/>
      <c r="AI1256" s="378"/>
      <c r="AJ1256" s="378"/>
      <c r="AK1256" s="378"/>
      <c r="AL1256" s="378"/>
      <c r="AM1256" s="378"/>
      <c r="AN1256" s="378"/>
      <c r="AO1256" s="378"/>
      <c r="AP1256" s="378"/>
      <c r="AQ1256" s="378"/>
      <c r="AR1256" s="378"/>
      <c r="AS1256" s="378"/>
      <c r="AT1256" s="378"/>
      <c r="AU1256" s="378"/>
    </row>
    <row r="1257" spans="1:47" hidden="1" x14ac:dyDescent="0.25">
      <c r="A1257" s="378"/>
      <c r="B1257" s="378"/>
      <c r="C1257" s="378"/>
      <c r="D1257" s="378"/>
      <c r="E1257" s="378"/>
      <c r="F1257" s="378"/>
      <c r="G1257" s="378"/>
      <c r="H1257" s="378"/>
      <c r="I1257" s="378"/>
      <c r="J1257" s="378"/>
      <c r="K1257" s="378"/>
      <c r="L1257" s="378"/>
      <c r="M1257" s="378"/>
      <c r="N1257" s="378"/>
      <c r="O1257" s="378"/>
      <c r="P1257" s="378"/>
      <c r="Q1257" s="378"/>
      <c r="R1257" s="378"/>
      <c r="S1257" s="378"/>
      <c r="T1257" s="378"/>
      <c r="U1257" s="378"/>
      <c r="V1257" s="378"/>
      <c r="W1257" s="378"/>
      <c r="X1257" s="378"/>
      <c r="Y1257" s="378"/>
      <c r="Z1257" s="378"/>
      <c r="AA1257" s="378"/>
      <c r="AB1257" s="378"/>
      <c r="AC1257" s="378"/>
      <c r="AD1257" s="378"/>
      <c r="AE1257" s="378"/>
      <c r="AF1257" s="378"/>
      <c r="AG1257" s="378"/>
      <c r="AH1257" s="378"/>
      <c r="AI1257" s="378"/>
      <c r="AJ1257" s="378"/>
      <c r="AK1257" s="378"/>
      <c r="AL1257" s="378"/>
      <c r="AM1257" s="378"/>
      <c r="AN1257" s="378"/>
      <c r="AO1257" s="378"/>
      <c r="AP1257" s="378"/>
      <c r="AQ1257" s="378"/>
      <c r="AR1257" s="378"/>
      <c r="AS1257" s="378"/>
      <c r="AT1257" s="378"/>
      <c r="AU1257" s="378"/>
    </row>
    <row r="1258" spans="1:47" hidden="1" x14ac:dyDescent="0.25">
      <c r="A1258" s="378"/>
      <c r="B1258" s="378"/>
      <c r="C1258" s="378"/>
      <c r="D1258" s="378"/>
      <c r="E1258" s="378"/>
      <c r="F1258" s="378"/>
      <c r="G1258" s="378"/>
      <c r="H1258" s="378"/>
      <c r="I1258" s="378"/>
      <c r="J1258" s="378"/>
      <c r="K1258" s="378"/>
      <c r="L1258" s="378"/>
      <c r="M1258" s="378"/>
      <c r="N1258" s="378"/>
      <c r="O1258" s="378"/>
      <c r="P1258" s="378"/>
      <c r="Q1258" s="378"/>
      <c r="R1258" s="378"/>
      <c r="S1258" s="378"/>
      <c r="T1258" s="378"/>
      <c r="U1258" s="378"/>
      <c r="V1258" s="378"/>
      <c r="W1258" s="378"/>
      <c r="X1258" s="378"/>
      <c r="Y1258" s="378"/>
      <c r="Z1258" s="378"/>
      <c r="AA1258" s="378"/>
      <c r="AB1258" s="378"/>
      <c r="AC1258" s="378"/>
      <c r="AD1258" s="378"/>
      <c r="AE1258" s="378"/>
      <c r="AF1258" s="378"/>
      <c r="AG1258" s="378"/>
      <c r="AH1258" s="378"/>
      <c r="AI1258" s="378"/>
      <c r="AJ1258" s="378"/>
      <c r="AK1258" s="378"/>
      <c r="AL1258" s="378"/>
      <c r="AM1258" s="378"/>
      <c r="AN1258" s="378"/>
      <c r="AO1258" s="378"/>
      <c r="AP1258" s="378"/>
      <c r="AQ1258" s="378"/>
      <c r="AR1258" s="378"/>
      <c r="AS1258" s="378"/>
      <c r="AT1258" s="378"/>
      <c r="AU1258" s="378"/>
    </row>
    <row r="1259" spans="1:47" hidden="1" x14ac:dyDescent="0.25">
      <c r="A1259" s="378"/>
      <c r="B1259" s="378"/>
      <c r="C1259" s="378"/>
      <c r="D1259" s="378"/>
      <c r="E1259" s="378"/>
      <c r="F1259" s="378"/>
      <c r="G1259" s="378"/>
      <c r="H1259" s="378"/>
      <c r="I1259" s="378"/>
      <c r="J1259" s="378"/>
      <c r="K1259" s="378"/>
      <c r="L1259" s="378"/>
      <c r="M1259" s="378"/>
      <c r="N1259" s="378"/>
      <c r="O1259" s="378"/>
      <c r="P1259" s="378"/>
      <c r="Q1259" s="378"/>
      <c r="R1259" s="378"/>
      <c r="S1259" s="378"/>
      <c r="T1259" s="378"/>
      <c r="U1259" s="378"/>
      <c r="V1259" s="378"/>
      <c r="W1259" s="378"/>
      <c r="X1259" s="378"/>
      <c r="Y1259" s="378"/>
      <c r="Z1259" s="378"/>
      <c r="AA1259" s="378"/>
      <c r="AB1259" s="378"/>
      <c r="AC1259" s="378"/>
      <c r="AD1259" s="378"/>
      <c r="AE1259" s="378"/>
      <c r="AF1259" s="378"/>
      <c r="AG1259" s="378"/>
      <c r="AH1259" s="378"/>
      <c r="AI1259" s="378"/>
      <c r="AJ1259" s="378"/>
      <c r="AK1259" s="378"/>
      <c r="AL1259" s="378"/>
      <c r="AM1259" s="378"/>
      <c r="AN1259" s="378"/>
      <c r="AO1259" s="378"/>
      <c r="AP1259" s="378"/>
      <c r="AQ1259" s="378"/>
      <c r="AR1259" s="378"/>
      <c r="AS1259" s="378"/>
      <c r="AT1259" s="378"/>
      <c r="AU1259" s="378"/>
    </row>
    <row r="1260" spans="1:47" hidden="1" x14ac:dyDescent="0.25">
      <c r="A1260" s="378"/>
      <c r="B1260" s="378"/>
      <c r="C1260" s="378"/>
      <c r="D1260" s="378"/>
      <c r="E1260" s="378"/>
      <c r="F1260" s="378"/>
      <c r="G1260" s="378"/>
      <c r="H1260" s="378"/>
      <c r="I1260" s="378"/>
      <c r="J1260" s="378"/>
      <c r="K1260" s="378"/>
      <c r="L1260" s="378"/>
      <c r="M1260" s="378"/>
      <c r="N1260" s="378"/>
      <c r="O1260" s="378"/>
      <c r="P1260" s="378"/>
      <c r="Q1260" s="378"/>
      <c r="R1260" s="378"/>
      <c r="S1260" s="378"/>
      <c r="T1260" s="378"/>
      <c r="U1260" s="378"/>
      <c r="V1260" s="378"/>
      <c r="W1260" s="378"/>
      <c r="X1260" s="378"/>
      <c r="Y1260" s="378"/>
      <c r="Z1260" s="378"/>
      <c r="AA1260" s="378"/>
      <c r="AB1260" s="378"/>
      <c r="AC1260" s="378"/>
      <c r="AD1260" s="378"/>
      <c r="AE1260" s="378"/>
      <c r="AF1260" s="378"/>
      <c r="AG1260" s="378"/>
      <c r="AH1260" s="378"/>
      <c r="AI1260" s="378"/>
      <c r="AJ1260" s="378"/>
      <c r="AK1260" s="378"/>
      <c r="AL1260" s="378"/>
      <c r="AM1260" s="378"/>
      <c r="AN1260" s="378"/>
      <c r="AO1260" s="378"/>
      <c r="AP1260" s="378"/>
      <c r="AQ1260" s="378"/>
      <c r="AR1260" s="378"/>
      <c r="AS1260" s="378"/>
      <c r="AT1260" s="378"/>
      <c r="AU1260" s="378"/>
    </row>
    <row r="1261" spans="1:47" hidden="1" x14ac:dyDescent="0.25">
      <c r="A1261" s="378"/>
      <c r="B1261" s="378"/>
      <c r="C1261" s="378"/>
      <c r="D1261" s="378"/>
      <c r="E1261" s="378"/>
      <c r="F1261" s="378"/>
      <c r="G1261" s="378"/>
      <c r="H1261" s="378"/>
      <c r="I1261" s="378"/>
      <c r="J1261" s="378"/>
      <c r="K1261" s="378"/>
      <c r="L1261" s="378"/>
      <c r="M1261" s="378"/>
      <c r="N1261" s="378"/>
      <c r="O1261" s="378"/>
      <c r="P1261" s="378"/>
      <c r="Q1261" s="378"/>
      <c r="R1261" s="378"/>
      <c r="S1261" s="378"/>
      <c r="T1261" s="378"/>
      <c r="U1261" s="378"/>
      <c r="V1261" s="378"/>
      <c r="W1261" s="378"/>
      <c r="X1261" s="378"/>
      <c r="Y1261" s="378"/>
      <c r="Z1261" s="378"/>
      <c r="AA1261" s="378"/>
      <c r="AB1261" s="378"/>
      <c r="AC1261" s="378"/>
      <c r="AD1261" s="378"/>
      <c r="AE1261" s="378"/>
      <c r="AF1261" s="378"/>
      <c r="AG1261" s="378"/>
      <c r="AH1261" s="378"/>
      <c r="AI1261" s="378"/>
      <c r="AJ1261" s="378"/>
      <c r="AK1261" s="378"/>
      <c r="AL1261" s="378"/>
      <c r="AM1261" s="378"/>
      <c r="AN1261" s="378"/>
      <c r="AO1261" s="378"/>
      <c r="AP1261" s="378"/>
      <c r="AQ1261" s="378"/>
      <c r="AR1261" s="378"/>
      <c r="AS1261" s="378"/>
      <c r="AT1261" s="378"/>
      <c r="AU1261" s="378"/>
    </row>
    <row r="1262" spans="1:47" hidden="1" x14ac:dyDescent="0.25">
      <c r="A1262" s="378"/>
      <c r="B1262" s="378"/>
      <c r="C1262" s="378"/>
      <c r="D1262" s="378"/>
      <c r="E1262" s="378"/>
      <c r="F1262" s="378"/>
      <c r="G1262" s="378"/>
      <c r="H1262" s="378"/>
      <c r="I1262" s="378"/>
      <c r="J1262" s="378"/>
      <c r="K1262" s="378"/>
      <c r="L1262" s="378"/>
      <c r="M1262" s="378"/>
      <c r="N1262" s="378"/>
      <c r="O1262" s="378"/>
      <c r="P1262" s="378"/>
      <c r="Q1262" s="378"/>
      <c r="R1262" s="378"/>
      <c r="S1262" s="378"/>
      <c r="T1262" s="378"/>
      <c r="U1262" s="378"/>
      <c r="V1262" s="378"/>
      <c r="W1262" s="378"/>
      <c r="X1262" s="378"/>
      <c r="Y1262" s="378"/>
      <c r="Z1262" s="378"/>
      <c r="AA1262" s="378"/>
      <c r="AB1262" s="378"/>
      <c r="AC1262" s="378"/>
      <c r="AD1262" s="378"/>
      <c r="AE1262" s="378"/>
      <c r="AF1262" s="378"/>
      <c r="AG1262" s="378"/>
      <c r="AH1262" s="378"/>
      <c r="AI1262" s="378"/>
      <c r="AJ1262" s="378"/>
      <c r="AK1262" s="378"/>
      <c r="AL1262" s="378"/>
      <c r="AM1262" s="378"/>
      <c r="AN1262" s="378"/>
      <c r="AO1262" s="378"/>
      <c r="AP1262" s="378"/>
      <c r="AQ1262" s="378"/>
      <c r="AR1262" s="378"/>
      <c r="AS1262" s="378"/>
      <c r="AT1262" s="378"/>
      <c r="AU1262" s="378"/>
    </row>
    <row r="1263" spans="1:47" hidden="1" x14ac:dyDescent="0.25">
      <c r="A1263" s="378"/>
      <c r="B1263" s="378"/>
      <c r="C1263" s="378"/>
      <c r="D1263" s="378"/>
      <c r="E1263" s="378"/>
      <c r="F1263" s="378"/>
      <c r="G1263" s="378"/>
      <c r="H1263" s="378"/>
      <c r="I1263" s="378"/>
      <c r="J1263" s="378"/>
      <c r="K1263" s="378"/>
      <c r="L1263" s="378"/>
      <c r="M1263" s="378"/>
      <c r="N1263" s="378"/>
      <c r="O1263" s="378"/>
      <c r="P1263" s="378"/>
      <c r="Q1263" s="378"/>
      <c r="R1263" s="378"/>
      <c r="S1263" s="378"/>
      <c r="T1263" s="378"/>
      <c r="U1263" s="378"/>
      <c r="V1263" s="378"/>
      <c r="W1263" s="378"/>
      <c r="X1263" s="378"/>
      <c r="Y1263" s="378"/>
      <c r="Z1263" s="378"/>
      <c r="AA1263" s="378"/>
      <c r="AB1263" s="378"/>
      <c r="AC1263" s="378"/>
      <c r="AD1263" s="378"/>
      <c r="AE1263" s="378"/>
      <c r="AF1263" s="378"/>
      <c r="AG1263" s="378"/>
      <c r="AH1263" s="378"/>
      <c r="AI1263" s="378"/>
      <c r="AJ1263" s="378"/>
      <c r="AK1263" s="378"/>
      <c r="AL1263" s="378"/>
      <c r="AM1263" s="378"/>
      <c r="AN1263" s="378"/>
      <c r="AO1263" s="378"/>
      <c r="AP1263" s="378"/>
      <c r="AQ1263" s="378"/>
      <c r="AR1263" s="378"/>
      <c r="AS1263" s="378"/>
      <c r="AT1263" s="378"/>
      <c r="AU1263" s="378"/>
    </row>
    <row r="1264" spans="1:47" hidden="1" x14ac:dyDescent="0.25">
      <c r="A1264" s="378"/>
      <c r="B1264" s="378"/>
      <c r="C1264" s="378"/>
      <c r="D1264" s="378"/>
      <c r="E1264" s="378"/>
      <c r="F1264" s="378"/>
      <c r="G1264" s="378"/>
      <c r="H1264" s="378"/>
      <c r="I1264" s="378"/>
      <c r="J1264" s="378"/>
      <c r="K1264" s="378"/>
      <c r="L1264" s="378"/>
      <c r="M1264" s="378"/>
      <c r="N1264" s="378"/>
      <c r="O1264" s="378"/>
      <c r="P1264" s="378"/>
      <c r="Q1264" s="378"/>
      <c r="R1264" s="378"/>
      <c r="S1264" s="378"/>
      <c r="T1264" s="378"/>
      <c r="U1264" s="378"/>
      <c r="V1264" s="378"/>
      <c r="W1264" s="378"/>
      <c r="X1264" s="378"/>
      <c r="Y1264" s="378"/>
      <c r="Z1264" s="378"/>
      <c r="AA1264" s="378"/>
      <c r="AB1264" s="378"/>
      <c r="AC1264" s="378"/>
      <c r="AD1264" s="378"/>
      <c r="AE1264" s="378"/>
      <c r="AF1264" s="378"/>
      <c r="AG1264" s="378"/>
      <c r="AH1264" s="378"/>
      <c r="AI1264" s="378"/>
      <c r="AJ1264" s="378"/>
      <c r="AK1264" s="378"/>
      <c r="AL1264" s="378"/>
      <c r="AM1264" s="378"/>
      <c r="AN1264" s="378"/>
      <c r="AO1264" s="378"/>
      <c r="AP1264" s="378"/>
      <c r="AQ1264" s="378"/>
      <c r="AR1264" s="378"/>
      <c r="AS1264" s="378"/>
      <c r="AT1264" s="378"/>
      <c r="AU1264" s="378"/>
    </row>
    <row r="1265" spans="1:47" hidden="1" x14ac:dyDescent="0.25">
      <c r="A1265" s="378"/>
      <c r="B1265" s="378"/>
      <c r="C1265" s="378"/>
      <c r="D1265" s="378"/>
      <c r="E1265" s="378"/>
      <c r="F1265" s="378"/>
      <c r="G1265" s="378"/>
      <c r="H1265" s="378"/>
      <c r="I1265" s="378"/>
      <c r="J1265" s="378"/>
      <c r="K1265" s="378"/>
      <c r="L1265" s="378"/>
      <c r="M1265" s="378"/>
      <c r="N1265" s="378"/>
      <c r="O1265" s="378"/>
      <c r="P1265" s="378"/>
      <c r="Q1265" s="378"/>
      <c r="R1265" s="378"/>
      <c r="S1265" s="378"/>
      <c r="T1265" s="378"/>
      <c r="U1265" s="378"/>
      <c r="V1265" s="378"/>
      <c r="W1265" s="378"/>
      <c r="X1265" s="378"/>
      <c r="Y1265" s="378"/>
      <c r="Z1265" s="378"/>
      <c r="AA1265" s="378"/>
      <c r="AB1265" s="378"/>
      <c r="AC1265" s="378"/>
      <c r="AD1265" s="378"/>
      <c r="AE1265" s="378"/>
      <c r="AF1265" s="378"/>
      <c r="AG1265" s="378"/>
      <c r="AH1265" s="378"/>
      <c r="AI1265" s="378"/>
      <c r="AJ1265" s="378"/>
      <c r="AK1265" s="378"/>
      <c r="AL1265" s="378"/>
      <c r="AM1265" s="378"/>
      <c r="AN1265" s="378"/>
      <c r="AO1265" s="378"/>
      <c r="AP1265" s="378"/>
      <c r="AQ1265" s="378"/>
      <c r="AR1265" s="378"/>
      <c r="AS1265" s="378"/>
      <c r="AT1265" s="378"/>
      <c r="AU1265" s="378"/>
    </row>
    <row r="1266" spans="1:47" hidden="1" x14ac:dyDescent="0.25">
      <c r="A1266" s="378"/>
      <c r="B1266" s="378"/>
      <c r="C1266" s="378"/>
      <c r="D1266" s="378"/>
      <c r="E1266" s="378"/>
      <c r="F1266" s="378"/>
      <c r="G1266" s="378"/>
      <c r="H1266" s="378"/>
      <c r="I1266" s="378"/>
      <c r="J1266" s="378"/>
      <c r="K1266" s="378"/>
      <c r="L1266" s="378"/>
      <c r="M1266" s="378"/>
      <c r="N1266" s="378"/>
      <c r="O1266" s="378"/>
      <c r="P1266" s="378"/>
      <c r="Q1266" s="378"/>
      <c r="R1266" s="378"/>
      <c r="S1266" s="378"/>
      <c r="T1266" s="378"/>
      <c r="U1266" s="378"/>
      <c r="V1266" s="378"/>
      <c r="W1266" s="378"/>
      <c r="X1266" s="378"/>
      <c r="Y1266" s="378"/>
      <c r="Z1266" s="378"/>
      <c r="AA1266" s="378"/>
      <c r="AB1266" s="378"/>
      <c r="AC1266" s="378"/>
      <c r="AD1266" s="378"/>
      <c r="AE1266" s="378"/>
      <c r="AF1266" s="378"/>
      <c r="AG1266" s="378"/>
      <c r="AH1266" s="378"/>
      <c r="AI1266" s="378"/>
      <c r="AJ1266" s="378"/>
      <c r="AK1266" s="378"/>
      <c r="AL1266" s="378"/>
      <c r="AM1266" s="378"/>
      <c r="AN1266" s="378"/>
      <c r="AO1266" s="378"/>
      <c r="AP1266" s="378"/>
      <c r="AQ1266" s="378"/>
      <c r="AR1266" s="378"/>
      <c r="AS1266" s="378"/>
      <c r="AT1266" s="378"/>
      <c r="AU1266" s="378"/>
    </row>
    <row r="1267" spans="1:47" hidden="1" x14ac:dyDescent="0.25">
      <c r="A1267" s="378"/>
      <c r="B1267" s="378"/>
      <c r="C1267" s="378"/>
      <c r="D1267" s="378"/>
      <c r="E1267" s="378"/>
      <c r="F1267" s="378"/>
      <c r="G1267" s="378"/>
      <c r="H1267" s="378"/>
      <c r="I1267" s="378"/>
      <c r="J1267" s="378"/>
      <c r="K1267" s="378"/>
      <c r="L1267" s="378"/>
      <c r="M1267" s="378"/>
      <c r="N1267" s="378"/>
      <c r="O1267" s="378"/>
      <c r="P1267" s="378"/>
      <c r="Q1267" s="378"/>
      <c r="R1267" s="378"/>
      <c r="S1267" s="378"/>
      <c r="T1267" s="378"/>
      <c r="U1267" s="378"/>
      <c r="V1267" s="378"/>
      <c r="W1267" s="378"/>
      <c r="X1267" s="378"/>
      <c r="Y1267" s="378"/>
      <c r="Z1267" s="378"/>
      <c r="AA1267" s="378"/>
      <c r="AB1267" s="378"/>
      <c r="AC1267" s="378"/>
      <c r="AD1267" s="378"/>
      <c r="AE1267" s="378"/>
      <c r="AF1267" s="378"/>
      <c r="AG1267" s="378"/>
      <c r="AH1267" s="378"/>
      <c r="AI1267" s="378"/>
      <c r="AJ1267" s="378"/>
      <c r="AK1267" s="378"/>
      <c r="AL1267" s="378"/>
      <c r="AM1267" s="378"/>
      <c r="AN1267" s="378"/>
      <c r="AO1267" s="378"/>
      <c r="AP1267" s="378"/>
      <c r="AQ1267" s="378"/>
      <c r="AR1267" s="378"/>
      <c r="AS1267" s="378"/>
      <c r="AT1267" s="378"/>
      <c r="AU1267" s="378"/>
    </row>
    <row r="1268" spans="1:47" hidden="1" x14ac:dyDescent="0.25">
      <c r="A1268" s="378"/>
      <c r="B1268" s="378"/>
      <c r="C1268" s="378"/>
      <c r="D1268" s="378"/>
      <c r="E1268" s="378"/>
      <c r="F1268" s="378"/>
      <c r="G1268" s="378"/>
      <c r="H1268" s="378"/>
      <c r="I1268" s="378"/>
      <c r="J1268" s="378"/>
      <c r="K1268" s="378"/>
      <c r="L1268" s="378"/>
      <c r="M1268" s="378"/>
      <c r="N1268" s="378"/>
      <c r="O1268" s="378"/>
      <c r="P1268" s="378"/>
      <c r="Q1268" s="378"/>
      <c r="R1268" s="378"/>
      <c r="S1268" s="378"/>
      <c r="T1268" s="378"/>
      <c r="U1268" s="378"/>
      <c r="V1268" s="378"/>
      <c r="W1268" s="378"/>
      <c r="X1268" s="378"/>
      <c r="Y1268" s="378"/>
      <c r="Z1268" s="378"/>
      <c r="AA1268" s="378"/>
      <c r="AB1268" s="378"/>
      <c r="AC1268" s="378"/>
      <c r="AD1268" s="378"/>
      <c r="AE1268" s="378"/>
      <c r="AF1268" s="378"/>
      <c r="AG1268" s="378"/>
      <c r="AH1268" s="378"/>
      <c r="AI1268" s="378"/>
      <c r="AJ1268" s="378"/>
      <c r="AK1268" s="378"/>
      <c r="AL1268" s="378"/>
      <c r="AM1268" s="378"/>
      <c r="AN1268" s="378"/>
      <c r="AO1268" s="378"/>
      <c r="AP1268" s="378"/>
      <c r="AQ1268" s="378"/>
      <c r="AR1268" s="378"/>
      <c r="AS1268" s="378"/>
      <c r="AT1268" s="378"/>
      <c r="AU1268" s="378"/>
    </row>
    <row r="1269" spans="1:47" hidden="1" x14ac:dyDescent="0.25">
      <c r="A1269" s="378"/>
      <c r="B1269" s="378"/>
      <c r="C1269" s="378"/>
      <c r="D1269" s="378"/>
      <c r="E1269" s="378"/>
      <c r="F1269" s="378"/>
      <c r="G1269" s="378"/>
      <c r="H1269" s="378"/>
      <c r="I1269" s="378"/>
      <c r="J1269" s="378"/>
      <c r="K1269" s="378"/>
      <c r="L1269" s="378"/>
      <c r="M1269" s="378"/>
      <c r="N1269" s="378"/>
      <c r="O1269" s="378"/>
      <c r="P1269" s="378"/>
      <c r="Q1269" s="378"/>
      <c r="R1269" s="378"/>
      <c r="S1269" s="378"/>
      <c r="T1269" s="378"/>
      <c r="U1269" s="378"/>
      <c r="V1269" s="378"/>
      <c r="W1269" s="378"/>
      <c r="X1269" s="378"/>
      <c r="Y1269" s="378"/>
      <c r="Z1269" s="378"/>
      <c r="AA1269" s="378"/>
      <c r="AB1269" s="378"/>
      <c r="AC1269" s="378"/>
      <c r="AD1269" s="378"/>
      <c r="AE1269" s="378"/>
      <c r="AF1269" s="378"/>
      <c r="AG1269" s="378"/>
      <c r="AH1269" s="378"/>
      <c r="AI1269" s="378"/>
      <c r="AJ1269" s="378"/>
      <c r="AK1269" s="378"/>
      <c r="AL1269" s="378"/>
      <c r="AM1269" s="378"/>
      <c r="AN1269" s="378"/>
      <c r="AO1269" s="378"/>
      <c r="AP1269" s="378"/>
      <c r="AQ1269" s="378"/>
      <c r="AR1269" s="378"/>
      <c r="AS1269" s="378"/>
      <c r="AT1269" s="378"/>
      <c r="AU1269" s="378"/>
    </row>
    <row r="1270" spans="1:47" hidden="1" x14ac:dyDescent="0.25">
      <c r="A1270" s="378"/>
      <c r="B1270" s="378"/>
      <c r="C1270" s="378"/>
      <c r="D1270" s="378"/>
      <c r="E1270" s="378"/>
      <c r="F1270" s="378"/>
      <c r="G1270" s="378"/>
      <c r="H1270" s="378"/>
      <c r="I1270" s="378"/>
      <c r="J1270" s="378"/>
      <c r="K1270" s="378"/>
      <c r="L1270" s="378"/>
      <c r="M1270" s="378"/>
      <c r="N1270" s="378"/>
      <c r="O1270" s="378"/>
      <c r="P1270" s="378"/>
      <c r="Q1270" s="378"/>
      <c r="R1270" s="378"/>
      <c r="S1270" s="378"/>
      <c r="T1270" s="378"/>
      <c r="U1270" s="378"/>
      <c r="V1270" s="378"/>
      <c r="W1270" s="378"/>
      <c r="X1270" s="378"/>
      <c r="Y1270" s="378"/>
      <c r="Z1270" s="378"/>
      <c r="AA1270" s="378"/>
      <c r="AB1270" s="378"/>
      <c r="AC1270" s="378"/>
      <c r="AD1270" s="378"/>
      <c r="AE1270" s="378"/>
      <c r="AF1270" s="378"/>
      <c r="AG1270" s="378"/>
      <c r="AH1270" s="378"/>
      <c r="AI1270" s="378"/>
      <c r="AJ1270" s="378"/>
      <c r="AK1270" s="378"/>
      <c r="AL1270" s="378"/>
      <c r="AM1270" s="378"/>
      <c r="AN1270" s="378"/>
      <c r="AO1270" s="378"/>
      <c r="AP1270" s="378"/>
      <c r="AQ1270" s="378"/>
      <c r="AR1270" s="378"/>
      <c r="AS1270" s="378"/>
      <c r="AT1270" s="378"/>
      <c r="AU1270" s="378"/>
    </row>
    <row r="1271" spans="1:47" hidden="1" x14ac:dyDescent="0.25">
      <c r="A1271" s="378"/>
      <c r="B1271" s="378"/>
      <c r="C1271" s="378"/>
      <c r="D1271" s="378"/>
      <c r="E1271" s="378"/>
      <c r="F1271" s="378"/>
      <c r="G1271" s="378"/>
      <c r="H1271" s="378"/>
      <c r="I1271" s="378"/>
      <c r="J1271" s="378"/>
      <c r="K1271" s="378"/>
      <c r="L1271" s="378"/>
      <c r="M1271" s="378"/>
      <c r="N1271" s="378"/>
      <c r="O1271" s="378"/>
      <c r="P1271" s="378"/>
      <c r="Q1271" s="378"/>
      <c r="R1271" s="378"/>
      <c r="S1271" s="378"/>
      <c r="T1271" s="378"/>
      <c r="U1271" s="378"/>
      <c r="V1271" s="378"/>
      <c r="W1271" s="378"/>
      <c r="X1271" s="378"/>
      <c r="Y1271" s="378"/>
      <c r="Z1271" s="378"/>
      <c r="AA1271" s="378"/>
      <c r="AB1271" s="378"/>
      <c r="AC1271" s="378"/>
      <c r="AD1271" s="378"/>
      <c r="AE1271" s="378"/>
      <c r="AF1271" s="378"/>
      <c r="AG1271" s="378"/>
      <c r="AH1271" s="378"/>
      <c r="AI1271" s="378"/>
      <c r="AJ1271" s="378"/>
      <c r="AK1271" s="378"/>
      <c r="AL1271" s="378"/>
      <c r="AM1271" s="378"/>
      <c r="AN1271" s="378"/>
      <c r="AO1271" s="378"/>
      <c r="AP1271" s="378"/>
      <c r="AQ1271" s="378"/>
      <c r="AR1271" s="378"/>
      <c r="AS1271" s="378"/>
      <c r="AT1271" s="378"/>
      <c r="AU1271" s="378"/>
    </row>
    <row r="1272" spans="1:47" hidden="1" x14ac:dyDescent="0.25">
      <c r="A1272" s="378"/>
      <c r="B1272" s="378"/>
      <c r="C1272" s="378"/>
      <c r="D1272" s="378"/>
      <c r="E1272" s="378"/>
      <c r="F1272" s="378"/>
      <c r="G1272" s="378"/>
      <c r="H1272" s="378"/>
      <c r="I1272" s="378"/>
      <c r="J1272" s="378"/>
      <c r="K1272" s="378"/>
      <c r="L1272" s="378"/>
      <c r="M1272" s="378"/>
      <c r="N1272" s="378"/>
      <c r="O1272" s="378"/>
      <c r="P1272" s="378"/>
      <c r="Q1272" s="378"/>
      <c r="R1272" s="378"/>
      <c r="S1272" s="378"/>
      <c r="T1272" s="378"/>
      <c r="U1272" s="378"/>
      <c r="V1272" s="378"/>
      <c r="W1272" s="378"/>
      <c r="X1272" s="378"/>
      <c r="Y1272" s="378"/>
      <c r="Z1272" s="378"/>
      <c r="AA1272" s="378"/>
      <c r="AB1272" s="378"/>
      <c r="AC1272" s="378"/>
      <c r="AD1272" s="378"/>
      <c r="AE1272" s="378"/>
      <c r="AF1272" s="378"/>
      <c r="AG1272" s="378"/>
      <c r="AH1272" s="378"/>
      <c r="AI1272" s="378"/>
      <c r="AJ1272" s="378"/>
      <c r="AK1272" s="378"/>
      <c r="AL1272" s="378"/>
      <c r="AM1272" s="378"/>
      <c r="AN1272" s="378"/>
      <c r="AO1272" s="378"/>
      <c r="AP1272" s="378"/>
      <c r="AQ1272" s="378"/>
      <c r="AR1272" s="378"/>
      <c r="AS1272" s="378"/>
      <c r="AT1272" s="378"/>
      <c r="AU1272" s="378"/>
    </row>
    <row r="1273" spans="1:47" hidden="1" x14ac:dyDescent="0.25">
      <c r="A1273" s="378"/>
      <c r="B1273" s="378"/>
      <c r="C1273" s="378"/>
      <c r="D1273" s="378"/>
      <c r="E1273" s="378"/>
      <c r="F1273" s="378"/>
      <c r="G1273" s="378"/>
      <c r="H1273" s="378"/>
      <c r="I1273" s="378"/>
      <c r="J1273" s="378"/>
      <c r="K1273" s="378"/>
      <c r="L1273" s="378"/>
      <c r="M1273" s="378"/>
      <c r="N1273" s="378"/>
      <c r="O1273" s="378"/>
      <c r="P1273" s="378"/>
      <c r="Q1273" s="378"/>
      <c r="R1273" s="378"/>
      <c r="S1273" s="378"/>
      <c r="T1273" s="378"/>
      <c r="U1273" s="378"/>
      <c r="V1273" s="378"/>
      <c r="W1273" s="378"/>
      <c r="X1273" s="378"/>
      <c r="Y1273" s="378"/>
      <c r="Z1273" s="378"/>
      <c r="AA1273" s="378"/>
      <c r="AB1273" s="378"/>
      <c r="AC1273" s="378"/>
      <c r="AD1273" s="378"/>
      <c r="AE1273" s="378"/>
      <c r="AF1273" s="378"/>
      <c r="AG1273" s="378"/>
      <c r="AH1273" s="378"/>
      <c r="AI1273" s="378"/>
      <c r="AJ1273" s="378"/>
      <c r="AK1273" s="378"/>
      <c r="AL1273" s="378"/>
      <c r="AM1273" s="378"/>
      <c r="AN1273" s="378"/>
      <c r="AO1273" s="378"/>
      <c r="AP1273" s="378"/>
      <c r="AQ1273" s="378"/>
      <c r="AR1273" s="378"/>
      <c r="AS1273" s="378"/>
      <c r="AT1273" s="378"/>
      <c r="AU1273" s="378"/>
    </row>
    <row r="1274" spans="1:47" hidden="1" x14ac:dyDescent="0.25">
      <c r="A1274" s="378"/>
      <c r="B1274" s="378"/>
      <c r="C1274" s="378"/>
      <c r="D1274" s="378"/>
      <c r="E1274" s="378"/>
      <c r="F1274" s="378"/>
      <c r="G1274" s="378"/>
      <c r="H1274" s="378"/>
      <c r="I1274" s="378"/>
      <c r="J1274" s="378"/>
      <c r="K1274" s="378"/>
      <c r="L1274" s="378"/>
      <c r="M1274" s="378"/>
      <c r="N1274" s="378"/>
      <c r="O1274" s="378"/>
      <c r="P1274" s="378"/>
      <c r="Q1274" s="378"/>
      <c r="R1274" s="378"/>
      <c r="S1274" s="378"/>
      <c r="T1274" s="378"/>
      <c r="U1274" s="378"/>
      <c r="V1274" s="378"/>
      <c r="W1274" s="378"/>
      <c r="X1274" s="378"/>
      <c r="Y1274" s="378"/>
      <c r="Z1274" s="378"/>
      <c r="AA1274" s="378"/>
      <c r="AB1274" s="378"/>
      <c r="AC1274" s="378"/>
      <c r="AD1274" s="378"/>
      <c r="AE1274" s="378"/>
      <c r="AF1274" s="378"/>
      <c r="AG1274" s="378"/>
      <c r="AH1274" s="378"/>
      <c r="AI1274" s="378"/>
      <c r="AJ1274" s="378"/>
      <c r="AK1274" s="378"/>
      <c r="AL1274" s="378"/>
      <c r="AM1274" s="378"/>
      <c r="AN1274" s="378"/>
      <c r="AO1274" s="378"/>
      <c r="AP1274" s="378"/>
      <c r="AQ1274" s="378"/>
      <c r="AR1274" s="378"/>
      <c r="AS1274" s="378"/>
      <c r="AT1274" s="378"/>
      <c r="AU1274" s="378"/>
    </row>
    <row r="1275" spans="1:47" hidden="1" x14ac:dyDescent="0.25">
      <c r="A1275" s="378"/>
      <c r="B1275" s="378"/>
      <c r="C1275" s="378"/>
      <c r="D1275" s="378"/>
      <c r="E1275" s="378"/>
      <c r="F1275" s="378"/>
      <c r="G1275" s="378"/>
      <c r="H1275" s="378"/>
      <c r="I1275" s="378"/>
      <c r="J1275" s="378"/>
      <c r="K1275" s="378"/>
      <c r="L1275" s="378"/>
      <c r="M1275" s="378"/>
      <c r="N1275" s="378"/>
      <c r="O1275" s="378"/>
      <c r="P1275" s="378"/>
      <c r="Q1275" s="378"/>
      <c r="R1275" s="378"/>
      <c r="S1275" s="378"/>
      <c r="T1275" s="378"/>
      <c r="U1275" s="378"/>
      <c r="V1275" s="378"/>
      <c r="W1275" s="378"/>
      <c r="X1275" s="378"/>
      <c r="Y1275" s="378"/>
      <c r="Z1275" s="378"/>
      <c r="AA1275" s="378"/>
      <c r="AB1275" s="378"/>
      <c r="AC1275" s="378"/>
      <c r="AD1275" s="378"/>
      <c r="AE1275" s="378"/>
      <c r="AF1275" s="378"/>
      <c r="AG1275" s="378"/>
      <c r="AH1275" s="378"/>
      <c r="AI1275" s="378"/>
      <c r="AJ1275" s="378"/>
      <c r="AK1275" s="378"/>
      <c r="AL1275" s="378"/>
      <c r="AM1275" s="378"/>
      <c r="AN1275" s="378"/>
      <c r="AO1275" s="378"/>
      <c r="AP1275" s="378"/>
      <c r="AQ1275" s="378"/>
      <c r="AR1275" s="378"/>
      <c r="AS1275" s="378"/>
      <c r="AT1275" s="378"/>
      <c r="AU1275" s="378"/>
    </row>
    <row r="1276" spans="1:47" hidden="1" x14ac:dyDescent="0.25">
      <c r="A1276" s="378"/>
      <c r="B1276" s="378"/>
      <c r="C1276" s="378"/>
      <c r="D1276" s="378"/>
      <c r="E1276" s="378"/>
      <c r="F1276" s="378"/>
      <c r="G1276" s="378"/>
      <c r="H1276" s="378"/>
      <c r="I1276" s="378"/>
      <c r="J1276" s="378"/>
      <c r="K1276" s="378"/>
      <c r="L1276" s="378"/>
      <c r="M1276" s="378"/>
      <c r="N1276" s="378"/>
      <c r="O1276" s="378"/>
      <c r="P1276" s="378"/>
      <c r="Q1276" s="378"/>
      <c r="R1276" s="378"/>
      <c r="S1276" s="378"/>
      <c r="T1276" s="378"/>
      <c r="U1276" s="378"/>
      <c r="V1276" s="378"/>
      <c r="W1276" s="378"/>
      <c r="X1276" s="378"/>
      <c r="Y1276" s="378"/>
      <c r="Z1276" s="378"/>
      <c r="AA1276" s="378"/>
      <c r="AB1276" s="378"/>
      <c r="AC1276" s="378"/>
      <c r="AD1276" s="378"/>
      <c r="AE1276" s="378"/>
      <c r="AF1276" s="378"/>
      <c r="AG1276" s="378"/>
      <c r="AH1276" s="378"/>
      <c r="AI1276" s="378"/>
      <c r="AJ1276" s="378"/>
      <c r="AK1276" s="378"/>
      <c r="AL1276" s="378"/>
      <c r="AM1276" s="378"/>
      <c r="AN1276" s="378"/>
      <c r="AO1276" s="378"/>
      <c r="AP1276" s="378"/>
      <c r="AQ1276" s="378"/>
      <c r="AR1276" s="378"/>
      <c r="AS1276" s="378"/>
      <c r="AT1276" s="378"/>
      <c r="AU1276" s="378"/>
    </row>
    <row r="1277" spans="1:47" hidden="1" x14ac:dyDescent="0.25">
      <c r="A1277" s="378"/>
      <c r="B1277" s="378"/>
      <c r="C1277" s="378"/>
      <c r="D1277" s="378"/>
      <c r="E1277" s="378"/>
      <c r="F1277" s="378"/>
      <c r="G1277" s="378"/>
      <c r="H1277" s="378"/>
      <c r="I1277" s="378"/>
      <c r="J1277" s="378"/>
      <c r="K1277" s="378"/>
      <c r="L1277" s="378"/>
      <c r="M1277" s="378"/>
      <c r="N1277" s="378"/>
      <c r="O1277" s="378"/>
      <c r="P1277" s="378"/>
      <c r="Q1277" s="378"/>
      <c r="R1277" s="378"/>
      <c r="S1277" s="378"/>
      <c r="T1277" s="378"/>
      <c r="U1277" s="378"/>
      <c r="V1277" s="378"/>
      <c r="W1277" s="378"/>
      <c r="X1277" s="378"/>
      <c r="Y1277" s="378"/>
      <c r="Z1277" s="378"/>
      <c r="AA1277" s="378"/>
      <c r="AB1277" s="378"/>
      <c r="AC1277" s="378"/>
      <c r="AD1277" s="378"/>
      <c r="AE1277" s="378"/>
      <c r="AF1277" s="378"/>
      <c r="AG1277" s="378"/>
      <c r="AH1277" s="378"/>
      <c r="AI1277" s="378"/>
      <c r="AJ1277" s="378"/>
      <c r="AK1277" s="378"/>
      <c r="AL1277" s="378"/>
      <c r="AM1277" s="378"/>
      <c r="AN1277" s="378"/>
      <c r="AO1277" s="378"/>
      <c r="AP1277" s="378"/>
      <c r="AQ1277" s="378"/>
      <c r="AR1277" s="378"/>
      <c r="AS1277" s="378"/>
      <c r="AT1277" s="378"/>
      <c r="AU1277" s="378"/>
    </row>
    <row r="1278" spans="1:47" hidden="1" x14ac:dyDescent="0.25">
      <c r="A1278" s="378"/>
      <c r="B1278" s="378"/>
      <c r="C1278" s="378"/>
      <c r="D1278" s="378"/>
      <c r="E1278" s="378"/>
      <c r="F1278" s="378"/>
      <c r="G1278" s="378"/>
      <c r="H1278" s="378"/>
      <c r="I1278" s="378"/>
      <c r="J1278" s="378"/>
      <c r="K1278" s="378"/>
      <c r="L1278" s="378"/>
      <c r="M1278" s="378"/>
      <c r="N1278" s="378"/>
      <c r="O1278" s="378"/>
      <c r="P1278" s="378"/>
      <c r="Q1278" s="378"/>
      <c r="R1278" s="378"/>
      <c r="S1278" s="378"/>
      <c r="T1278" s="378"/>
      <c r="U1278" s="378"/>
      <c r="V1278" s="378"/>
      <c r="W1278" s="378"/>
      <c r="X1278" s="378"/>
      <c r="Y1278" s="378"/>
      <c r="Z1278" s="378"/>
      <c r="AA1278" s="378"/>
      <c r="AB1278" s="378"/>
      <c r="AC1278" s="378"/>
      <c r="AD1278" s="378"/>
      <c r="AE1278" s="378"/>
      <c r="AF1278" s="378"/>
      <c r="AG1278" s="378"/>
      <c r="AH1278" s="378"/>
      <c r="AI1278" s="378"/>
      <c r="AJ1278" s="378"/>
      <c r="AK1278" s="378"/>
      <c r="AL1278" s="378"/>
      <c r="AM1278" s="378"/>
      <c r="AN1278" s="378"/>
      <c r="AO1278" s="378"/>
      <c r="AP1278" s="378"/>
      <c r="AQ1278" s="378"/>
      <c r="AR1278" s="378"/>
      <c r="AS1278" s="378"/>
      <c r="AT1278" s="378"/>
      <c r="AU1278" s="378"/>
    </row>
    <row r="1279" spans="1:47" hidden="1" x14ac:dyDescent="0.25">
      <c r="A1279" s="378"/>
      <c r="B1279" s="378"/>
      <c r="C1279" s="378"/>
      <c r="D1279" s="378"/>
      <c r="E1279" s="378"/>
      <c r="F1279" s="378"/>
      <c r="G1279" s="378"/>
      <c r="H1279" s="378"/>
      <c r="I1279" s="378"/>
      <c r="J1279" s="378"/>
      <c r="K1279" s="378"/>
      <c r="L1279" s="378"/>
      <c r="M1279" s="378"/>
      <c r="N1279" s="378"/>
      <c r="O1279" s="378"/>
      <c r="P1279" s="378"/>
      <c r="Q1279" s="378"/>
      <c r="R1279" s="378"/>
      <c r="S1279" s="378"/>
      <c r="T1279" s="378"/>
      <c r="U1279" s="378"/>
      <c r="V1279" s="378"/>
      <c r="W1279" s="378"/>
      <c r="X1279" s="378"/>
      <c r="Y1279" s="378"/>
      <c r="Z1279" s="378"/>
      <c r="AA1279" s="378"/>
      <c r="AB1279" s="378"/>
      <c r="AC1279" s="378"/>
      <c r="AD1279" s="378"/>
      <c r="AE1279" s="378"/>
      <c r="AF1279" s="378"/>
      <c r="AG1279" s="378"/>
      <c r="AH1279" s="378"/>
      <c r="AI1279" s="378"/>
      <c r="AJ1279" s="378"/>
      <c r="AK1279" s="378"/>
      <c r="AL1279" s="378"/>
      <c r="AM1279" s="378"/>
      <c r="AN1279" s="378"/>
      <c r="AO1279" s="378"/>
      <c r="AP1279" s="378"/>
      <c r="AQ1279" s="378"/>
      <c r="AR1279" s="378"/>
      <c r="AS1279" s="378"/>
      <c r="AT1279" s="378"/>
      <c r="AU1279" s="378"/>
    </row>
    <row r="1280" spans="1:47" hidden="1" x14ac:dyDescent="0.25">
      <c r="A1280" s="378"/>
      <c r="B1280" s="378"/>
      <c r="C1280" s="378"/>
      <c r="D1280" s="378"/>
      <c r="E1280" s="378"/>
      <c r="F1280" s="378"/>
      <c r="G1280" s="378"/>
      <c r="H1280" s="378"/>
      <c r="I1280" s="378"/>
      <c r="J1280" s="378"/>
      <c r="K1280" s="378"/>
      <c r="L1280" s="378"/>
      <c r="M1280" s="378"/>
      <c r="N1280" s="378"/>
      <c r="O1280" s="378"/>
      <c r="P1280" s="378"/>
      <c r="Q1280" s="378"/>
      <c r="R1280" s="378"/>
      <c r="S1280" s="378"/>
      <c r="T1280" s="378"/>
      <c r="U1280" s="378"/>
      <c r="V1280" s="378"/>
      <c r="W1280" s="378"/>
      <c r="X1280" s="378"/>
      <c r="Y1280" s="378"/>
      <c r="Z1280" s="378"/>
      <c r="AA1280" s="378"/>
      <c r="AB1280" s="378"/>
      <c r="AC1280" s="378"/>
      <c r="AD1280" s="378"/>
      <c r="AE1280" s="378"/>
      <c r="AF1280" s="378"/>
      <c r="AG1280" s="378"/>
      <c r="AH1280" s="378"/>
      <c r="AI1280" s="378"/>
      <c r="AJ1280" s="378"/>
      <c r="AK1280" s="378"/>
      <c r="AL1280" s="378"/>
      <c r="AM1280" s="378"/>
      <c r="AN1280" s="378"/>
      <c r="AO1280" s="378"/>
      <c r="AP1280" s="378"/>
      <c r="AQ1280" s="378"/>
      <c r="AR1280" s="378"/>
      <c r="AS1280" s="378"/>
      <c r="AT1280" s="378"/>
      <c r="AU1280" s="378"/>
    </row>
    <row r="1281" spans="1:47" hidden="1" x14ac:dyDescent="0.25">
      <c r="A1281" s="378"/>
      <c r="B1281" s="378"/>
      <c r="C1281" s="378"/>
      <c r="D1281" s="378"/>
      <c r="E1281" s="378"/>
      <c r="F1281" s="378"/>
      <c r="G1281" s="378"/>
      <c r="H1281" s="378"/>
      <c r="I1281" s="378"/>
      <c r="J1281" s="378"/>
      <c r="K1281" s="378"/>
      <c r="L1281" s="378"/>
      <c r="M1281" s="378"/>
      <c r="N1281" s="378"/>
      <c r="O1281" s="378"/>
      <c r="P1281" s="378"/>
      <c r="Q1281" s="378"/>
      <c r="R1281" s="378"/>
      <c r="S1281" s="378"/>
      <c r="T1281" s="378"/>
      <c r="U1281" s="378"/>
      <c r="V1281" s="378"/>
      <c r="W1281" s="378"/>
      <c r="X1281" s="378"/>
      <c r="Y1281" s="378"/>
      <c r="Z1281" s="378"/>
      <c r="AA1281" s="378"/>
      <c r="AB1281" s="378"/>
      <c r="AC1281" s="378"/>
      <c r="AD1281" s="378"/>
      <c r="AE1281" s="378"/>
      <c r="AF1281" s="378"/>
      <c r="AG1281" s="378"/>
      <c r="AH1281" s="378"/>
      <c r="AI1281" s="378"/>
      <c r="AJ1281" s="378"/>
      <c r="AK1281" s="378"/>
      <c r="AL1281" s="378"/>
      <c r="AM1281" s="378"/>
      <c r="AN1281" s="378"/>
      <c r="AO1281" s="378"/>
      <c r="AP1281" s="378"/>
      <c r="AQ1281" s="378"/>
      <c r="AR1281" s="378"/>
      <c r="AS1281" s="378"/>
      <c r="AT1281" s="378"/>
      <c r="AU1281" s="378"/>
    </row>
    <row r="1282" spans="1:47" hidden="1" x14ac:dyDescent="0.25">
      <c r="A1282" s="378"/>
      <c r="B1282" s="378"/>
      <c r="C1282" s="378"/>
      <c r="D1282" s="378"/>
      <c r="E1282" s="378"/>
      <c r="F1282" s="378"/>
      <c r="G1282" s="378"/>
      <c r="H1282" s="378"/>
      <c r="I1282" s="378"/>
      <c r="J1282" s="378"/>
      <c r="K1282" s="378"/>
      <c r="L1282" s="378"/>
      <c r="M1282" s="378"/>
      <c r="N1282" s="378"/>
      <c r="O1282" s="378"/>
      <c r="P1282" s="378"/>
      <c r="Q1282" s="378"/>
      <c r="R1282" s="378"/>
      <c r="S1282" s="378"/>
      <c r="T1282" s="378"/>
      <c r="U1282" s="378"/>
      <c r="V1282" s="378"/>
      <c r="W1282" s="378"/>
      <c r="X1282" s="378"/>
      <c r="Y1282" s="378"/>
      <c r="Z1282" s="378"/>
      <c r="AA1282" s="378"/>
      <c r="AB1282" s="378"/>
      <c r="AC1282" s="378"/>
      <c r="AD1282" s="378"/>
      <c r="AE1282" s="378"/>
      <c r="AF1282" s="378"/>
      <c r="AG1282" s="378"/>
      <c r="AH1282" s="378"/>
      <c r="AI1282" s="378"/>
      <c r="AJ1282" s="378"/>
      <c r="AK1282" s="378"/>
      <c r="AL1282" s="378"/>
      <c r="AM1282" s="378"/>
      <c r="AN1282" s="378"/>
      <c r="AO1282" s="378"/>
      <c r="AP1282" s="378"/>
      <c r="AQ1282" s="378"/>
      <c r="AR1282" s="378"/>
      <c r="AS1282" s="378"/>
      <c r="AT1282" s="378"/>
      <c r="AU1282" s="378"/>
    </row>
    <row r="1283" spans="1:47" hidden="1" x14ac:dyDescent="0.25">
      <c r="A1283" s="378"/>
      <c r="B1283" s="378"/>
      <c r="C1283" s="378"/>
      <c r="D1283" s="378"/>
      <c r="E1283" s="378"/>
      <c r="F1283" s="378"/>
      <c r="G1283" s="378"/>
      <c r="H1283" s="378"/>
      <c r="I1283" s="378"/>
      <c r="J1283" s="378"/>
      <c r="K1283" s="378"/>
      <c r="L1283" s="378"/>
      <c r="M1283" s="378"/>
      <c r="N1283" s="378"/>
      <c r="O1283" s="378"/>
      <c r="P1283" s="378"/>
      <c r="Q1283" s="378"/>
      <c r="R1283" s="378"/>
      <c r="S1283" s="378"/>
      <c r="T1283" s="378"/>
      <c r="U1283" s="378"/>
      <c r="V1283" s="378"/>
      <c r="W1283" s="378"/>
      <c r="X1283" s="378"/>
      <c r="Y1283" s="378"/>
      <c r="Z1283" s="378"/>
      <c r="AA1283" s="378"/>
      <c r="AB1283" s="378"/>
      <c r="AC1283" s="378"/>
      <c r="AD1283" s="378"/>
      <c r="AE1283" s="378"/>
      <c r="AF1283" s="378"/>
      <c r="AG1283" s="378"/>
      <c r="AH1283" s="378"/>
      <c r="AI1283" s="378"/>
      <c r="AJ1283" s="378"/>
      <c r="AK1283" s="378"/>
      <c r="AL1283" s="378"/>
      <c r="AM1283" s="378"/>
      <c r="AN1283" s="378"/>
      <c r="AO1283" s="378"/>
      <c r="AP1283" s="378"/>
      <c r="AQ1283" s="378"/>
      <c r="AR1283" s="378"/>
      <c r="AS1283" s="378"/>
      <c r="AT1283" s="378"/>
      <c r="AU1283" s="378"/>
    </row>
    <row r="1284" spans="1:47" hidden="1" x14ac:dyDescent="0.25">
      <c r="A1284" s="378"/>
      <c r="B1284" s="378"/>
      <c r="C1284" s="378"/>
      <c r="D1284" s="378"/>
      <c r="E1284" s="378"/>
      <c r="F1284" s="378"/>
      <c r="G1284" s="378"/>
      <c r="H1284" s="378"/>
      <c r="I1284" s="378"/>
      <c r="J1284" s="378"/>
      <c r="K1284" s="378"/>
      <c r="L1284" s="378"/>
      <c r="M1284" s="378"/>
      <c r="N1284" s="378"/>
      <c r="O1284" s="378"/>
      <c r="P1284" s="378"/>
      <c r="Q1284" s="378"/>
      <c r="R1284" s="378"/>
      <c r="S1284" s="378"/>
      <c r="T1284" s="378"/>
      <c r="U1284" s="378"/>
      <c r="V1284" s="378"/>
      <c r="W1284" s="378"/>
      <c r="X1284" s="378"/>
      <c r="Y1284" s="378"/>
      <c r="Z1284" s="378"/>
      <c r="AA1284" s="378"/>
      <c r="AB1284" s="378"/>
      <c r="AC1284" s="378"/>
      <c r="AD1284" s="378"/>
      <c r="AE1284" s="378"/>
      <c r="AF1284" s="378"/>
      <c r="AG1284" s="378"/>
      <c r="AH1284" s="378"/>
      <c r="AI1284" s="378"/>
      <c r="AJ1284" s="378"/>
      <c r="AK1284" s="378"/>
      <c r="AL1284" s="378"/>
      <c r="AM1284" s="378"/>
      <c r="AN1284" s="378"/>
      <c r="AO1284" s="378"/>
      <c r="AP1284" s="378"/>
      <c r="AQ1284" s="378"/>
      <c r="AR1284" s="378"/>
      <c r="AS1284" s="378"/>
      <c r="AT1284" s="378"/>
      <c r="AU1284" s="378"/>
    </row>
    <row r="1285" spans="1:47" hidden="1" x14ac:dyDescent="0.25">
      <c r="A1285" s="378"/>
      <c r="B1285" s="378"/>
      <c r="C1285" s="378"/>
      <c r="D1285" s="378"/>
      <c r="E1285" s="378"/>
      <c r="F1285" s="378"/>
      <c r="G1285" s="378"/>
      <c r="H1285" s="378"/>
      <c r="I1285" s="378"/>
      <c r="J1285" s="378"/>
      <c r="K1285" s="378"/>
      <c r="L1285" s="378"/>
      <c r="M1285" s="378"/>
      <c r="N1285" s="378"/>
      <c r="O1285" s="378"/>
      <c r="P1285" s="378"/>
      <c r="Q1285" s="378"/>
      <c r="R1285" s="378"/>
      <c r="S1285" s="378"/>
      <c r="T1285" s="378"/>
      <c r="U1285" s="378"/>
      <c r="V1285" s="378"/>
      <c r="W1285" s="378"/>
      <c r="X1285" s="378"/>
      <c r="Y1285" s="378"/>
      <c r="Z1285" s="378"/>
      <c r="AA1285" s="378"/>
      <c r="AB1285" s="378"/>
      <c r="AC1285" s="378"/>
      <c r="AD1285" s="378"/>
      <c r="AE1285" s="378"/>
      <c r="AF1285" s="378"/>
      <c r="AG1285" s="378"/>
      <c r="AH1285" s="378"/>
      <c r="AI1285" s="378"/>
      <c r="AJ1285" s="378"/>
      <c r="AK1285" s="378"/>
      <c r="AL1285" s="378"/>
      <c r="AM1285" s="378"/>
      <c r="AN1285" s="378"/>
      <c r="AO1285" s="378"/>
      <c r="AP1285" s="378"/>
      <c r="AQ1285" s="378"/>
      <c r="AR1285" s="378"/>
      <c r="AS1285" s="378"/>
      <c r="AT1285" s="378"/>
      <c r="AU1285" s="378"/>
    </row>
    <row r="1286" spans="1:47" hidden="1" x14ac:dyDescent="0.25">
      <c r="A1286" s="378"/>
      <c r="B1286" s="378"/>
      <c r="C1286" s="378"/>
      <c r="D1286" s="378"/>
      <c r="E1286" s="378"/>
      <c r="F1286" s="378"/>
      <c r="G1286" s="378"/>
      <c r="H1286" s="378"/>
      <c r="I1286" s="378"/>
      <c r="J1286" s="378"/>
      <c r="K1286" s="378"/>
      <c r="L1286" s="378"/>
      <c r="M1286" s="378"/>
      <c r="N1286" s="378"/>
      <c r="O1286" s="378"/>
      <c r="P1286" s="378"/>
      <c r="Q1286" s="378"/>
      <c r="R1286" s="378"/>
      <c r="S1286" s="378"/>
      <c r="T1286" s="378"/>
      <c r="U1286" s="378"/>
      <c r="V1286" s="378"/>
      <c r="W1286" s="378"/>
      <c r="X1286" s="378"/>
      <c r="Y1286" s="378"/>
      <c r="Z1286" s="378"/>
      <c r="AA1286" s="378"/>
      <c r="AB1286" s="378"/>
      <c r="AC1286" s="378"/>
      <c r="AD1286" s="378"/>
      <c r="AE1286" s="378"/>
      <c r="AF1286" s="378"/>
      <c r="AG1286" s="378"/>
      <c r="AH1286" s="378"/>
      <c r="AI1286" s="378"/>
      <c r="AJ1286" s="378"/>
      <c r="AK1286" s="378"/>
      <c r="AL1286" s="378"/>
      <c r="AM1286" s="378"/>
      <c r="AN1286" s="378"/>
      <c r="AO1286" s="378"/>
      <c r="AP1286" s="378"/>
      <c r="AQ1286" s="378"/>
      <c r="AR1286" s="378"/>
      <c r="AS1286" s="378"/>
      <c r="AT1286" s="378"/>
      <c r="AU1286" s="378"/>
    </row>
    <row r="1287" spans="1:47" hidden="1" x14ac:dyDescent="0.25">
      <c r="A1287" s="378"/>
      <c r="B1287" s="378"/>
      <c r="C1287" s="378"/>
      <c r="D1287" s="378"/>
      <c r="E1287" s="378"/>
      <c r="F1287" s="378"/>
      <c r="G1287" s="378"/>
      <c r="H1287" s="378"/>
      <c r="I1287" s="378"/>
      <c r="J1287" s="378"/>
      <c r="K1287" s="378"/>
      <c r="L1287" s="378"/>
      <c r="M1287" s="378"/>
      <c r="N1287" s="378"/>
      <c r="O1287" s="378"/>
      <c r="P1287" s="378"/>
      <c r="Q1287" s="378"/>
      <c r="R1287" s="378"/>
      <c r="S1287" s="378"/>
      <c r="T1287" s="378"/>
      <c r="U1287" s="378"/>
      <c r="V1287" s="378"/>
      <c r="W1287" s="378"/>
      <c r="X1287" s="378"/>
      <c r="Y1287" s="378"/>
      <c r="Z1287" s="378"/>
      <c r="AA1287" s="378"/>
      <c r="AB1287" s="378"/>
      <c r="AC1287" s="378"/>
      <c r="AD1287" s="378"/>
      <c r="AE1287" s="378"/>
      <c r="AF1287" s="378"/>
      <c r="AG1287" s="378"/>
      <c r="AH1287" s="378"/>
      <c r="AI1287" s="378"/>
      <c r="AJ1287" s="378"/>
      <c r="AK1287" s="378"/>
      <c r="AL1287" s="378"/>
      <c r="AM1287" s="378"/>
      <c r="AN1287" s="378"/>
      <c r="AO1287" s="378"/>
      <c r="AP1287" s="378"/>
      <c r="AQ1287" s="378"/>
      <c r="AR1287" s="378"/>
      <c r="AS1287" s="378"/>
      <c r="AT1287" s="378"/>
      <c r="AU1287" s="378"/>
    </row>
    <row r="1288" spans="1:47" hidden="1" x14ac:dyDescent="0.25">
      <c r="A1288" s="378"/>
      <c r="B1288" s="378"/>
      <c r="C1288" s="378"/>
      <c r="D1288" s="378"/>
      <c r="E1288" s="378"/>
      <c r="F1288" s="378"/>
      <c r="G1288" s="378"/>
      <c r="H1288" s="378"/>
      <c r="I1288" s="378"/>
      <c r="J1288" s="378"/>
      <c r="K1288" s="378"/>
      <c r="L1288" s="378"/>
      <c r="M1288" s="378"/>
      <c r="N1288" s="378"/>
      <c r="O1288" s="378"/>
      <c r="P1288" s="378"/>
      <c r="Q1288" s="378"/>
      <c r="R1288" s="378"/>
      <c r="S1288" s="378"/>
      <c r="T1288" s="378"/>
      <c r="U1288" s="378"/>
      <c r="V1288" s="378"/>
      <c r="W1288" s="378"/>
      <c r="X1288" s="378"/>
      <c r="Y1288" s="378"/>
      <c r="Z1288" s="378"/>
      <c r="AA1288" s="378"/>
      <c r="AB1288" s="378"/>
      <c r="AC1288" s="378"/>
      <c r="AD1288" s="378"/>
      <c r="AE1288" s="378"/>
      <c r="AF1288" s="378"/>
      <c r="AG1288" s="378"/>
      <c r="AH1288" s="378"/>
      <c r="AI1288" s="378"/>
      <c r="AJ1288" s="378"/>
      <c r="AK1288" s="378"/>
      <c r="AL1288" s="378"/>
      <c r="AM1288" s="378"/>
      <c r="AN1288" s="378"/>
      <c r="AO1288" s="378"/>
      <c r="AP1288" s="378"/>
      <c r="AQ1288" s="378"/>
      <c r="AR1288" s="378"/>
      <c r="AS1288" s="378"/>
      <c r="AT1288" s="378"/>
      <c r="AU1288" s="378"/>
    </row>
    <row r="1289" spans="1:47" hidden="1" x14ac:dyDescent="0.25">
      <c r="A1289" s="378"/>
      <c r="B1289" s="378"/>
      <c r="C1289" s="378"/>
      <c r="D1289" s="378"/>
      <c r="E1289" s="378"/>
      <c r="F1289" s="378"/>
      <c r="G1289" s="378"/>
      <c r="H1289" s="378"/>
      <c r="I1289" s="378"/>
      <c r="J1289" s="378"/>
      <c r="K1289" s="378"/>
      <c r="L1289" s="378"/>
      <c r="M1289" s="378"/>
      <c r="N1289" s="378"/>
      <c r="O1289" s="378"/>
      <c r="P1289" s="378"/>
      <c r="Q1289" s="378"/>
      <c r="R1289" s="378"/>
      <c r="S1289" s="378"/>
      <c r="T1289" s="378"/>
      <c r="U1289" s="378"/>
      <c r="V1289" s="378"/>
      <c r="W1289" s="378"/>
      <c r="X1289" s="378"/>
      <c r="Y1289" s="378"/>
      <c r="Z1289" s="378"/>
      <c r="AA1289" s="378"/>
      <c r="AB1289" s="378"/>
      <c r="AC1289" s="378"/>
      <c r="AD1289" s="378"/>
      <c r="AE1289" s="378"/>
      <c r="AF1289" s="378"/>
      <c r="AG1289" s="378"/>
      <c r="AH1289" s="378"/>
      <c r="AI1289" s="378"/>
      <c r="AJ1289" s="378"/>
      <c r="AK1289" s="378"/>
      <c r="AL1289" s="378"/>
      <c r="AM1289" s="378"/>
      <c r="AN1289" s="378"/>
      <c r="AO1289" s="378"/>
      <c r="AP1289" s="378"/>
      <c r="AQ1289" s="378"/>
      <c r="AR1289" s="378"/>
      <c r="AS1289" s="378"/>
      <c r="AT1289" s="378"/>
      <c r="AU1289" s="378"/>
    </row>
    <row r="1290" spans="1:47" hidden="1" x14ac:dyDescent="0.25">
      <c r="A1290" s="378"/>
      <c r="B1290" s="378"/>
      <c r="C1290" s="378"/>
      <c r="D1290" s="378"/>
      <c r="E1290" s="378"/>
      <c r="F1290" s="378"/>
      <c r="G1290" s="378"/>
      <c r="H1290" s="378"/>
      <c r="I1290" s="378"/>
      <c r="J1290" s="378"/>
      <c r="K1290" s="378"/>
      <c r="L1290" s="378"/>
      <c r="M1290" s="378"/>
      <c r="N1290" s="378"/>
      <c r="O1290" s="378"/>
      <c r="P1290" s="378"/>
      <c r="Q1290" s="378"/>
      <c r="R1290" s="378"/>
      <c r="S1290" s="378"/>
      <c r="T1290" s="378"/>
      <c r="U1290" s="378"/>
      <c r="V1290" s="378"/>
      <c r="W1290" s="378"/>
      <c r="X1290" s="378"/>
      <c r="Y1290" s="378"/>
      <c r="Z1290" s="378"/>
      <c r="AA1290" s="378"/>
      <c r="AB1290" s="378"/>
      <c r="AC1290" s="378"/>
      <c r="AD1290" s="378"/>
      <c r="AE1290" s="378"/>
      <c r="AF1290" s="378"/>
      <c r="AG1290" s="378"/>
      <c r="AH1290" s="378"/>
      <c r="AI1290" s="378"/>
      <c r="AJ1290" s="378"/>
      <c r="AK1290" s="378"/>
      <c r="AL1290" s="378"/>
      <c r="AM1290" s="378"/>
      <c r="AN1290" s="378"/>
      <c r="AO1290" s="378"/>
      <c r="AP1290" s="378"/>
      <c r="AQ1290" s="378"/>
      <c r="AR1290" s="378"/>
      <c r="AS1290" s="378"/>
      <c r="AT1290" s="378"/>
      <c r="AU1290" s="378"/>
    </row>
    <row r="1291" spans="1:47" hidden="1" x14ac:dyDescent="0.25">
      <c r="A1291" s="378"/>
      <c r="B1291" s="378"/>
      <c r="C1291" s="378"/>
      <c r="D1291" s="378"/>
      <c r="E1291" s="378"/>
      <c r="F1291" s="378"/>
      <c r="G1291" s="378"/>
      <c r="H1291" s="378"/>
      <c r="I1291" s="378"/>
      <c r="J1291" s="378"/>
      <c r="K1291" s="378"/>
      <c r="L1291" s="378"/>
      <c r="M1291" s="378"/>
      <c r="N1291" s="378"/>
      <c r="O1291" s="378"/>
      <c r="P1291" s="378"/>
      <c r="Q1291" s="378"/>
      <c r="R1291" s="378"/>
      <c r="S1291" s="378"/>
      <c r="T1291" s="378"/>
      <c r="U1291" s="378"/>
      <c r="V1291" s="378"/>
      <c r="W1291" s="378"/>
      <c r="X1291" s="378"/>
      <c r="Y1291" s="378"/>
      <c r="Z1291" s="378"/>
      <c r="AA1291" s="378"/>
      <c r="AB1291" s="378"/>
      <c r="AC1291" s="378"/>
      <c r="AD1291" s="378"/>
      <c r="AE1291" s="378"/>
      <c r="AF1291" s="378"/>
      <c r="AG1291" s="378"/>
      <c r="AH1291" s="378"/>
      <c r="AI1291" s="378"/>
      <c r="AJ1291" s="378"/>
      <c r="AK1291" s="378"/>
      <c r="AL1291" s="378"/>
      <c r="AM1291" s="378"/>
      <c r="AN1291" s="378"/>
      <c r="AO1291" s="378"/>
      <c r="AP1291" s="378"/>
      <c r="AQ1291" s="378"/>
      <c r="AR1291" s="378"/>
      <c r="AS1291" s="378"/>
      <c r="AT1291" s="378"/>
      <c r="AU1291" s="378"/>
    </row>
    <row r="1292" spans="1:47" hidden="1" x14ac:dyDescent="0.25">
      <c r="A1292" s="378"/>
      <c r="B1292" s="378"/>
      <c r="C1292" s="378"/>
      <c r="D1292" s="378"/>
      <c r="E1292" s="378"/>
      <c r="F1292" s="378"/>
      <c r="G1292" s="378"/>
      <c r="H1292" s="378"/>
      <c r="I1292" s="378"/>
      <c r="J1292" s="378"/>
      <c r="K1292" s="378"/>
      <c r="L1292" s="378"/>
      <c r="M1292" s="378"/>
      <c r="N1292" s="378"/>
      <c r="O1292" s="378"/>
      <c r="P1292" s="378"/>
      <c r="Q1292" s="378"/>
      <c r="R1292" s="378"/>
      <c r="S1292" s="378"/>
      <c r="T1292" s="378"/>
      <c r="U1292" s="378"/>
      <c r="V1292" s="378"/>
      <c r="W1292" s="378"/>
      <c r="X1292" s="378"/>
      <c r="Y1292" s="378"/>
      <c r="Z1292" s="378"/>
      <c r="AA1292" s="378"/>
      <c r="AB1292" s="378"/>
      <c r="AC1292" s="378"/>
      <c r="AD1292" s="378"/>
      <c r="AE1292" s="378"/>
      <c r="AF1292" s="378"/>
      <c r="AG1292" s="378"/>
      <c r="AH1292" s="378"/>
      <c r="AI1292" s="378"/>
      <c r="AJ1292" s="378"/>
      <c r="AK1292" s="378"/>
      <c r="AL1292" s="378"/>
      <c r="AM1292" s="378"/>
      <c r="AN1292" s="378"/>
      <c r="AO1292" s="378"/>
      <c r="AP1292" s="378"/>
      <c r="AQ1292" s="378"/>
      <c r="AR1292" s="378"/>
      <c r="AS1292" s="378"/>
      <c r="AT1292" s="378"/>
      <c r="AU1292" s="378"/>
    </row>
    <row r="1293" spans="1:47" hidden="1" x14ac:dyDescent="0.25">
      <c r="A1293" s="378"/>
      <c r="B1293" s="378"/>
      <c r="C1293" s="378"/>
      <c r="D1293" s="378"/>
      <c r="E1293" s="378"/>
      <c r="F1293" s="378"/>
      <c r="G1293" s="378"/>
      <c r="H1293" s="378"/>
      <c r="I1293" s="378"/>
      <c r="J1293" s="378"/>
      <c r="K1293" s="378"/>
      <c r="L1293" s="378"/>
      <c r="M1293" s="378"/>
      <c r="N1293" s="378"/>
      <c r="O1293" s="378"/>
      <c r="P1293" s="378"/>
      <c r="Q1293" s="378"/>
      <c r="R1293" s="378"/>
      <c r="S1293" s="378"/>
      <c r="T1293" s="378"/>
      <c r="U1293" s="378"/>
      <c r="V1293" s="378"/>
      <c r="W1293" s="378"/>
      <c r="X1293" s="378"/>
      <c r="Y1293" s="378"/>
      <c r="Z1293" s="378"/>
      <c r="AA1293" s="378"/>
      <c r="AB1293" s="378"/>
      <c r="AC1293" s="378"/>
      <c r="AD1293" s="378"/>
      <c r="AE1293" s="378"/>
      <c r="AF1293" s="378"/>
      <c r="AG1293" s="378"/>
      <c r="AH1293" s="378"/>
      <c r="AI1293" s="378"/>
      <c r="AJ1293" s="378"/>
      <c r="AK1293" s="378"/>
      <c r="AL1293" s="378"/>
      <c r="AM1293" s="378"/>
      <c r="AN1293" s="378"/>
      <c r="AO1293" s="378"/>
      <c r="AP1293" s="378"/>
      <c r="AQ1293" s="378"/>
      <c r="AR1293" s="378"/>
      <c r="AS1293" s="378"/>
      <c r="AT1293" s="378"/>
      <c r="AU1293" s="378"/>
    </row>
    <row r="1294" spans="1:47" hidden="1" x14ac:dyDescent="0.25">
      <c r="A1294" s="378"/>
      <c r="B1294" s="378"/>
      <c r="C1294" s="378"/>
      <c r="D1294" s="378"/>
      <c r="E1294" s="378"/>
      <c r="F1294" s="378"/>
      <c r="G1294" s="378"/>
      <c r="H1294" s="378"/>
      <c r="I1294" s="378"/>
      <c r="J1294" s="378"/>
      <c r="K1294" s="378"/>
      <c r="L1294" s="378"/>
      <c r="M1294" s="378"/>
      <c r="N1294" s="378"/>
      <c r="O1294" s="378"/>
      <c r="P1294" s="378"/>
      <c r="Q1294" s="378"/>
      <c r="R1294" s="378"/>
      <c r="S1294" s="378"/>
      <c r="T1294" s="378"/>
      <c r="U1294" s="378"/>
      <c r="V1294" s="378"/>
      <c r="W1294" s="378"/>
      <c r="X1294" s="378"/>
      <c r="Y1294" s="378"/>
      <c r="Z1294" s="378"/>
      <c r="AA1294" s="378"/>
      <c r="AB1294" s="378"/>
      <c r="AC1294" s="378"/>
      <c r="AD1294" s="378"/>
      <c r="AE1294" s="378"/>
      <c r="AF1294" s="378"/>
      <c r="AG1294" s="378"/>
      <c r="AH1294" s="378"/>
      <c r="AI1294" s="378"/>
      <c r="AJ1294" s="378"/>
      <c r="AK1294" s="378"/>
      <c r="AL1294" s="378"/>
      <c r="AM1294" s="378"/>
      <c r="AN1294" s="378"/>
      <c r="AO1294" s="378"/>
      <c r="AP1294" s="378"/>
      <c r="AQ1294" s="378"/>
      <c r="AR1294" s="378"/>
      <c r="AS1294" s="378"/>
      <c r="AT1294" s="378"/>
      <c r="AU1294" s="378"/>
    </row>
    <row r="1295" spans="1:47" hidden="1" x14ac:dyDescent="0.25">
      <c r="A1295" s="378"/>
      <c r="B1295" s="378"/>
      <c r="C1295" s="378"/>
      <c r="D1295" s="378"/>
      <c r="E1295" s="378"/>
      <c r="F1295" s="378"/>
      <c r="G1295" s="378"/>
      <c r="H1295" s="378"/>
      <c r="I1295" s="378"/>
      <c r="J1295" s="378"/>
      <c r="K1295" s="378"/>
      <c r="L1295" s="378"/>
      <c r="M1295" s="378"/>
      <c r="N1295" s="378"/>
      <c r="O1295" s="378"/>
      <c r="P1295" s="378"/>
      <c r="Q1295" s="378"/>
      <c r="R1295" s="378"/>
      <c r="S1295" s="378"/>
      <c r="T1295" s="378"/>
      <c r="U1295" s="378"/>
      <c r="V1295" s="378"/>
      <c r="W1295" s="378"/>
      <c r="X1295" s="378"/>
      <c r="Y1295" s="378"/>
      <c r="Z1295" s="378"/>
      <c r="AA1295" s="378"/>
      <c r="AB1295" s="378"/>
      <c r="AC1295" s="378"/>
      <c r="AD1295" s="378"/>
      <c r="AE1295" s="378"/>
      <c r="AF1295" s="378"/>
      <c r="AG1295" s="378"/>
      <c r="AH1295" s="378"/>
      <c r="AI1295" s="378"/>
      <c r="AJ1295" s="378"/>
      <c r="AK1295" s="378"/>
      <c r="AL1295" s="378"/>
      <c r="AM1295" s="378"/>
      <c r="AN1295" s="378"/>
      <c r="AO1295" s="378"/>
      <c r="AP1295" s="378"/>
      <c r="AQ1295" s="378"/>
      <c r="AR1295" s="378"/>
      <c r="AS1295" s="378"/>
      <c r="AT1295" s="378"/>
      <c r="AU1295" s="378"/>
    </row>
    <row r="1296" spans="1:47" hidden="1" x14ac:dyDescent="0.25">
      <c r="A1296" s="378"/>
      <c r="B1296" s="378"/>
      <c r="C1296" s="378"/>
      <c r="D1296" s="378"/>
      <c r="E1296" s="378"/>
      <c r="F1296" s="378"/>
      <c r="G1296" s="378"/>
      <c r="H1296" s="378"/>
      <c r="I1296" s="378"/>
      <c r="J1296" s="378"/>
      <c r="K1296" s="378"/>
      <c r="L1296" s="378"/>
      <c r="M1296" s="378"/>
      <c r="N1296" s="378"/>
      <c r="O1296" s="378"/>
      <c r="P1296" s="378"/>
      <c r="Q1296" s="378"/>
      <c r="R1296" s="378"/>
      <c r="S1296" s="378"/>
      <c r="T1296" s="378"/>
      <c r="U1296" s="378"/>
      <c r="V1296" s="378"/>
      <c r="W1296" s="378"/>
      <c r="X1296" s="378"/>
      <c r="Y1296" s="378"/>
      <c r="Z1296" s="378"/>
      <c r="AA1296" s="378"/>
      <c r="AB1296" s="378"/>
      <c r="AC1296" s="378"/>
      <c r="AD1296" s="378"/>
      <c r="AE1296" s="378"/>
      <c r="AF1296" s="378"/>
      <c r="AG1296" s="378"/>
      <c r="AH1296" s="378"/>
      <c r="AI1296" s="378"/>
      <c r="AJ1296" s="378"/>
      <c r="AK1296" s="378"/>
      <c r="AL1296" s="378"/>
      <c r="AM1296" s="378"/>
      <c r="AN1296" s="378"/>
      <c r="AO1296" s="378"/>
      <c r="AP1296" s="378"/>
      <c r="AQ1296" s="378"/>
      <c r="AR1296" s="378"/>
      <c r="AS1296" s="378"/>
      <c r="AT1296" s="378"/>
      <c r="AU1296" s="378"/>
    </row>
    <row r="1297" spans="1:47" hidden="1" x14ac:dyDescent="0.25">
      <c r="A1297" s="378"/>
      <c r="B1297" s="378"/>
      <c r="C1297" s="378"/>
      <c r="D1297" s="378"/>
      <c r="E1297" s="378"/>
      <c r="F1297" s="378"/>
      <c r="G1297" s="378"/>
      <c r="H1297" s="378"/>
      <c r="I1297" s="378"/>
      <c r="J1297" s="378"/>
      <c r="K1297" s="378"/>
      <c r="L1297" s="378"/>
      <c r="M1297" s="378"/>
      <c r="N1297" s="378"/>
      <c r="O1297" s="378"/>
      <c r="P1297" s="378"/>
      <c r="Q1297" s="378"/>
      <c r="R1297" s="378"/>
      <c r="S1297" s="378"/>
      <c r="T1297" s="378"/>
      <c r="U1297" s="378"/>
      <c r="V1297" s="378"/>
      <c r="W1297" s="378"/>
      <c r="X1297" s="378"/>
      <c r="Y1297" s="378"/>
      <c r="Z1297" s="378"/>
      <c r="AA1297" s="378"/>
      <c r="AB1297" s="378"/>
      <c r="AC1297" s="378"/>
      <c r="AD1297" s="378"/>
      <c r="AE1297" s="378"/>
      <c r="AF1297" s="378"/>
      <c r="AG1297" s="378"/>
      <c r="AH1297" s="378"/>
      <c r="AI1297" s="378"/>
      <c r="AJ1297" s="378"/>
      <c r="AK1297" s="378"/>
      <c r="AL1297" s="378"/>
      <c r="AM1297" s="378"/>
      <c r="AN1297" s="378"/>
      <c r="AO1297" s="378"/>
      <c r="AP1297" s="378"/>
      <c r="AQ1297" s="378"/>
      <c r="AR1297" s="378"/>
      <c r="AS1297" s="378"/>
      <c r="AT1297" s="378"/>
      <c r="AU1297" s="378"/>
    </row>
    <row r="1298" spans="1:47" hidden="1" x14ac:dyDescent="0.25">
      <c r="A1298" s="378"/>
      <c r="B1298" s="378"/>
      <c r="C1298" s="378"/>
      <c r="D1298" s="378"/>
      <c r="E1298" s="378"/>
      <c r="F1298" s="378"/>
      <c r="G1298" s="378"/>
      <c r="H1298" s="378"/>
      <c r="I1298" s="378"/>
      <c r="J1298" s="378"/>
      <c r="K1298" s="378"/>
      <c r="L1298" s="378"/>
      <c r="M1298" s="378"/>
      <c r="N1298" s="378"/>
      <c r="O1298" s="378"/>
      <c r="P1298" s="378"/>
      <c r="Q1298" s="378"/>
      <c r="R1298" s="378"/>
      <c r="S1298" s="378"/>
      <c r="T1298" s="378"/>
      <c r="U1298" s="378"/>
      <c r="V1298" s="378"/>
      <c r="W1298" s="378"/>
      <c r="X1298" s="378"/>
      <c r="Y1298" s="378"/>
      <c r="Z1298" s="378"/>
      <c r="AA1298" s="378"/>
      <c r="AB1298" s="378"/>
      <c r="AC1298" s="378"/>
      <c r="AD1298" s="378"/>
      <c r="AE1298" s="378"/>
      <c r="AF1298" s="378"/>
      <c r="AG1298" s="378"/>
      <c r="AH1298" s="378"/>
      <c r="AI1298" s="378"/>
      <c r="AJ1298" s="378"/>
      <c r="AK1298" s="378"/>
      <c r="AL1298" s="378"/>
      <c r="AM1298" s="378"/>
      <c r="AN1298" s="378"/>
      <c r="AO1298" s="378"/>
      <c r="AP1298" s="378"/>
      <c r="AQ1298" s="378"/>
      <c r="AR1298" s="378"/>
      <c r="AS1298" s="378"/>
      <c r="AT1298" s="378"/>
      <c r="AU1298" s="378"/>
    </row>
    <row r="1299" spans="1:47" hidden="1" x14ac:dyDescent="0.25">
      <c r="A1299" s="378"/>
      <c r="B1299" s="378"/>
      <c r="C1299" s="378"/>
      <c r="D1299" s="378"/>
      <c r="E1299" s="378"/>
      <c r="F1299" s="378"/>
      <c r="G1299" s="378"/>
      <c r="H1299" s="378"/>
      <c r="I1299" s="378"/>
      <c r="J1299" s="378"/>
      <c r="K1299" s="378"/>
      <c r="L1299" s="378"/>
      <c r="M1299" s="378"/>
      <c r="N1299" s="378"/>
      <c r="O1299" s="378"/>
      <c r="P1299" s="378"/>
      <c r="Q1299" s="378"/>
      <c r="R1299" s="378"/>
      <c r="S1299" s="378"/>
      <c r="T1299" s="378"/>
      <c r="U1299" s="378"/>
      <c r="V1299" s="378"/>
      <c r="W1299" s="378"/>
      <c r="X1299" s="378"/>
      <c r="Y1299" s="378"/>
      <c r="Z1299" s="378"/>
      <c r="AA1299" s="378"/>
      <c r="AB1299" s="378"/>
      <c r="AC1299" s="378"/>
      <c r="AD1299" s="378"/>
      <c r="AE1299" s="378"/>
      <c r="AF1299" s="378"/>
      <c r="AG1299" s="378"/>
      <c r="AH1299" s="378"/>
      <c r="AI1299" s="378"/>
      <c r="AJ1299" s="378"/>
      <c r="AK1299" s="378"/>
      <c r="AL1299" s="378"/>
      <c r="AM1299" s="378"/>
      <c r="AN1299" s="378"/>
      <c r="AO1299" s="378"/>
      <c r="AP1299" s="378"/>
      <c r="AQ1299" s="378"/>
      <c r="AR1299" s="378"/>
      <c r="AS1299" s="378"/>
      <c r="AT1299" s="378"/>
      <c r="AU1299" s="378"/>
    </row>
    <row r="1300" spans="1:47" hidden="1" x14ac:dyDescent="0.25">
      <c r="A1300" s="378"/>
      <c r="B1300" s="378"/>
      <c r="C1300" s="378"/>
      <c r="D1300" s="378"/>
      <c r="E1300" s="378"/>
      <c r="F1300" s="378"/>
      <c r="G1300" s="378"/>
      <c r="H1300" s="378"/>
      <c r="I1300" s="378"/>
      <c r="J1300" s="378"/>
      <c r="K1300" s="378"/>
      <c r="L1300" s="378"/>
      <c r="M1300" s="378"/>
      <c r="N1300" s="378"/>
      <c r="O1300" s="378"/>
      <c r="P1300" s="378"/>
      <c r="Q1300" s="378"/>
      <c r="R1300" s="378"/>
      <c r="S1300" s="378"/>
      <c r="T1300" s="378"/>
      <c r="U1300" s="378"/>
      <c r="V1300" s="378"/>
      <c r="W1300" s="378"/>
      <c r="X1300" s="378"/>
      <c r="Y1300" s="378"/>
      <c r="Z1300" s="378"/>
      <c r="AA1300" s="378"/>
      <c r="AB1300" s="378"/>
      <c r="AC1300" s="378"/>
      <c r="AD1300" s="378"/>
      <c r="AE1300" s="378"/>
      <c r="AF1300" s="378"/>
      <c r="AG1300" s="378"/>
      <c r="AH1300" s="378"/>
      <c r="AI1300" s="378"/>
      <c r="AJ1300" s="378"/>
      <c r="AK1300" s="378"/>
      <c r="AL1300" s="378"/>
      <c r="AM1300" s="378"/>
      <c r="AN1300" s="378"/>
      <c r="AO1300" s="378"/>
      <c r="AP1300" s="378"/>
      <c r="AQ1300" s="378"/>
      <c r="AR1300" s="378"/>
      <c r="AS1300" s="378"/>
      <c r="AT1300" s="378"/>
      <c r="AU1300" s="378"/>
    </row>
    <row r="1301" spans="1:47" hidden="1" x14ac:dyDescent="0.25">
      <c r="A1301" s="378"/>
      <c r="B1301" s="378"/>
      <c r="C1301" s="378"/>
      <c r="D1301" s="378"/>
      <c r="E1301" s="378"/>
      <c r="F1301" s="378"/>
      <c r="G1301" s="378"/>
      <c r="H1301" s="378"/>
      <c r="I1301" s="378"/>
      <c r="J1301" s="378"/>
      <c r="K1301" s="378"/>
      <c r="L1301" s="378"/>
      <c r="M1301" s="378"/>
      <c r="N1301" s="378"/>
      <c r="O1301" s="378"/>
      <c r="P1301" s="378"/>
      <c r="Q1301" s="378"/>
      <c r="R1301" s="378"/>
      <c r="S1301" s="378"/>
      <c r="T1301" s="378"/>
      <c r="U1301" s="378"/>
      <c r="V1301" s="378"/>
      <c r="W1301" s="378"/>
      <c r="X1301" s="378"/>
      <c r="Y1301" s="378"/>
      <c r="Z1301" s="378"/>
      <c r="AA1301" s="378"/>
      <c r="AB1301" s="378"/>
      <c r="AC1301" s="378"/>
      <c r="AD1301" s="378"/>
      <c r="AE1301" s="378"/>
      <c r="AF1301" s="378"/>
      <c r="AG1301" s="378"/>
      <c r="AH1301" s="378"/>
      <c r="AI1301" s="378"/>
      <c r="AJ1301" s="378"/>
      <c r="AK1301" s="378"/>
      <c r="AL1301" s="378"/>
      <c r="AM1301" s="378"/>
      <c r="AN1301" s="378"/>
      <c r="AO1301" s="378"/>
      <c r="AP1301" s="378"/>
      <c r="AQ1301" s="378"/>
      <c r="AR1301" s="378"/>
      <c r="AS1301" s="378"/>
      <c r="AT1301" s="378"/>
      <c r="AU1301" s="378"/>
    </row>
    <row r="1302" spans="1:47" hidden="1" x14ac:dyDescent="0.25">
      <c r="A1302" s="378"/>
      <c r="B1302" s="378"/>
      <c r="C1302" s="378"/>
      <c r="D1302" s="378"/>
      <c r="E1302" s="378"/>
      <c r="F1302" s="378"/>
      <c r="G1302" s="378"/>
      <c r="H1302" s="378"/>
      <c r="I1302" s="378"/>
      <c r="J1302" s="378"/>
      <c r="K1302" s="378"/>
      <c r="L1302" s="378"/>
      <c r="M1302" s="378"/>
      <c r="N1302" s="378"/>
      <c r="O1302" s="378"/>
      <c r="P1302" s="378"/>
      <c r="Q1302" s="378"/>
      <c r="R1302" s="378"/>
      <c r="S1302" s="378"/>
      <c r="T1302" s="378"/>
      <c r="U1302" s="378"/>
      <c r="V1302" s="378"/>
      <c r="W1302" s="378"/>
      <c r="X1302" s="378"/>
      <c r="Y1302" s="378"/>
      <c r="Z1302" s="378"/>
      <c r="AA1302" s="378"/>
      <c r="AB1302" s="378"/>
      <c r="AC1302" s="378"/>
      <c r="AD1302" s="378"/>
      <c r="AE1302" s="378"/>
      <c r="AF1302" s="378"/>
      <c r="AG1302" s="378"/>
      <c r="AH1302" s="378"/>
      <c r="AI1302" s="378"/>
      <c r="AJ1302" s="378"/>
      <c r="AK1302" s="378"/>
      <c r="AL1302" s="378"/>
      <c r="AM1302" s="378"/>
      <c r="AN1302" s="378"/>
      <c r="AO1302" s="378"/>
      <c r="AP1302" s="378"/>
      <c r="AQ1302" s="378"/>
      <c r="AR1302" s="378"/>
      <c r="AS1302" s="378"/>
      <c r="AT1302" s="378"/>
      <c r="AU1302" s="378"/>
    </row>
    <row r="1303" spans="1:47" hidden="1" x14ac:dyDescent="0.25">
      <c r="A1303" s="378"/>
      <c r="B1303" s="378"/>
      <c r="C1303" s="378"/>
      <c r="D1303" s="378"/>
      <c r="E1303" s="378"/>
      <c r="F1303" s="378"/>
      <c r="G1303" s="378"/>
      <c r="H1303" s="378"/>
      <c r="I1303" s="378"/>
      <c r="J1303" s="378"/>
      <c r="K1303" s="378"/>
      <c r="L1303" s="378"/>
      <c r="M1303" s="378"/>
      <c r="N1303" s="378"/>
      <c r="O1303" s="378"/>
      <c r="P1303" s="378"/>
      <c r="Q1303" s="378"/>
      <c r="R1303" s="378"/>
      <c r="S1303" s="378"/>
      <c r="T1303" s="378"/>
      <c r="U1303" s="378"/>
      <c r="V1303" s="378"/>
      <c r="W1303" s="378"/>
      <c r="X1303" s="378"/>
      <c r="Y1303" s="378"/>
      <c r="Z1303" s="378"/>
      <c r="AA1303" s="378"/>
      <c r="AB1303" s="378"/>
      <c r="AC1303" s="378"/>
      <c r="AD1303" s="378"/>
      <c r="AE1303" s="378"/>
      <c r="AF1303" s="378"/>
      <c r="AG1303" s="378"/>
      <c r="AH1303" s="378"/>
      <c r="AI1303" s="378"/>
      <c r="AJ1303" s="378"/>
      <c r="AK1303" s="378"/>
      <c r="AL1303" s="378"/>
      <c r="AM1303" s="378"/>
      <c r="AN1303" s="378"/>
      <c r="AO1303" s="378"/>
      <c r="AP1303" s="378"/>
      <c r="AQ1303" s="378"/>
      <c r="AR1303" s="378"/>
      <c r="AS1303" s="378"/>
      <c r="AT1303" s="378"/>
      <c r="AU1303" s="378"/>
    </row>
    <row r="1304" spans="1:47" hidden="1" x14ac:dyDescent="0.25">
      <c r="A1304" s="378"/>
      <c r="B1304" s="378"/>
      <c r="C1304" s="378"/>
      <c r="D1304" s="378"/>
      <c r="E1304" s="378"/>
      <c r="F1304" s="378"/>
      <c r="G1304" s="378"/>
      <c r="H1304" s="378"/>
      <c r="I1304" s="378"/>
      <c r="J1304" s="378"/>
      <c r="K1304" s="378"/>
      <c r="L1304" s="378"/>
      <c r="M1304" s="378"/>
      <c r="N1304" s="378"/>
      <c r="O1304" s="378"/>
      <c r="P1304" s="378"/>
      <c r="Q1304" s="378"/>
      <c r="R1304" s="378"/>
      <c r="S1304" s="378"/>
      <c r="T1304" s="378"/>
      <c r="U1304" s="378"/>
      <c r="V1304" s="378"/>
      <c r="W1304" s="378"/>
      <c r="X1304" s="378"/>
      <c r="Y1304" s="378"/>
      <c r="Z1304" s="378"/>
      <c r="AA1304" s="378"/>
      <c r="AB1304" s="378"/>
      <c r="AC1304" s="378"/>
      <c r="AD1304" s="378"/>
      <c r="AE1304" s="378"/>
      <c r="AF1304" s="378"/>
      <c r="AG1304" s="378"/>
      <c r="AH1304" s="378"/>
      <c r="AI1304" s="378"/>
      <c r="AJ1304" s="378"/>
      <c r="AK1304" s="378"/>
      <c r="AL1304" s="378"/>
      <c r="AM1304" s="378"/>
      <c r="AN1304" s="378"/>
      <c r="AO1304" s="378"/>
      <c r="AP1304" s="378"/>
      <c r="AQ1304" s="378"/>
      <c r="AR1304" s="378"/>
      <c r="AS1304" s="378"/>
      <c r="AT1304" s="378"/>
      <c r="AU1304" s="378"/>
    </row>
    <row r="1305" spans="1:47" hidden="1" x14ac:dyDescent="0.25">
      <c r="A1305" s="378"/>
      <c r="B1305" s="378"/>
      <c r="C1305" s="378"/>
      <c r="D1305" s="378"/>
      <c r="E1305" s="378"/>
      <c r="F1305" s="378"/>
      <c r="G1305" s="378"/>
      <c r="H1305" s="378"/>
      <c r="I1305" s="378"/>
      <c r="J1305" s="378"/>
      <c r="K1305" s="378"/>
      <c r="L1305" s="378"/>
      <c r="M1305" s="378"/>
      <c r="N1305" s="378"/>
      <c r="O1305" s="378"/>
      <c r="P1305" s="378"/>
      <c r="Q1305" s="378"/>
      <c r="R1305" s="378"/>
      <c r="S1305" s="378"/>
      <c r="T1305" s="378"/>
      <c r="U1305" s="378"/>
      <c r="V1305" s="378"/>
      <c r="W1305" s="378"/>
      <c r="X1305" s="378"/>
      <c r="Y1305" s="378"/>
      <c r="Z1305" s="378"/>
      <c r="AA1305" s="378"/>
      <c r="AB1305" s="378"/>
      <c r="AC1305" s="378"/>
      <c r="AD1305" s="378"/>
      <c r="AE1305" s="378"/>
      <c r="AF1305" s="378"/>
      <c r="AG1305" s="378"/>
      <c r="AH1305" s="378"/>
      <c r="AI1305" s="378"/>
      <c r="AJ1305" s="378"/>
      <c r="AK1305" s="378"/>
      <c r="AL1305" s="378"/>
      <c r="AM1305" s="378"/>
      <c r="AN1305" s="378"/>
      <c r="AO1305" s="378"/>
      <c r="AP1305" s="378"/>
      <c r="AQ1305" s="378"/>
      <c r="AR1305" s="378"/>
      <c r="AS1305" s="378"/>
      <c r="AT1305" s="378"/>
      <c r="AU1305" s="378"/>
    </row>
    <row r="1306" spans="1:47" hidden="1" x14ac:dyDescent="0.25">
      <c r="A1306" s="378"/>
      <c r="B1306" s="378"/>
      <c r="C1306" s="378"/>
      <c r="D1306" s="378"/>
      <c r="E1306" s="378"/>
      <c r="F1306" s="378"/>
      <c r="G1306" s="378"/>
      <c r="H1306" s="378"/>
      <c r="I1306" s="378"/>
      <c r="J1306" s="378"/>
      <c r="K1306" s="378"/>
      <c r="L1306" s="378"/>
      <c r="M1306" s="378"/>
      <c r="N1306" s="378"/>
      <c r="O1306" s="378"/>
      <c r="P1306" s="378"/>
      <c r="Q1306" s="378"/>
      <c r="R1306" s="378"/>
      <c r="S1306" s="378"/>
      <c r="T1306" s="378"/>
      <c r="U1306" s="378"/>
      <c r="V1306" s="378"/>
      <c r="W1306" s="378"/>
      <c r="X1306" s="378"/>
      <c r="Y1306" s="378"/>
      <c r="Z1306" s="378"/>
      <c r="AA1306" s="378"/>
      <c r="AB1306" s="378"/>
      <c r="AC1306" s="378"/>
      <c r="AD1306" s="378"/>
      <c r="AE1306" s="378"/>
      <c r="AF1306" s="378"/>
      <c r="AG1306" s="378"/>
      <c r="AH1306" s="378"/>
      <c r="AI1306" s="378"/>
      <c r="AJ1306" s="378"/>
      <c r="AK1306" s="378"/>
      <c r="AL1306" s="378"/>
      <c r="AM1306" s="378"/>
      <c r="AN1306" s="378"/>
      <c r="AO1306" s="378"/>
      <c r="AP1306" s="378"/>
      <c r="AQ1306" s="378"/>
      <c r="AR1306" s="378"/>
      <c r="AS1306" s="378"/>
      <c r="AT1306" s="378"/>
      <c r="AU1306" s="378"/>
    </row>
    <row r="1307" spans="1:47" hidden="1" x14ac:dyDescent="0.25">
      <c r="A1307" s="378"/>
      <c r="B1307" s="378"/>
      <c r="C1307" s="378"/>
      <c r="D1307" s="378"/>
      <c r="E1307" s="378"/>
      <c r="F1307" s="378"/>
      <c r="G1307" s="378"/>
      <c r="H1307" s="378"/>
      <c r="I1307" s="378"/>
      <c r="J1307" s="378"/>
      <c r="K1307" s="378"/>
      <c r="L1307" s="378"/>
      <c r="M1307" s="378"/>
      <c r="N1307" s="378"/>
      <c r="O1307" s="378"/>
      <c r="P1307" s="378"/>
      <c r="Q1307" s="378"/>
      <c r="R1307" s="378"/>
      <c r="S1307" s="378"/>
      <c r="T1307" s="378"/>
      <c r="U1307" s="378"/>
      <c r="V1307" s="378"/>
      <c r="W1307" s="378"/>
      <c r="X1307" s="378"/>
      <c r="Y1307" s="378"/>
      <c r="Z1307" s="378"/>
      <c r="AA1307" s="378"/>
      <c r="AB1307" s="378"/>
      <c r="AC1307" s="378"/>
      <c r="AD1307" s="378"/>
      <c r="AE1307" s="378"/>
      <c r="AF1307" s="378"/>
      <c r="AG1307" s="378"/>
      <c r="AH1307" s="378"/>
      <c r="AI1307" s="378"/>
      <c r="AJ1307" s="378"/>
      <c r="AK1307" s="378"/>
      <c r="AL1307" s="378"/>
      <c r="AM1307" s="378"/>
      <c r="AN1307" s="378"/>
      <c r="AO1307" s="378"/>
      <c r="AP1307" s="378"/>
      <c r="AQ1307" s="378"/>
      <c r="AR1307" s="378"/>
      <c r="AS1307" s="378"/>
      <c r="AT1307" s="378"/>
      <c r="AU1307" s="378"/>
    </row>
    <row r="1308" spans="1:47" hidden="1" x14ac:dyDescent="0.25">
      <c r="A1308" s="378"/>
      <c r="B1308" s="378"/>
      <c r="C1308" s="378"/>
      <c r="D1308" s="378"/>
      <c r="E1308" s="378"/>
      <c r="F1308" s="378"/>
      <c r="G1308" s="378"/>
      <c r="H1308" s="378"/>
      <c r="I1308" s="378"/>
      <c r="J1308" s="378"/>
      <c r="K1308" s="378"/>
      <c r="L1308" s="378"/>
      <c r="M1308" s="378"/>
      <c r="N1308" s="378"/>
      <c r="O1308" s="378"/>
      <c r="P1308" s="378"/>
      <c r="Q1308" s="378"/>
      <c r="R1308" s="378"/>
      <c r="S1308" s="378"/>
      <c r="T1308" s="378"/>
      <c r="U1308" s="378"/>
      <c r="V1308" s="378"/>
      <c r="W1308" s="378"/>
      <c r="X1308" s="378"/>
      <c r="Y1308" s="378"/>
      <c r="Z1308" s="378"/>
      <c r="AA1308" s="378"/>
      <c r="AB1308" s="378"/>
      <c r="AC1308" s="378"/>
      <c r="AD1308" s="378"/>
      <c r="AE1308" s="378"/>
      <c r="AF1308" s="378"/>
      <c r="AG1308" s="378"/>
      <c r="AH1308" s="378"/>
      <c r="AI1308" s="378"/>
      <c r="AJ1308" s="378"/>
      <c r="AK1308" s="378"/>
      <c r="AL1308" s="378"/>
      <c r="AM1308" s="378"/>
      <c r="AN1308" s="378"/>
      <c r="AO1308" s="378"/>
      <c r="AP1308" s="378"/>
      <c r="AQ1308" s="378"/>
      <c r="AR1308" s="378"/>
      <c r="AS1308" s="378"/>
      <c r="AT1308" s="378"/>
      <c r="AU1308" s="378"/>
    </row>
    <row r="1309" spans="1:47" hidden="1" x14ac:dyDescent="0.25">
      <c r="A1309" s="378"/>
      <c r="B1309" s="378"/>
      <c r="C1309" s="378"/>
      <c r="D1309" s="378"/>
      <c r="E1309" s="378"/>
      <c r="F1309" s="378"/>
      <c r="G1309" s="378"/>
      <c r="H1309" s="378"/>
      <c r="I1309" s="378"/>
      <c r="J1309" s="378"/>
      <c r="K1309" s="378"/>
      <c r="L1309" s="378"/>
      <c r="M1309" s="378"/>
      <c r="N1309" s="378"/>
      <c r="O1309" s="378"/>
      <c r="P1309" s="378"/>
      <c r="Q1309" s="378"/>
      <c r="R1309" s="378"/>
      <c r="S1309" s="378"/>
      <c r="T1309" s="378"/>
      <c r="U1309" s="378"/>
      <c r="V1309" s="378"/>
      <c r="W1309" s="378"/>
      <c r="X1309" s="378"/>
      <c r="Y1309" s="378"/>
      <c r="Z1309" s="378"/>
      <c r="AA1309" s="378"/>
      <c r="AB1309" s="378"/>
      <c r="AC1309" s="378"/>
      <c r="AD1309" s="378"/>
      <c r="AE1309" s="378"/>
      <c r="AF1309" s="378"/>
      <c r="AG1309" s="378"/>
      <c r="AH1309" s="378"/>
      <c r="AI1309" s="378"/>
      <c r="AJ1309" s="378"/>
      <c r="AK1309" s="378"/>
      <c r="AL1309" s="378"/>
      <c r="AM1309" s="378"/>
      <c r="AN1309" s="378"/>
      <c r="AO1309" s="378"/>
      <c r="AP1309" s="378"/>
      <c r="AQ1309" s="378"/>
      <c r="AR1309" s="378"/>
      <c r="AS1309" s="378"/>
      <c r="AT1309" s="378"/>
      <c r="AU1309" s="378"/>
    </row>
    <row r="1310" spans="1:47" hidden="1" x14ac:dyDescent="0.25">
      <c r="A1310" s="378"/>
      <c r="B1310" s="378"/>
      <c r="C1310" s="378"/>
      <c r="D1310" s="378"/>
      <c r="E1310" s="378"/>
      <c r="F1310" s="378"/>
      <c r="G1310" s="378"/>
      <c r="H1310" s="378"/>
      <c r="I1310" s="378"/>
      <c r="J1310" s="378"/>
      <c r="K1310" s="378"/>
      <c r="L1310" s="378"/>
      <c r="M1310" s="378"/>
      <c r="N1310" s="378"/>
      <c r="O1310" s="378"/>
      <c r="P1310" s="378"/>
      <c r="Q1310" s="378"/>
      <c r="R1310" s="378"/>
      <c r="S1310" s="378"/>
      <c r="T1310" s="378"/>
      <c r="U1310" s="378"/>
      <c r="V1310" s="378"/>
      <c r="W1310" s="378"/>
      <c r="X1310" s="378"/>
      <c r="Y1310" s="378"/>
      <c r="Z1310" s="378"/>
      <c r="AA1310" s="378"/>
      <c r="AB1310" s="378"/>
      <c r="AC1310" s="378"/>
      <c r="AD1310" s="378"/>
      <c r="AE1310" s="378"/>
      <c r="AF1310" s="378"/>
      <c r="AG1310" s="378"/>
      <c r="AH1310" s="378"/>
      <c r="AI1310" s="378"/>
      <c r="AJ1310" s="378"/>
      <c r="AK1310" s="378"/>
      <c r="AL1310" s="378"/>
      <c r="AM1310" s="378"/>
      <c r="AN1310" s="378"/>
      <c r="AO1310" s="378"/>
      <c r="AP1310" s="378"/>
      <c r="AQ1310" s="378"/>
      <c r="AR1310" s="378"/>
      <c r="AS1310" s="378"/>
      <c r="AT1310" s="378"/>
      <c r="AU1310" s="378"/>
    </row>
    <row r="1311" spans="1:47" hidden="1" x14ac:dyDescent="0.25">
      <c r="A1311" s="378"/>
      <c r="B1311" s="378"/>
      <c r="C1311" s="378"/>
      <c r="D1311" s="378"/>
      <c r="E1311" s="378"/>
      <c r="F1311" s="378"/>
      <c r="G1311" s="378"/>
      <c r="H1311" s="378"/>
      <c r="I1311" s="378"/>
      <c r="J1311" s="378"/>
      <c r="K1311" s="378"/>
      <c r="L1311" s="378"/>
      <c r="M1311" s="378"/>
      <c r="N1311" s="378"/>
      <c r="O1311" s="378"/>
      <c r="P1311" s="378"/>
      <c r="Q1311" s="378"/>
      <c r="R1311" s="378"/>
      <c r="S1311" s="378"/>
      <c r="T1311" s="378"/>
      <c r="U1311" s="378"/>
      <c r="V1311" s="378"/>
      <c r="W1311" s="378"/>
      <c r="X1311" s="378"/>
      <c r="Y1311" s="378"/>
      <c r="Z1311" s="378"/>
      <c r="AA1311" s="378"/>
      <c r="AB1311" s="378"/>
      <c r="AC1311" s="378"/>
      <c r="AD1311" s="378"/>
      <c r="AE1311" s="378"/>
      <c r="AF1311" s="378"/>
      <c r="AG1311" s="378"/>
      <c r="AH1311" s="378"/>
      <c r="AI1311" s="378"/>
      <c r="AJ1311" s="378"/>
      <c r="AK1311" s="378"/>
      <c r="AL1311" s="378"/>
      <c r="AM1311" s="378"/>
      <c r="AN1311" s="378"/>
      <c r="AO1311" s="378"/>
      <c r="AP1311" s="378"/>
      <c r="AQ1311" s="378"/>
      <c r="AR1311" s="378"/>
      <c r="AS1311" s="378"/>
      <c r="AT1311" s="378"/>
      <c r="AU1311" s="378"/>
    </row>
    <row r="1312" spans="1:47" hidden="1" x14ac:dyDescent="0.25">
      <c r="A1312" s="378"/>
      <c r="B1312" s="378"/>
      <c r="C1312" s="378"/>
      <c r="D1312" s="378"/>
      <c r="E1312" s="378"/>
      <c r="F1312" s="378"/>
      <c r="G1312" s="378"/>
      <c r="H1312" s="378"/>
      <c r="I1312" s="378"/>
      <c r="J1312" s="378"/>
      <c r="K1312" s="378"/>
      <c r="L1312" s="378"/>
      <c r="M1312" s="378"/>
      <c r="N1312" s="378"/>
      <c r="O1312" s="378"/>
      <c r="P1312" s="378"/>
      <c r="Q1312" s="378"/>
      <c r="R1312" s="378"/>
      <c r="S1312" s="378"/>
      <c r="T1312" s="378"/>
      <c r="U1312" s="378"/>
      <c r="V1312" s="378"/>
      <c r="W1312" s="378"/>
      <c r="X1312" s="378"/>
      <c r="Y1312" s="378"/>
      <c r="Z1312" s="378"/>
      <c r="AA1312" s="378"/>
      <c r="AB1312" s="378"/>
      <c r="AC1312" s="378"/>
      <c r="AD1312" s="378"/>
      <c r="AE1312" s="378"/>
      <c r="AF1312" s="378"/>
      <c r="AG1312" s="378"/>
      <c r="AH1312" s="378"/>
      <c r="AI1312" s="378"/>
      <c r="AJ1312" s="378"/>
      <c r="AK1312" s="378"/>
      <c r="AL1312" s="378"/>
      <c r="AM1312" s="378"/>
      <c r="AN1312" s="378"/>
      <c r="AO1312" s="378"/>
      <c r="AP1312" s="378"/>
      <c r="AQ1312" s="378"/>
      <c r="AR1312" s="378"/>
      <c r="AS1312" s="378"/>
      <c r="AT1312" s="378"/>
      <c r="AU1312" s="378"/>
    </row>
    <row r="1313" spans="1:47" hidden="1" x14ac:dyDescent="0.25">
      <c r="A1313" s="378"/>
      <c r="B1313" s="378"/>
      <c r="C1313" s="378"/>
      <c r="D1313" s="378"/>
      <c r="E1313" s="378"/>
      <c r="F1313" s="378"/>
      <c r="G1313" s="378"/>
      <c r="H1313" s="378"/>
      <c r="I1313" s="378"/>
      <c r="J1313" s="378"/>
      <c r="K1313" s="378"/>
      <c r="L1313" s="378"/>
      <c r="M1313" s="378"/>
      <c r="N1313" s="378"/>
      <c r="O1313" s="378"/>
      <c r="P1313" s="378"/>
      <c r="Q1313" s="378"/>
      <c r="R1313" s="378"/>
      <c r="S1313" s="378"/>
      <c r="T1313" s="378"/>
      <c r="U1313" s="378"/>
      <c r="V1313" s="378"/>
      <c r="W1313" s="378"/>
      <c r="X1313" s="378"/>
      <c r="Y1313" s="378"/>
      <c r="Z1313" s="378"/>
      <c r="AA1313" s="378"/>
      <c r="AB1313" s="378"/>
      <c r="AC1313" s="378"/>
      <c r="AD1313" s="378"/>
      <c r="AE1313" s="378"/>
      <c r="AF1313" s="378"/>
      <c r="AG1313" s="378"/>
      <c r="AH1313" s="378"/>
      <c r="AI1313" s="378"/>
      <c r="AJ1313" s="378"/>
      <c r="AK1313" s="378"/>
      <c r="AL1313" s="378"/>
      <c r="AM1313" s="378"/>
      <c r="AN1313" s="378"/>
      <c r="AO1313" s="378"/>
      <c r="AP1313" s="378"/>
      <c r="AQ1313" s="378"/>
      <c r="AR1313" s="378"/>
      <c r="AS1313" s="378"/>
      <c r="AT1313" s="378"/>
      <c r="AU1313" s="378"/>
    </row>
    <row r="1314" spans="1:47" hidden="1" x14ac:dyDescent="0.25">
      <c r="A1314" s="378"/>
      <c r="B1314" s="378"/>
      <c r="C1314" s="378"/>
      <c r="D1314" s="378"/>
      <c r="E1314" s="378"/>
      <c r="F1314" s="378"/>
      <c r="G1314" s="378"/>
      <c r="H1314" s="378"/>
      <c r="I1314" s="378"/>
      <c r="J1314" s="378"/>
      <c r="K1314" s="378"/>
      <c r="L1314" s="378"/>
      <c r="M1314" s="378"/>
      <c r="N1314" s="378"/>
      <c r="O1314" s="378"/>
      <c r="P1314" s="378"/>
      <c r="Q1314" s="378"/>
      <c r="R1314" s="378"/>
      <c r="S1314" s="378"/>
      <c r="T1314" s="378"/>
      <c r="U1314" s="378"/>
      <c r="V1314" s="378"/>
      <c r="W1314" s="378"/>
      <c r="X1314" s="378"/>
      <c r="Y1314" s="378"/>
      <c r="Z1314" s="378"/>
      <c r="AA1314" s="378"/>
      <c r="AB1314" s="378"/>
      <c r="AC1314" s="378"/>
      <c r="AD1314" s="378"/>
      <c r="AE1314" s="378"/>
      <c r="AF1314" s="378"/>
      <c r="AG1314" s="378"/>
      <c r="AH1314" s="378"/>
      <c r="AI1314" s="378"/>
      <c r="AJ1314" s="378"/>
      <c r="AK1314" s="378"/>
      <c r="AL1314" s="378"/>
      <c r="AM1314" s="378"/>
      <c r="AN1314" s="378"/>
      <c r="AO1314" s="378"/>
      <c r="AP1314" s="378"/>
      <c r="AQ1314" s="378"/>
      <c r="AR1314" s="378"/>
      <c r="AS1314" s="378"/>
      <c r="AT1314" s="378"/>
      <c r="AU1314" s="378"/>
    </row>
    <row r="1315" spans="1:47" hidden="1" x14ac:dyDescent="0.25">
      <c r="A1315" s="378"/>
      <c r="B1315" s="378"/>
      <c r="C1315" s="378"/>
      <c r="D1315" s="378"/>
      <c r="E1315" s="378"/>
      <c r="F1315" s="378"/>
      <c r="G1315" s="378"/>
      <c r="H1315" s="378"/>
      <c r="I1315" s="378"/>
      <c r="J1315" s="378"/>
      <c r="K1315" s="378"/>
      <c r="L1315" s="378"/>
      <c r="M1315" s="378"/>
      <c r="N1315" s="378"/>
      <c r="O1315" s="378"/>
      <c r="P1315" s="378"/>
      <c r="Q1315" s="378"/>
      <c r="R1315" s="378"/>
      <c r="S1315" s="378"/>
      <c r="T1315" s="378"/>
      <c r="U1315" s="378"/>
      <c r="V1315" s="378"/>
      <c r="W1315" s="378"/>
      <c r="X1315" s="378"/>
      <c r="Y1315" s="378"/>
      <c r="Z1315" s="378"/>
      <c r="AA1315" s="378"/>
      <c r="AB1315" s="378"/>
      <c r="AC1315" s="378"/>
      <c r="AD1315" s="378"/>
      <c r="AE1315" s="378"/>
      <c r="AF1315" s="378"/>
      <c r="AG1315" s="378"/>
      <c r="AH1315" s="378"/>
      <c r="AI1315" s="378"/>
      <c r="AJ1315" s="378"/>
      <c r="AK1315" s="378"/>
      <c r="AL1315" s="378"/>
      <c r="AM1315" s="378"/>
      <c r="AN1315" s="378"/>
      <c r="AO1315" s="378"/>
      <c r="AP1315" s="378"/>
      <c r="AQ1315" s="378"/>
      <c r="AR1315" s="378"/>
      <c r="AS1315" s="378"/>
      <c r="AT1315" s="378"/>
      <c r="AU1315" s="378"/>
    </row>
    <row r="1316" spans="1:47" hidden="1" x14ac:dyDescent="0.25">
      <c r="A1316" s="378"/>
      <c r="B1316" s="378"/>
      <c r="C1316" s="378"/>
      <c r="D1316" s="378"/>
      <c r="E1316" s="378"/>
      <c r="F1316" s="378"/>
      <c r="G1316" s="378"/>
      <c r="H1316" s="378"/>
      <c r="I1316" s="378"/>
      <c r="J1316" s="378"/>
      <c r="K1316" s="378"/>
      <c r="L1316" s="378"/>
      <c r="M1316" s="378"/>
      <c r="N1316" s="378"/>
      <c r="O1316" s="378"/>
      <c r="P1316" s="378"/>
      <c r="Q1316" s="378"/>
      <c r="R1316" s="378"/>
      <c r="S1316" s="378"/>
      <c r="T1316" s="378"/>
      <c r="U1316" s="378"/>
      <c r="V1316" s="378"/>
      <c r="W1316" s="378"/>
      <c r="X1316" s="378"/>
      <c r="Y1316" s="378"/>
      <c r="Z1316" s="378"/>
      <c r="AA1316" s="378"/>
      <c r="AB1316" s="378"/>
      <c r="AC1316" s="378"/>
      <c r="AD1316" s="378"/>
      <c r="AE1316" s="378"/>
      <c r="AF1316" s="378"/>
      <c r="AG1316" s="378"/>
      <c r="AH1316" s="378"/>
      <c r="AI1316" s="378"/>
      <c r="AJ1316" s="378"/>
      <c r="AK1316" s="378"/>
      <c r="AL1316" s="378"/>
      <c r="AM1316" s="378"/>
      <c r="AN1316" s="378"/>
      <c r="AO1316" s="378"/>
      <c r="AP1316" s="378"/>
      <c r="AQ1316" s="378"/>
      <c r="AR1316" s="378"/>
      <c r="AS1316" s="378"/>
      <c r="AT1316" s="378"/>
      <c r="AU1316" s="378"/>
    </row>
    <row r="1317" spans="1:47" hidden="1" x14ac:dyDescent="0.25">
      <c r="A1317" s="378"/>
      <c r="B1317" s="378"/>
      <c r="C1317" s="378"/>
      <c r="D1317" s="378"/>
      <c r="E1317" s="378"/>
      <c r="F1317" s="378"/>
      <c r="G1317" s="378"/>
      <c r="H1317" s="378"/>
      <c r="I1317" s="378"/>
      <c r="J1317" s="378"/>
      <c r="K1317" s="378"/>
      <c r="L1317" s="378"/>
      <c r="M1317" s="378"/>
      <c r="N1317" s="378"/>
      <c r="O1317" s="378"/>
      <c r="P1317" s="378"/>
      <c r="Q1317" s="378"/>
      <c r="R1317" s="378"/>
      <c r="S1317" s="378"/>
      <c r="T1317" s="378"/>
      <c r="U1317" s="378"/>
      <c r="V1317" s="378"/>
      <c r="W1317" s="378"/>
      <c r="X1317" s="378"/>
      <c r="Y1317" s="378"/>
      <c r="Z1317" s="378"/>
      <c r="AA1317" s="378"/>
      <c r="AB1317" s="378"/>
      <c r="AC1317" s="378"/>
      <c r="AD1317" s="378"/>
      <c r="AE1317" s="378"/>
      <c r="AF1317" s="378"/>
      <c r="AG1317" s="378"/>
      <c r="AH1317" s="378"/>
      <c r="AI1317" s="378"/>
      <c r="AJ1317" s="378"/>
      <c r="AK1317" s="378"/>
      <c r="AL1317" s="378"/>
      <c r="AM1317" s="378"/>
      <c r="AN1317" s="378"/>
      <c r="AO1317" s="378"/>
      <c r="AP1317" s="378"/>
      <c r="AQ1317" s="378"/>
      <c r="AR1317" s="378"/>
      <c r="AS1317" s="378"/>
      <c r="AT1317" s="378"/>
      <c r="AU1317" s="378"/>
    </row>
    <row r="1318" spans="1:47" hidden="1" x14ac:dyDescent="0.25">
      <c r="A1318" s="378"/>
      <c r="B1318" s="378"/>
      <c r="C1318" s="378"/>
      <c r="D1318" s="378"/>
      <c r="E1318" s="378"/>
      <c r="F1318" s="378"/>
      <c r="G1318" s="378"/>
      <c r="H1318" s="378"/>
      <c r="I1318" s="378"/>
      <c r="J1318" s="378"/>
      <c r="K1318" s="378"/>
      <c r="L1318" s="378"/>
      <c r="M1318" s="378"/>
      <c r="N1318" s="378"/>
      <c r="O1318" s="378"/>
      <c r="P1318" s="378"/>
      <c r="Q1318" s="378"/>
      <c r="R1318" s="378"/>
      <c r="S1318" s="378"/>
      <c r="T1318" s="378"/>
      <c r="U1318" s="378"/>
      <c r="V1318" s="378"/>
      <c r="W1318" s="378"/>
      <c r="X1318" s="378"/>
      <c r="Y1318" s="378"/>
      <c r="Z1318" s="378"/>
      <c r="AA1318" s="378"/>
      <c r="AB1318" s="378"/>
      <c r="AC1318" s="378"/>
      <c r="AD1318" s="378"/>
      <c r="AE1318" s="378"/>
      <c r="AF1318" s="378"/>
      <c r="AG1318" s="378"/>
      <c r="AH1318" s="378"/>
      <c r="AI1318" s="378"/>
      <c r="AJ1318" s="378"/>
      <c r="AK1318" s="378"/>
      <c r="AL1318" s="378"/>
      <c r="AM1318" s="378"/>
      <c r="AN1318" s="378"/>
      <c r="AO1318" s="378"/>
      <c r="AP1318" s="378"/>
      <c r="AQ1318" s="378"/>
      <c r="AR1318" s="378"/>
      <c r="AS1318" s="378"/>
      <c r="AT1318" s="378"/>
      <c r="AU1318" s="378"/>
    </row>
    <row r="1319" spans="1:47" hidden="1" x14ac:dyDescent="0.25">
      <c r="A1319" s="378"/>
      <c r="B1319" s="378"/>
      <c r="C1319" s="378"/>
      <c r="D1319" s="378"/>
      <c r="E1319" s="378"/>
      <c r="F1319" s="378"/>
      <c r="G1319" s="378"/>
      <c r="H1319" s="378"/>
      <c r="I1319" s="378"/>
      <c r="J1319" s="378"/>
      <c r="K1319" s="378"/>
      <c r="L1319" s="378"/>
      <c r="M1319" s="378"/>
      <c r="N1319" s="378"/>
      <c r="O1319" s="378"/>
      <c r="P1319" s="378"/>
      <c r="Q1319" s="378"/>
      <c r="R1319" s="378"/>
      <c r="S1319" s="378"/>
      <c r="T1319" s="378"/>
      <c r="U1319" s="378"/>
      <c r="V1319" s="378"/>
      <c r="W1319" s="378"/>
      <c r="X1319" s="378"/>
      <c r="Y1319" s="378"/>
      <c r="Z1319" s="378"/>
      <c r="AA1319" s="378"/>
      <c r="AB1319" s="378"/>
      <c r="AC1319" s="378"/>
      <c r="AD1319" s="378"/>
      <c r="AE1319" s="378"/>
      <c r="AF1319" s="378"/>
      <c r="AG1319" s="378"/>
      <c r="AH1319" s="378"/>
      <c r="AI1319" s="378"/>
      <c r="AJ1319" s="378"/>
      <c r="AK1319" s="378"/>
      <c r="AL1319" s="378"/>
      <c r="AM1319" s="378"/>
      <c r="AN1319" s="378"/>
      <c r="AO1319" s="378"/>
      <c r="AP1319" s="378"/>
      <c r="AQ1319" s="378"/>
      <c r="AR1319" s="378"/>
      <c r="AS1319" s="378"/>
      <c r="AT1319" s="378"/>
      <c r="AU1319" s="378"/>
    </row>
    <row r="1320" spans="1:47" hidden="1" x14ac:dyDescent="0.25">
      <c r="A1320" s="378"/>
      <c r="B1320" s="378"/>
      <c r="C1320" s="378"/>
      <c r="D1320" s="378"/>
      <c r="E1320" s="378"/>
      <c r="F1320" s="378"/>
      <c r="G1320" s="378"/>
      <c r="H1320" s="378"/>
      <c r="I1320" s="378"/>
      <c r="J1320" s="378"/>
      <c r="K1320" s="378"/>
      <c r="L1320" s="378"/>
      <c r="M1320" s="378"/>
      <c r="N1320" s="378"/>
      <c r="O1320" s="378"/>
      <c r="P1320" s="378"/>
      <c r="Q1320" s="378"/>
      <c r="R1320" s="378"/>
      <c r="S1320" s="378"/>
      <c r="T1320" s="378"/>
      <c r="U1320" s="378"/>
      <c r="V1320" s="378"/>
      <c r="W1320" s="378"/>
      <c r="X1320" s="378"/>
      <c r="Y1320" s="378"/>
      <c r="Z1320" s="378"/>
      <c r="AA1320" s="378"/>
      <c r="AB1320" s="378"/>
      <c r="AC1320" s="378"/>
      <c r="AD1320" s="378"/>
      <c r="AE1320" s="378"/>
      <c r="AF1320" s="378"/>
      <c r="AG1320" s="378"/>
      <c r="AH1320" s="378"/>
      <c r="AI1320" s="378"/>
      <c r="AJ1320" s="378"/>
      <c r="AK1320" s="378"/>
      <c r="AL1320" s="378"/>
      <c r="AM1320" s="378"/>
      <c r="AN1320" s="378"/>
      <c r="AO1320" s="378"/>
      <c r="AP1320" s="378"/>
      <c r="AQ1320" s="378"/>
      <c r="AR1320" s="378"/>
      <c r="AS1320" s="378"/>
      <c r="AT1320" s="378"/>
      <c r="AU1320" s="378"/>
    </row>
    <row r="1321" spans="1:47" hidden="1" x14ac:dyDescent="0.25">
      <c r="A1321" s="378"/>
      <c r="B1321" s="378"/>
      <c r="C1321" s="378"/>
      <c r="D1321" s="378"/>
      <c r="E1321" s="378"/>
      <c r="F1321" s="378"/>
      <c r="G1321" s="378"/>
      <c r="H1321" s="378"/>
      <c r="I1321" s="378"/>
      <c r="J1321" s="378"/>
      <c r="K1321" s="378"/>
      <c r="L1321" s="378"/>
      <c r="M1321" s="378"/>
      <c r="N1321" s="378"/>
      <c r="O1321" s="378"/>
      <c r="P1321" s="378"/>
      <c r="Q1321" s="378"/>
      <c r="R1321" s="378"/>
      <c r="S1321" s="378"/>
      <c r="T1321" s="378"/>
      <c r="U1321" s="378"/>
      <c r="V1321" s="378"/>
      <c r="W1321" s="378"/>
      <c r="X1321" s="378"/>
      <c r="Y1321" s="378"/>
      <c r="Z1321" s="378"/>
      <c r="AA1321" s="378"/>
      <c r="AB1321" s="378"/>
      <c r="AC1321" s="378"/>
      <c r="AD1321" s="378"/>
      <c r="AE1321" s="378"/>
      <c r="AF1321" s="378"/>
      <c r="AG1321" s="378"/>
      <c r="AH1321" s="378"/>
      <c r="AI1321" s="378"/>
      <c r="AJ1321" s="378"/>
      <c r="AK1321" s="378"/>
      <c r="AL1321" s="378"/>
      <c r="AM1321" s="378"/>
      <c r="AN1321" s="378"/>
      <c r="AO1321" s="378"/>
      <c r="AP1321" s="378"/>
      <c r="AQ1321" s="378"/>
      <c r="AR1321" s="378"/>
      <c r="AS1321" s="378"/>
      <c r="AT1321" s="378"/>
      <c r="AU1321" s="378"/>
    </row>
    <row r="1322" spans="1:47" hidden="1" x14ac:dyDescent="0.25">
      <c r="A1322" s="378"/>
      <c r="B1322" s="378"/>
      <c r="C1322" s="378"/>
      <c r="D1322" s="378"/>
      <c r="E1322" s="378"/>
      <c r="F1322" s="378"/>
      <c r="G1322" s="378"/>
      <c r="H1322" s="378"/>
      <c r="I1322" s="378"/>
      <c r="J1322" s="378"/>
      <c r="K1322" s="378"/>
      <c r="L1322" s="378"/>
      <c r="M1322" s="378"/>
      <c r="N1322" s="378"/>
      <c r="O1322" s="378"/>
      <c r="P1322" s="378"/>
      <c r="Q1322" s="378"/>
      <c r="R1322" s="378"/>
      <c r="S1322" s="378"/>
      <c r="T1322" s="378"/>
      <c r="U1322" s="378"/>
      <c r="V1322" s="378"/>
      <c r="W1322" s="378"/>
      <c r="X1322" s="378"/>
      <c r="Y1322" s="378"/>
      <c r="Z1322" s="378"/>
      <c r="AA1322" s="378"/>
      <c r="AB1322" s="378"/>
      <c r="AC1322" s="378"/>
      <c r="AD1322" s="378"/>
      <c r="AE1322" s="378"/>
      <c r="AF1322" s="378"/>
      <c r="AG1322" s="378"/>
      <c r="AH1322" s="378"/>
      <c r="AI1322" s="378"/>
      <c r="AJ1322" s="378"/>
      <c r="AK1322" s="378"/>
      <c r="AL1322" s="378"/>
      <c r="AM1322" s="378"/>
      <c r="AN1322" s="378"/>
      <c r="AO1322" s="378"/>
      <c r="AP1322" s="378"/>
      <c r="AQ1322" s="378"/>
      <c r="AR1322" s="378"/>
      <c r="AS1322" s="378"/>
      <c r="AT1322" s="378"/>
      <c r="AU1322" s="378"/>
    </row>
    <row r="1323" spans="1:47" hidden="1" x14ac:dyDescent="0.25">
      <c r="A1323" s="378"/>
      <c r="B1323" s="378"/>
      <c r="C1323" s="378"/>
      <c r="D1323" s="378"/>
      <c r="E1323" s="378"/>
      <c r="F1323" s="378"/>
      <c r="G1323" s="378"/>
      <c r="H1323" s="378"/>
      <c r="I1323" s="378"/>
      <c r="J1323" s="378"/>
      <c r="K1323" s="378"/>
      <c r="L1323" s="378"/>
      <c r="M1323" s="378"/>
      <c r="N1323" s="378"/>
      <c r="O1323" s="378"/>
      <c r="P1323" s="378"/>
      <c r="Q1323" s="378"/>
      <c r="R1323" s="378"/>
      <c r="S1323" s="378"/>
      <c r="T1323" s="378"/>
      <c r="U1323" s="378"/>
      <c r="V1323" s="378"/>
      <c r="W1323" s="378"/>
      <c r="X1323" s="378"/>
      <c r="Y1323" s="378"/>
      <c r="Z1323" s="378"/>
      <c r="AA1323" s="378"/>
      <c r="AB1323" s="378"/>
      <c r="AC1323" s="378"/>
      <c r="AD1323" s="378"/>
      <c r="AE1323" s="378"/>
      <c r="AF1323" s="378"/>
      <c r="AG1323" s="378"/>
      <c r="AH1323" s="378"/>
      <c r="AI1323" s="378"/>
      <c r="AJ1323" s="378"/>
      <c r="AK1323" s="378"/>
      <c r="AL1323" s="378"/>
      <c r="AM1323" s="378"/>
      <c r="AN1323" s="378"/>
      <c r="AO1323" s="378"/>
      <c r="AP1323" s="378"/>
      <c r="AQ1323" s="378"/>
      <c r="AR1323" s="378"/>
      <c r="AS1323" s="378"/>
      <c r="AT1323" s="378"/>
      <c r="AU1323" s="378"/>
    </row>
    <row r="1324" spans="1:47" hidden="1" x14ac:dyDescent="0.25">
      <c r="A1324" s="378"/>
      <c r="B1324" s="378"/>
      <c r="C1324" s="378"/>
      <c r="D1324" s="378"/>
      <c r="E1324" s="378"/>
      <c r="F1324" s="378"/>
      <c r="G1324" s="378"/>
      <c r="H1324" s="378"/>
      <c r="I1324" s="378"/>
      <c r="J1324" s="378"/>
      <c r="K1324" s="378"/>
      <c r="L1324" s="378"/>
      <c r="M1324" s="378"/>
      <c r="N1324" s="378"/>
      <c r="O1324" s="378"/>
      <c r="P1324" s="378"/>
      <c r="Q1324" s="378"/>
      <c r="R1324" s="378"/>
      <c r="S1324" s="378"/>
      <c r="T1324" s="378"/>
      <c r="U1324" s="378"/>
      <c r="V1324" s="378"/>
      <c r="W1324" s="378"/>
      <c r="X1324" s="378"/>
      <c r="Y1324" s="378"/>
      <c r="Z1324" s="378"/>
      <c r="AA1324" s="378"/>
      <c r="AB1324" s="378"/>
      <c r="AC1324" s="378"/>
      <c r="AD1324" s="378"/>
      <c r="AE1324" s="378"/>
      <c r="AF1324" s="378"/>
      <c r="AG1324" s="378"/>
      <c r="AH1324" s="378"/>
      <c r="AI1324" s="378"/>
      <c r="AJ1324" s="378"/>
      <c r="AK1324" s="378"/>
      <c r="AL1324" s="378"/>
      <c r="AM1324" s="378"/>
      <c r="AN1324" s="378"/>
      <c r="AO1324" s="378"/>
      <c r="AP1324" s="378"/>
      <c r="AQ1324" s="378"/>
      <c r="AR1324" s="378"/>
      <c r="AS1324" s="378"/>
      <c r="AT1324" s="378"/>
      <c r="AU1324" s="378"/>
    </row>
    <row r="1325" spans="1:47" hidden="1" x14ac:dyDescent="0.25">
      <c r="A1325" s="378"/>
      <c r="B1325" s="378"/>
      <c r="C1325" s="378"/>
      <c r="D1325" s="378"/>
      <c r="E1325" s="378"/>
      <c r="F1325" s="378"/>
      <c r="G1325" s="378"/>
      <c r="H1325" s="378"/>
      <c r="I1325" s="378"/>
      <c r="J1325" s="378"/>
      <c r="K1325" s="378"/>
      <c r="L1325" s="378"/>
      <c r="M1325" s="378"/>
      <c r="N1325" s="378"/>
      <c r="O1325" s="378"/>
      <c r="P1325" s="378"/>
      <c r="Q1325" s="378"/>
      <c r="R1325" s="378"/>
      <c r="S1325" s="378"/>
      <c r="T1325" s="378"/>
      <c r="U1325" s="378"/>
      <c r="V1325" s="378"/>
      <c r="W1325" s="378"/>
      <c r="X1325" s="378"/>
      <c r="Y1325" s="378"/>
      <c r="Z1325" s="378"/>
      <c r="AA1325" s="378"/>
      <c r="AB1325" s="378"/>
      <c r="AC1325" s="378"/>
      <c r="AD1325" s="378"/>
      <c r="AE1325" s="378"/>
      <c r="AF1325" s="378"/>
      <c r="AG1325" s="378"/>
      <c r="AH1325" s="378"/>
      <c r="AI1325" s="378"/>
      <c r="AJ1325" s="378"/>
      <c r="AK1325" s="378"/>
      <c r="AL1325" s="378"/>
      <c r="AM1325" s="378"/>
      <c r="AN1325" s="378"/>
      <c r="AO1325" s="378"/>
      <c r="AP1325" s="378"/>
      <c r="AQ1325" s="378"/>
      <c r="AR1325" s="378"/>
      <c r="AS1325" s="378"/>
      <c r="AT1325" s="378"/>
      <c r="AU1325" s="378"/>
    </row>
    <row r="1326" spans="1:47" hidden="1" x14ac:dyDescent="0.25">
      <c r="A1326" s="378"/>
      <c r="B1326" s="378"/>
      <c r="C1326" s="378"/>
      <c r="D1326" s="378"/>
      <c r="E1326" s="378"/>
      <c r="F1326" s="378"/>
      <c r="G1326" s="378"/>
      <c r="H1326" s="378"/>
      <c r="I1326" s="378"/>
      <c r="J1326" s="378"/>
      <c r="K1326" s="378"/>
      <c r="L1326" s="378"/>
      <c r="M1326" s="378"/>
      <c r="N1326" s="378"/>
      <c r="O1326" s="378"/>
      <c r="P1326" s="378"/>
      <c r="Q1326" s="378"/>
      <c r="R1326" s="378"/>
      <c r="S1326" s="378"/>
      <c r="T1326" s="378"/>
      <c r="U1326" s="378"/>
      <c r="V1326" s="378"/>
      <c r="W1326" s="378"/>
      <c r="X1326" s="378"/>
      <c r="Y1326" s="378"/>
      <c r="Z1326" s="378"/>
      <c r="AA1326" s="378"/>
      <c r="AB1326" s="378"/>
      <c r="AC1326" s="378"/>
      <c r="AD1326" s="378"/>
      <c r="AE1326" s="378"/>
      <c r="AF1326" s="378"/>
      <c r="AG1326" s="378"/>
      <c r="AH1326" s="378"/>
      <c r="AI1326" s="378"/>
      <c r="AJ1326" s="378"/>
      <c r="AK1326" s="378"/>
      <c r="AL1326" s="378"/>
      <c r="AM1326" s="378"/>
      <c r="AN1326" s="378"/>
      <c r="AO1326" s="378"/>
      <c r="AP1326" s="378"/>
      <c r="AQ1326" s="378"/>
      <c r="AR1326" s="378"/>
      <c r="AS1326" s="378"/>
      <c r="AT1326" s="378"/>
      <c r="AU1326" s="378"/>
    </row>
    <row r="1327" spans="1:47" hidden="1" x14ac:dyDescent="0.25">
      <c r="A1327" s="378"/>
      <c r="B1327" s="378"/>
      <c r="C1327" s="378"/>
      <c r="D1327" s="378"/>
      <c r="E1327" s="378"/>
      <c r="F1327" s="378"/>
      <c r="G1327" s="378"/>
      <c r="H1327" s="378"/>
      <c r="I1327" s="378"/>
      <c r="J1327" s="378"/>
      <c r="K1327" s="378"/>
      <c r="L1327" s="378"/>
      <c r="M1327" s="378"/>
      <c r="N1327" s="378"/>
      <c r="O1327" s="378"/>
      <c r="P1327" s="378"/>
      <c r="Q1327" s="378"/>
      <c r="R1327" s="378"/>
      <c r="S1327" s="378"/>
      <c r="T1327" s="378"/>
      <c r="U1327" s="378"/>
      <c r="V1327" s="378"/>
      <c r="W1327" s="378"/>
      <c r="X1327" s="378"/>
      <c r="Y1327" s="378"/>
      <c r="Z1327" s="378"/>
      <c r="AA1327" s="378"/>
      <c r="AB1327" s="378"/>
      <c r="AC1327" s="378"/>
      <c r="AD1327" s="378"/>
      <c r="AE1327" s="378"/>
      <c r="AF1327" s="378"/>
      <c r="AG1327" s="378"/>
      <c r="AH1327" s="378"/>
      <c r="AI1327" s="378"/>
      <c r="AJ1327" s="378"/>
      <c r="AK1327" s="378"/>
      <c r="AL1327" s="378"/>
      <c r="AM1327" s="378"/>
      <c r="AN1327" s="378"/>
      <c r="AO1327" s="378"/>
      <c r="AP1327" s="378"/>
      <c r="AQ1327" s="378"/>
      <c r="AR1327" s="378"/>
      <c r="AS1327" s="378"/>
      <c r="AT1327" s="378"/>
      <c r="AU1327" s="378"/>
    </row>
    <row r="1328" spans="1:47" hidden="1" x14ac:dyDescent="0.25">
      <c r="A1328" s="378"/>
      <c r="B1328" s="378"/>
      <c r="C1328" s="378"/>
      <c r="D1328" s="378"/>
      <c r="E1328" s="378"/>
      <c r="F1328" s="378"/>
      <c r="G1328" s="378"/>
      <c r="H1328" s="378"/>
      <c r="I1328" s="378"/>
      <c r="J1328" s="378"/>
      <c r="K1328" s="378"/>
      <c r="L1328" s="378"/>
      <c r="M1328" s="378"/>
      <c r="N1328" s="378"/>
      <c r="O1328" s="378"/>
      <c r="P1328" s="378"/>
      <c r="Q1328" s="378"/>
      <c r="R1328" s="378"/>
      <c r="S1328" s="378"/>
      <c r="T1328" s="378"/>
      <c r="U1328" s="378"/>
      <c r="V1328" s="378"/>
      <c r="W1328" s="378"/>
      <c r="X1328" s="378"/>
      <c r="Y1328" s="378"/>
      <c r="Z1328" s="378"/>
      <c r="AA1328" s="378"/>
      <c r="AB1328" s="378"/>
      <c r="AC1328" s="378"/>
      <c r="AD1328" s="378"/>
      <c r="AE1328" s="378"/>
      <c r="AF1328" s="378"/>
      <c r="AG1328" s="378"/>
      <c r="AH1328" s="378"/>
      <c r="AI1328" s="378"/>
      <c r="AJ1328" s="378"/>
      <c r="AK1328" s="378"/>
      <c r="AL1328" s="378"/>
      <c r="AM1328" s="378"/>
      <c r="AN1328" s="378"/>
      <c r="AO1328" s="378"/>
      <c r="AP1328" s="378"/>
      <c r="AQ1328" s="378"/>
      <c r="AR1328" s="378"/>
      <c r="AS1328" s="378"/>
      <c r="AT1328" s="378"/>
      <c r="AU1328" s="378"/>
    </row>
    <row r="1329" spans="1:47" hidden="1" x14ac:dyDescent="0.25">
      <c r="A1329" s="378"/>
      <c r="B1329" s="378"/>
      <c r="C1329" s="378"/>
      <c r="D1329" s="378"/>
      <c r="E1329" s="378"/>
      <c r="F1329" s="378"/>
      <c r="G1329" s="378"/>
      <c r="H1329" s="378"/>
      <c r="I1329" s="378"/>
      <c r="J1329" s="378"/>
      <c r="K1329" s="378"/>
      <c r="L1329" s="378"/>
      <c r="M1329" s="378"/>
      <c r="N1329" s="378"/>
      <c r="O1329" s="378"/>
      <c r="P1329" s="378"/>
      <c r="Q1329" s="378"/>
      <c r="R1329" s="378"/>
      <c r="S1329" s="378"/>
      <c r="T1329" s="378"/>
      <c r="U1329" s="378"/>
      <c r="V1329" s="378"/>
      <c r="W1329" s="378"/>
      <c r="X1329" s="378"/>
      <c r="Y1329" s="378"/>
      <c r="Z1329" s="378"/>
      <c r="AA1329" s="378"/>
      <c r="AB1329" s="378"/>
      <c r="AC1329" s="378"/>
      <c r="AD1329" s="378"/>
      <c r="AE1329" s="378"/>
      <c r="AF1329" s="378"/>
      <c r="AG1329" s="378"/>
      <c r="AH1329" s="378"/>
      <c r="AI1329" s="378"/>
      <c r="AJ1329" s="378"/>
      <c r="AK1329" s="378"/>
      <c r="AL1329" s="378"/>
      <c r="AM1329" s="378"/>
      <c r="AN1329" s="378"/>
      <c r="AO1329" s="378"/>
      <c r="AP1329" s="378"/>
      <c r="AQ1329" s="378"/>
      <c r="AR1329" s="378"/>
      <c r="AS1329" s="378"/>
      <c r="AT1329" s="378"/>
      <c r="AU1329" s="378"/>
    </row>
    <row r="1330" spans="1:47" hidden="1" x14ac:dyDescent="0.25">
      <c r="A1330" s="378"/>
      <c r="B1330" s="378"/>
      <c r="C1330" s="378"/>
      <c r="D1330" s="378"/>
      <c r="E1330" s="378"/>
      <c r="F1330" s="378"/>
      <c r="G1330" s="378"/>
      <c r="H1330" s="378"/>
      <c r="I1330" s="378"/>
      <c r="J1330" s="378"/>
      <c r="K1330" s="378"/>
      <c r="L1330" s="378"/>
      <c r="M1330" s="378"/>
      <c r="N1330" s="378"/>
      <c r="O1330" s="378"/>
      <c r="P1330" s="378"/>
      <c r="Q1330" s="378"/>
      <c r="R1330" s="378"/>
      <c r="S1330" s="378"/>
      <c r="T1330" s="378"/>
      <c r="U1330" s="378"/>
      <c r="V1330" s="378"/>
      <c r="W1330" s="378"/>
      <c r="X1330" s="378"/>
      <c r="Y1330" s="378"/>
      <c r="Z1330" s="378"/>
      <c r="AA1330" s="378"/>
      <c r="AB1330" s="378"/>
      <c r="AC1330" s="378"/>
      <c r="AD1330" s="378"/>
      <c r="AE1330" s="378"/>
      <c r="AF1330" s="378"/>
      <c r="AG1330" s="378"/>
      <c r="AH1330" s="378"/>
      <c r="AI1330" s="378"/>
      <c r="AJ1330" s="378"/>
      <c r="AK1330" s="378"/>
      <c r="AL1330" s="378"/>
      <c r="AM1330" s="378"/>
      <c r="AN1330" s="378"/>
      <c r="AO1330" s="378"/>
      <c r="AP1330" s="378"/>
      <c r="AQ1330" s="378"/>
      <c r="AR1330" s="378"/>
      <c r="AS1330" s="378"/>
      <c r="AT1330" s="378"/>
      <c r="AU1330" s="378"/>
    </row>
    <row r="1331" spans="1:47" hidden="1" x14ac:dyDescent="0.25">
      <c r="A1331" s="378"/>
      <c r="B1331" s="378"/>
      <c r="C1331" s="378"/>
      <c r="D1331" s="378"/>
      <c r="E1331" s="378"/>
      <c r="F1331" s="378"/>
      <c r="G1331" s="378"/>
      <c r="H1331" s="378"/>
      <c r="I1331" s="378"/>
      <c r="J1331" s="378"/>
      <c r="K1331" s="378"/>
      <c r="L1331" s="378"/>
      <c r="M1331" s="378"/>
      <c r="N1331" s="378"/>
      <c r="O1331" s="378"/>
      <c r="P1331" s="378"/>
      <c r="Q1331" s="378"/>
      <c r="R1331" s="378"/>
      <c r="S1331" s="378"/>
      <c r="T1331" s="378"/>
      <c r="U1331" s="378"/>
      <c r="V1331" s="378"/>
      <c r="W1331" s="378"/>
      <c r="X1331" s="378"/>
      <c r="Y1331" s="378"/>
      <c r="Z1331" s="378"/>
      <c r="AA1331" s="378"/>
      <c r="AB1331" s="378"/>
      <c r="AC1331" s="378"/>
      <c r="AD1331" s="378"/>
      <c r="AE1331" s="378"/>
      <c r="AF1331" s="378"/>
      <c r="AG1331" s="378"/>
      <c r="AH1331" s="378"/>
      <c r="AI1331" s="378"/>
      <c r="AJ1331" s="378"/>
      <c r="AK1331" s="378"/>
      <c r="AL1331" s="378"/>
      <c r="AM1331" s="378"/>
      <c r="AN1331" s="378"/>
      <c r="AO1331" s="378"/>
      <c r="AP1331" s="378"/>
      <c r="AQ1331" s="378"/>
      <c r="AR1331" s="378"/>
      <c r="AS1331" s="378"/>
      <c r="AT1331" s="378"/>
      <c r="AU1331" s="378"/>
    </row>
    <row r="1332" spans="1:47" hidden="1" x14ac:dyDescent="0.25">
      <c r="A1332" s="378"/>
      <c r="B1332" s="378"/>
      <c r="C1332" s="378"/>
      <c r="D1332" s="378"/>
      <c r="E1332" s="378"/>
      <c r="F1332" s="378"/>
      <c r="G1332" s="378"/>
      <c r="H1332" s="378"/>
      <c r="I1332" s="378"/>
      <c r="J1332" s="378"/>
      <c r="K1332" s="378"/>
      <c r="L1332" s="378"/>
      <c r="M1332" s="378"/>
      <c r="N1332" s="378"/>
      <c r="O1332" s="378"/>
      <c r="P1332" s="378"/>
      <c r="Q1332" s="378"/>
      <c r="R1332" s="378"/>
      <c r="S1332" s="378"/>
      <c r="T1332" s="378"/>
      <c r="U1332" s="378"/>
      <c r="V1332" s="378"/>
      <c r="W1332" s="378"/>
      <c r="X1332" s="378"/>
      <c r="Y1332" s="378"/>
      <c r="Z1332" s="378"/>
      <c r="AA1332" s="378"/>
      <c r="AB1332" s="378"/>
      <c r="AC1332" s="378"/>
      <c r="AD1332" s="378"/>
      <c r="AE1332" s="378"/>
      <c r="AF1332" s="378"/>
      <c r="AG1332" s="378"/>
      <c r="AH1332" s="378"/>
      <c r="AI1332" s="378"/>
      <c r="AJ1332" s="378"/>
      <c r="AK1332" s="378"/>
      <c r="AL1332" s="378"/>
      <c r="AM1332" s="378"/>
      <c r="AN1332" s="378"/>
      <c r="AO1332" s="378"/>
      <c r="AP1332" s="378"/>
      <c r="AQ1332" s="378"/>
      <c r="AR1332" s="378"/>
      <c r="AS1332" s="378"/>
      <c r="AT1332" s="378"/>
      <c r="AU1332" s="378"/>
    </row>
    <row r="1333" spans="1:47" hidden="1" x14ac:dyDescent="0.25">
      <c r="A1333" s="378"/>
      <c r="B1333" s="378"/>
      <c r="C1333" s="378"/>
      <c r="D1333" s="378"/>
      <c r="E1333" s="378"/>
      <c r="F1333" s="378"/>
      <c r="G1333" s="378"/>
      <c r="H1333" s="378"/>
      <c r="I1333" s="378"/>
      <c r="J1333" s="378"/>
      <c r="K1333" s="378"/>
      <c r="L1333" s="378"/>
      <c r="M1333" s="378"/>
      <c r="N1333" s="378"/>
      <c r="O1333" s="378"/>
      <c r="P1333" s="378"/>
      <c r="Q1333" s="378"/>
      <c r="R1333" s="378"/>
      <c r="S1333" s="378"/>
      <c r="T1333" s="378"/>
      <c r="U1333" s="378"/>
      <c r="V1333" s="378"/>
      <c r="W1333" s="378"/>
      <c r="X1333" s="378"/>
      <c r="Y1333" s="378"/>
      <c r="Z1333" s="378"/>
      <c r="AA1333" s="378"/>
      <c r="AB1333" s="378"/>
      <c r="AC1333" s="378"/>
      <c r="AD1333" s="378"/>
      <c r="AE1333" s="378"/>
      <c r="AF1333" s="378"/>
      <c r="AG1333" s="378"/>
      <c r="AH1333" s="378"/>
      <c r="AI1333" s="378"/>
      <c r="AJ1333" s="378"/>
      <c r="AK1333" s="378"/>
      <c r="AL1333" s="378"/>
      <c r="AM1333" s="378"/>
      <c r="AN1333" s="378"/>
      <c r="AO1333" s="378"/>
      <c r="AP1333" s="378"/>
      <c r="AQ1333" s="378"/>
      <c r="AR1333" s="378"/>
      <c r="AS1333" s="378"/>
      <c r="AT1333" s="378"/>
      <c r="AU1333" s="378"/>
    </row>
    <row r="1334" spans="1:47" hidden="1" x14ac:dyDescent="0.25">
      <c r="A1334" s="378"/>
      <c r="B1334" s="378"/>
      <c r="C1334" s="378"/>
      <c r="D1334" s="378"/>
      <c r="E1334" s="378"/>
      <c r="F1334" s="378"/>
      <c r="G1334" s="378"/>
      <c r="H1334" s="378"/>
      <c r="I1334" s="378"/>
      <c r="J1334" s="378"/>
      <c r="K1334" s="378"/>
      <c r="L1334" s="378"/>
      <c r="M1334" s="378"/>
      <c r="N1334" s="378"/>
      <c r="O1334" s="378"/>
      <c r="P1334" s="378"/>
      <c r="Q1334" s="378"/>
      <c r="R1334" s="378"/>
      <c r="S1334" s="378"/>
      <c r="T1334" s="378"/>
      <c r="U1334" s="378"/>
      <c r="V1334" s="378"/>
      <c r="W1334" s="378"/>
      <c r="X1334" s="378"/>
      <c r="Y1334" s="378"/>
      <c r="Z1334" s="378"/>
      <c r="AA1334" s="378"/>
      <c r="AB1334" s="378"/>
      <c r="AC1334" s="378"/>
      <c r="AD1334" s="378"/>
      <c r="AE1334" s="378"/>
      <c r="AF1334" s="378"/>
      <c r="AG1334" s="378"/>
      <c r="AH1334" s="378"/>
      <c r="AI1334" s="378"/>
      <c r="AJ1334" s="378"/>
      <c r="AK1334" s="378"/>
      <c r="AL1334" s="378"/>
      <c r="AM1334" s="378"/>
      <c r="AN1334" s="378"/>
      <c r="AO1334" s="378"/>
      <c r="AP1334" s="378"/>
      <c r="AQ1334" s="378"/>
      <c r="AR1334" s="378"/>
      <c r="AS1334" s="378"/>
      <c r="AT1334" s="378"/>
      <c r="AU1334" s="378"/>
    </row>
    <row r="1335" spans="1:47" hidden="1" x14ac:dyDescent="0.25">
      <c r="A1335" s="378"/>
      <c r="B1335" s="378"/>
      <c r="C1335" s="378"/>
      <c r="D1335" s="378"/>
      <c r="E1335" s="378"/>
      <c r="F1335" s="378"/>
      <c r="G1335" s="378"/>
      <c r="H1335" s="378"/>
      <c r="I1335" s="378"/>
      <c r="J1335" s="378"/>
      <c r="K1335" s="378"/>
      <c r="L1335" s="378"/>
      <c r="M1335" s="378"/>
      <c r="N1335" s="378"/>
      <c r="O1335" s="378"/>
      <c r="P1335" s="378"/>
      <c r="Q1335" s="378"/>
      <c r="R1335" s="378"/>
      <c r="S1335" s="378"/>
      <c r="T1335" s="378"/>
      <c r="U1335" s="378"/>
      <c r="V1335" s="378"/>
      <c r="W1335" s="378"/>
      <c r="X1335" s="378"/>
      <c r="Y1335" s="378"/>
      <c r="Z1335" s="378"/>
      <c r="AA1335" s="378"/>
      <c r="AB1335" s="378"/>
      <c r="AC1335" s="378"/>
      <c r="AD1335" s="378"/>
      <c r="AE1335" s="378"/>
      <c r="AF1335" s="378"/>
      <c r="AG1335" s="378"/>
      <c r="AH1335" s="378"/>
      <c r="AI1335" s="378"/>
      <c r="AJ1335" s="378"/>
      <c r="AK1335" s="378"/>
      <c r="AL1335" s="378"/>
      <c r="AM1335" s="378"/>
      <c r="AN1335" s="378"/>
      <c r="AO1335" s="378"/>
      <c r="AP1335" s="378"/>
      <c r="AQ1335" s="378"/>
      <c r="AR1335" s="378"/>
      <c r="AS1335" s="378"/>
      <c r="AT1335" s="378"/>
      <c r="AU1335" s="378"/>
    </row>
    <row r="1336" spans="1:47" hidden="1" x14ac:dyDescent="0.25">
      <c r="A1336" s="378"/>
      <c r="B1336" s="378"/>
      <c r="C1336" s="378"/>
      <c r="D1336" s="378"/>
      <c r="E1336" s="378"/>
      <c r="F1336" s="378"/>
      <c r="G1336" s="378"/>
      <c r="H1336" s="378"/>
      <c r="I1336" s="378"/>
      <c r="J1336" s="378"/>
      <c r="K1336" s="378"/>
      <c r="L1336" s="378"/>
      <c r="M1336" s="378"/>
      <c r="N1336" s="378"/>
      <c r="O1336" s="378"/>
      <c r="P1336" s="378"/>
      <c r="Q1336" s="378"/>
      <c r="R1336" s="378"/>
      <c r="S1336" s="378"/>
      <c r="T1336" s="378"/>
      <c r="U1336" s="378"/>
      <c r="V1336" s="378"/>
      <c r="W1336" s="378"/>
      <c r="X1336" s="378"/>
      <c r="Y1336" s="378"/>
      <c r="Z1336" s="378"/>
      <c r="AA1336" s="378"/>
      <c r="AB1336" s="378"/>
      <c r="AC1336" s="378"/>
      <c r="AD1336" s="378"/>
      <c r="AE1336" s="378"/>
      <c r="AF1336" s="378"/>
      <c r="AG1336" s="378"/>
      <c r="AH1336" s="378"/>
      <c r="AI1336" s="378"/>
      <c r="AJ1336" s="378"/>
      <c r="AK1336" s="378"/>
      <c r="AL1336" s="378"/>
      <c r="AM1336" s="378"/>
      <c r="AN1336" s="378"/>
      <c r="AO1336" s="378"/>
      <c r="AP1336" s="378"/>
      <c r="AQ1336" s="378"/>
      <c r="AR1336" s="378"/>
      <c r="AS1336" s="378"/>
      <c r="AT1336" s="378"/>
      <c r="AU1336" s="378"/>
    </row>
    <row r="1337" spans="1:47" hidden="1" x14ac:dyDescent="0.25">
      <c r="A1337" s="378"/>
      <c r="B1337" s="378"/>
      <c r="C1337" s="378"/>
      <c r="D1337" s="378"/>
      <c r="E1337" s="378"/>
      <c r="F1337" s="378"/>
      <c r="G1337" s="378"/>
      <c r="H1337" s="378"/>
      <c r="I1337" s="378"/>
      <c r="J1337" s="378"/>
      <c r="K1337" s="378"/>
      <c r="L1337" s="378"/>
      <c r="M1337" s="378"/>
      <c r="N1337" s="378"/>
      <c r="O1337" s="378"/>
      <c r="P1337" s="378"/>
      <c r="Q1337" s="378"/>
      <c r="R1337" s="378"/>
      <c r="S1337" s="378"/>
      <c r="T1337" s="378"/>
      <c r="U1337" s="378"/>
      <c r="V1337" s="378"/>
      <c r="W1337" s="378"/>
      <c r="X1337" s="378"/>
      <c r="Y1337" s="378"/>
      <c r="Z1337" s="378"/>
      <c r="AA1337" s="378"/>
      <c r="AB1337" s="378"/>
      <c r="AC1337" s="378"/>
      <c r="AD1337" s="378"/>
      <c r="AE1337" s="378"/>
      <c r="AF1337" s="378"/>
      <c r="AG1337" s="378"/>
      <c r="AH1337" s="378"/>
      <c r="AI1337" s="378"/>
      <c r="AJ1337" s="378"/>
      <c r="AK1337" s="378"/>
      <c r="AL1337" s="378"/>
      <c r="AM1337" s="378"/>
      <c r="AN1337" s="378"/>
      <c r="AO1337" s="378"/>
      <c r="AP1337" s="378"/>
      <c r="AQ1337" s="378"/>
      <c r="AR1337" s="378"/>
      <c r="AS1337" s="378"/>
      <c r="AT1337" s="378"/>
      <c r="AU1337" s="378"/>
    </row>
    <row r="1338" spans="1:47" hidden="1" x14ac:dyDescent="0.25">
      <c r="A1338" s="378"/>
      <c r="B1338" s="378"/>
      <c r="C1338" s="378"/>
      <c r="D1338" s="378"/>
      <c r="E1338" s="378"/>
      <c r="F1338" s="378"/>
      <c r="G1338" s="378"/>
      <c r="H1338" s="378"/>
      <c r="I1338" s="378"/>
      <c r="J1338" s="378"/>
      <c r="K1338" s="378"/>
      <c r="L1338" s="378"/>
      <c r="M1338" s="378"/>
      <c r="N1338" s="378"/>
      <c r="O1338" s="378"/>
      <c r="P1338" s="378"/>
      <c r="Q1338" s="378"/>
      <c r="R1338" s="378"/>
      <c r="S1338" s="378"/>
      <c r="T1338" s="378"/>
      <c r="U1338" s="378"/>
      <c r="V1338" s="378"/>
      <c r="W1338" s="378"/>
      <c r="X1338" s="378"/>
      <c r="Y1338" s="378"/>
      <c r="Z1338" s="378"/>
      <c r="AA1338" s="378"/>
      <c r="AB1338" s="378"/>
      <c r="AC1338" s="378"/>
      <c r="AD1338" s="378"/>
      <c r="AE1338" s="378"/>
      <c r="AF1338" s="378"/>
      <c r="AG1338" s="378"/>
      <c r="AH1338" s="378"/>
      <c r="AI1338" s="378"/>
      <c r="AJ1338" s="378"/>
      <c r="AK1338" s="378"/>
      <c r="AL1338" s="378"/>
      <c r="AM1338" s="378"/>
      <c r="AN1338" s="378"/>
      <c r="AO1338" s="378"/>
      <c r="AP1338" s="378"/>
      <c r="AQ1338" s="378"/>
      <c r="AR1338" s="378"/>
      <c r="AS1338" s="378"/>
      <c r="AT1338" s="378"/>
      <c r="AU1338" s="378"/>
    </row>
    <row r="1339" spans="1:47" hidden="1" x14ac:dyDescent="0.25">
      <c r="A1339" s="378"/>
      <c r="B1339" s="378"/>
      <c r="C1339" s="378"/>
      <c r="D1339" s="378"/>
      <c r="E1339" s="378"/>
      <c r="F1339" s="378"/>
      <c r="G1339" s="378"/>
      <c r="H1339" s="378"/>
      <c r="I1339" s="378"/>
      <c r="J1339" s="378"/>
      <c r="K1339" s="378"/>
      <c r="L1339" s="378"/>
      <c r="M1339" s="378"/>
      <c r="N1339" s="378"/>
      <c r="O1339" s="378"/>
      <c r="P1339" s="378"/>
      <c r="Q1339" s="378"/>
      <c r="R1339" s="378"/>
      <c r="S1339" s="378"/>
      <c r="T1339" s="378"/>
      <c r="U1339" s="378"/>
      <c r="V1339" s="378"/>
      <c r="W1339" s="378"/>
      <c r="X1339" s="378"/>
      <c r="Y1339" s="378"/>
      <c r="Z1339" s="378"/>
      <c r="AA1339" s="378"/>
      <c r="AB1339" s="378"/>
      <c r="AC1339" s="378"/>
      <c r="AD1339" s="378"/>
      <c r="AE1339" s="378"/>
      <c r="AF1339" s="378"/>
      <c r="AG1339" s="378"/>
      <c r="AH1339" s="378"/>
      <c r="AI1339" s="378"/>
      <c r="AJ1339" s="378"/>
      <c r="AK1339" s="378"/>
      <c r="AL1339" s="378"/>
      <c r="AM1339" s="378"/>
      <c r="AN1339" s="378"/>
      <c r="AO1339" s="378"/>
      <c r="AP1339" s="378"/>
      <c r="AQ1339" s="378"/>
      <c r="AR1339" s="378"/>
      <c r="AS1339" s="378"/>
      <c r="AT1339" s="378"/>
      <c r="AU1339" s="378"/>
    </row>
    <row r="1340" spans="1:47" hidden="1" x14ac:dyDescent="0.25">
      <c r="A1340" s="378"/>
      <c r="B1340" s="378"/>
      <c r="C1340" s="378"/>
      <c r="D1340" s="378"/>
      <c r="E1340" s="378"/>
      <c r="F1340" s="378"/>
      <c r="G1340" s="378"/>
      <c r="H1340" s="378"/>
      <c r="I1340" s="378"/>
      <c r="J1340" s="378"/>
      <c r="K1340" s="378"/>
      <c r="L1340" s="378"/>
      <c r="M1340" s="378"/>
      <c r="N1340" s="378"/>
      <c r="O1340" s="378"/>
      <c r="P1340" s="378"/>
      <c r="Q1340" s="378"/>
      <c r="R1340" s="378"/>
      <c r="S1340" s="378"/>
      <c r="T1340" s="378"/>
      <c r="U1340" s="378"/>
      <c r="V1340" s="378"/>
      <c r="W1340" s="378"/>
      <c r="X1340" s="378"/>
      <c r="Y1340" s="378"/>
      <c r="Z1340" s="378"/>
      <c r="AA1340" s="378"/>
      <c r="AB1340" s="378"/>
      <c r="AC1340" s="378"/>
      <c r="AD1340" s="378"/>
      <c r="AE1340" s="378"/>
      <c r="AF1340" s="378"/>
      <c r="AG1340" s="378"/>
      <c r="AH1340" s="378"/>
      <c r="AI1340" s="378"/>
      <c r="AJ1340" s="378"/>
      <c r="AK1340" s="378"/>
      <c r="AL1340" s="378"/>
      <c r="AM1340" s="378"/>
      <c r="AN1340" s="378"/>
      <c r="AO1340" s="378"/>
      <c r="AP1340" s="378"/>
      <c r="AQ1340" s="378"/>
      <c r="AR1340" s="378"/>
      <c r="AS1340" s="378"/>
      <c r="AT1340" s="378"/>
      <c r="AU1340" s="378"/>
    </row>
    <row r="1341" spans="1:47" hidden="1" x14ac:dyDescent="0.25">
      <c r="A1341" s="378"/>
      <c r="B1341" s="378"/>
      <c r="C1341" s="378"/>
      <c r="D1341" s="378"/>
      <c r="E1341" s="378"/>
      <c r="F1341" s="378"/>
      <c r="G1341" s="378"/>
      <c r="H1341" s="378"/>
      <c r="I1341" s="378"/>
      <c r="J1341" s="378"/>
      <c r="K1341" s="378"/>
      <c r="L1341" s="378"/>
      <c r="M1341" s="378"/>
      <c r="N1341" s="378"/>
      <c r="O1341" s="378"/>
      <c r="P1341" s="378"/>
      <c r="Q1341" s="378"/>
      <c r="R1341" s="378"/>
      <c r="S1341" s="378"/>
      <c r="T1341" s="378"/>
      <c r="U1341" s="378"/>
      <c r="V1341" s="378"/>
      <c r="W1341" s="378"/>
      <c r="X1341" s="378"/>
      <c r="Y1341" s="378"/>
      <c r="Z1341" s="378"/>
      <c r="AA1341" s="378"/>
      <c r="AB1341" s="378"/>
      <c r="AC1341" s="378"/>
      <c r="AD1341" s="378"/>
      <c r="AE1341" s="378"/>
      <c r="AF1341" s="378"/>
      <c r="AG1341" s="378"/>
      <c r="AH1341" s="378"/>
      <c r="AI1341" s="378"/>
      <c r="AJ1341" s="378"/>
      <c r="AK1341" s="378"/>
      <c r="AL1341" s="378"/>
      <c r="AM1341" s="378"/>
      <c r="AN1341" s="378"/>
      <c r="AO1341" s="378"/>
      <c r="AP1341" s="378"/>
      <c r="AQ1341" s="378"/>
      <c r="AR1341" s="378"/>
      <c r="AS1341" s="378"/>
      <c r="AT1341" s="378"/>
      <c r="AU1341" s="378"/>
    </row>
    <row r="1342" spans="1:47" hidden="1" x14ac:dyDescent="0.25">
      <c r="A1342" s="378"/>
      <c r="B1342" s="378"/>
      <c r="C1342" s="378"/>
      <c r="D1342" s="378"/>
      <c r="E1342" s="378"/>
      <c r="F1342" s="378"/>
      <c r="G1342" s="378"/>
      <c r="H1342" s="378"/>
      <c r="I1342" s="378"/>
      <c r="J1342" s="378"/>
      <c r="K1342" s="378"/>
      <c r="L1342" s="378"/>
      <c r="M1342" s="378"/>
      <c r="N1342" s="378"/>
      <c r="O1342" s="378"/>
      <c r="P1342" s="378"/>
      <c r="Q1342" s="378"/>
      <c r="R1342" s="378"/>
      <c r="S1342" s="378"/>
      <c r="T1342" s="378"/>
      <c r="U1342" s="378"/>
      <c r="V1342" s="378"/>
      <c r="W1342" s="378"/>
      <c r="X1342" s="378"/>
      <c r="Y1342" s="378"/>
      <c r="Z1342" s="378"/>
      <c r="AA1342" s="378"/>
      <c r="AB1342" s="378"/>
      <c r="AC1342" s="378"/>
      <c r="AD1342" s="378"/>
      <c r="AE1342" s="378"/>
      <c r="AF1342" s="378"/>
      <c r="AG1342" s="378"/>
      <c r="AH1342" s="378"/>
      <c r="AI1342" s="378"/>
      <c r="AJ1342" s="378"/>
      <c r="AK1342" s="378"/>
      <c r="AL1342" s="378"/>
      <c r="AM1342" s="378"/>
      <c r="AN1342" s="378"/>
      <c r="AO1342" s="378"/>
      <c r="AP1342" s="378"/>
      <c r="AQ1342" s="378"/>
      <c r="AR1342" s="378"/>
      <c r="AS1342" s="378"/>
      <c r="AT1342" s="378"/>
      <c r="AU1342" s="378"/>
    </row>
    <row r="1343" spans="1:47" hidden="1" x14ac:dyDescent="0.25">
      <c r="A1343" s="378"/>
      <c r="B1343" s="378"/>
      <c r="C1343" s="378"/>
      <c r="D1343" s="378"/>
      <c r="E1343" s="378"/>
      <c r="F1343" s="378"/>
      <c r="G1343" s="378"/>
      <c r="H1343" s="378"/>
      <c r="I1343" s="378"/>
      <c r="J1343" s="378"/>
      <c r="K1343" s="378"/>
      <c r="L1343" s="378"/>
      <c r="M1343" s="378"/>
      <c r="N1343" s="378"/>
      <c r="O1343" s="378"/>
      <c r="P1343" s="378"/>
      <c r="Q1343" s="378"/>
      <c r="R1343" s="378"/>
      <c r="S1343" s="378"/>
      <c r="T1343" s="378"/>
      <c r="U1343" s="378"/>
      <c r="V1343" s="378"/>
      <c r="W1343" s="378"/>
      <c r="X1343" s="378"/>
      <c r="Y1343" s="378"/>
      <c r="Z1343" s="378"/>
      <c r="AA1343" s="378"/>
      <c r="AB1343" s="378"/>
      <c r="AC1343" s="378"/>
      <c r="AD1343" s="378"/>
      <c r="AE1343" s="378"/>
      <c r="AF1343" s="378"/>
      <c r="AG1343" s="378"/>
      <c r="AH1343" s="378"/>
      <c r="AI1343" s="378"/>
      <c r="AJ1343" s="378"/>
      <c r="AK1343" s="378"/>
      <c r="AL1343" s="378"/>
      <c r="AM1343" s="378"/>
      <c r="AN1343" s="378"/>
      <c r="AO1343" s="378"/>
      <c r="AP1343" s="378"/>
      <c r="AQ1343" s="378"/>
      <c r="AR1343" s="378"/>
      <c r="AS1343" s="378"/>
      <c r="AT1343" s="378"/>
      <c r="AU1343" s="378"/>
    </row>
    <row r="1344" spans="1:47" hidden="1" x14ac:dyDescent="0.25">
      <c r="A1344" s="378"/>
      <c r="B1344" s="378"/>
      <c r="C1344" s="378"/>
      <c r="D1344" s="378"/>
      <c r="E1344" s="378"/>
      <c r="F1344" s="378"/>
      <c r="G1344" s="378"/>
      <c r="H1344" s="378"/>
      <c r="I1344" s="378"/>
      <c r="J1344" s="378"/>
      <c r="K1344" s="378"/>
      <c r="L1344" s="378"/>
      <c r="M1344" s="378"/>
      <c r="N1344" s="378"/>
      <c r="O1344" s="378"/>
      <c r="P1344" s="378"/>
      <c r="Q1344" s="378"/>
      <c r="R1344" s="378"/>
      <c r="S1344" s="378"/>
      <c r="T1344" s="378"/>
      <c r="U1344" s="378"/>
      <c r="V1344" s="378"/>
      <c r="W1344" s="378"/>
      <c r="X1344" s="378"/>
      <c r="Y1344" s="378"/>
      <c r="Z1344" s="378"/>
      <c r="AA1344" s="378"/>
      <c r="AB1344" s="378"/>
      <c r="AC1344" s="378"/>
      <c r="AD1344" s="378"/>
      <c r="AE1344" s="378"/>
      <c r="AF1344" s="378"/>
      <c r="AG1344" s="378"/>
      <c r="AH1344" s="378"/>
      <c r="AI1344" s="378"/>
      <c r="AJ1344" s="378"/>
      <c r="AK1344" s="378"/>
      <c r="AL1344" s="378"/>
      <c r="AM1344" s="378"/>
      <c r="AN1344" s="378"/>
      <c r="AO1344" s="378"/>
      <c r="AP1344" s="378"/>
      <c r="AQ1344" s="378"/>
      <c r="AR1344" s="378"/>
      <c r="AS1344" s="378"/>
      <c r="AT1344" s="378"/>
      <c r="AU1344" s="378"/>
    </row>
    <row r="1345" spans="1:47" hidden="1" x14ac:dyDescent="0.25">
      <c r="A1345" s="378"/>
      <c r="B1345" s="378"/>
      <c r="C1345" s="378"/>
      <c r="D1345" s="378"/>
      <c r="E1345" s="378"/>
      <c r="F1345" s="378"/>
      <c r="G1345" s="378"/>
      <c r="H1345" s="378"/>
      <c r="I1345" s="378"/>
      <c r="J1345" s="378"/>
      <c r="K1345" s="378"/>
      <c r="L1345" s="378"/>
      <c r="M1345" s="378"/>
      <c r="N1345" s="378"/>
      <c r="O1345" s="378"/>
      <c r="P1345" s="378"/>
      <c r="Q1345" s="378"/>
      <c r="R1345" s="378"/>
      <c r="S1345" s="378"/>
      <c r="T1345" s="378"/>
      <c r="U1345" s="378"/>
      <c r="V1345" s="378"/>
      <c r="W1345" s="378"/>
      <c r="X1345" s="378"/>
      <c r="Y1345" s="378"/>
      <c r="Z1345" s="378"/>
      <c r="AA1345" s="378"/>
      <c r="AB1345" s="378"/>
      <c r="AC1345" s="378"/>
      <c r="AD1345" s="378"/>
      <c r="AE1345" s="378"/>
      <c r="AF1345" s="378"/>
      <c r="AG1345" s="378"/>
      <c r="AH1345" s="378"/>
      <c r="AI1345" s="378"/>
      <c r="AJ1345" s="378"/>
      <c r="AK1345" s="378"/>
      <c r="AL1345" s="378"/>
      <c r="AM1345" s="378"/>
      <c r="AN1345" s="378"/>
      <c r="AO1345" s="378"/>
      <c r="AP1345" s="378"/>
      <c r="AQ1345" s="378"/>
      <c r="AR1345" s="378"/>
      <c r="AS1345" s="378"/>
      <c r="AT1345" s="378"/>
      <c r="AU1345" s="378"/>
    </row>
    <row r="1346" spans="1:47" hidden="1" x14ac:dyDescent="0.25">
      <c r="A1346" s="378"/>
      <c r="B1346" s="378"/>
      <c r="C1346" s="378"/>
      <c r="D1346" s="378"/>
      <c r="E1346" s="378"/>
      <c r="F1346" s="378"/>
      <c r="G1346" s="378"/>
      <c r="H1346" s="378"/>
      <c r="I1346" s="378"/>
      <c r="J1346" s="378"/>
      <c r="K1346" s="378"/>
      <c r="L1346" s="378"/>
      <c r="M1346" s="378"/>
      <c r="N1346" s="378"/>
      <c r="O1346" s="378"/>
      <c r="P1346" s="378"/>
      <c r="Q1346" s="378"/>
      <c r="R1346" s="378"/>
      <c r="S1346" s="378"/>
      <c r="T1346" s="378"/>
      <c r="U1346" s="378"/>
      <c r="V1346" s="378"/>
      <c r="W1346" s="378"/>
      <c r="X1346" s="378"/>
      <c r="Y1346" s="378"/>
      <c r="Z1346" s="378"/>
      <c r="AA1346" s="378"/>
      <c r="AB1346" s="378"/>
      <c r="AC1346" s="378"/>
      <c r="AD1346" s="378"/>
      <c r="AE1346" s="378"/>
      <c r="AF1346" s="378"/>
      <c r="AG1346" s="378"/>
      <c r="AH1346" s="378"/>
      <c r="AI1346" s="378"/>
      <c r="AJ1346" s="378"/>
      <c r="AK1346" s="378"/>
      <c r="AL1346" s="378"/>
      <c r="AM1346" s="378"/>
      <c r="AN1346" s="378"/>
      <c r="AO1346" s="378"/>
      <c r="AP1346" s="378"/>
      <c r="AQ1346" s="378"/>
      <c r="AR1346" s="378"/>
      <c r="AS1346" s="378"/>
      <c r="AT1346" s="378"/>
      <c r="AU1346" s="378"/>
    </row>
    <row r="1347" spans="1:47" hidden="1" x14ac:dyDescent="0.25">
      <c r="A1347" s="378"/>
      <c r="B1347" s="378"/>
      <c r="C1347" s="378"/>
      <c r="D1347" s="378"/>
      <c r="E1347" s="378"/>
      <c r="F1347" s="378"/>
      <c r="G1347" s="378"/>
      <c r="H1347" s="378"/>
      <c r="I1347" s="378"/>
      <c r="J1347" s="378"/>
      <c r="K1347" s="378"/>
      <c r="L1347" s="378"/>
      <c r="M1347" s="378"/>
      <c r="N1347" s="378"/>
      <c r="O1347" s="378"/>
      <c r="P1347" s="378"/>
      <c r="Q1347" s="378"/>
      <c r="R1347" s="378"/>
      <c r="S1347" s="378"/>
      <c r="T1347" s="378"/>
      <c r="U1347" s="378"/>
      <c r="V1347" s="378"/>
      <c r="W1347" s="378"/>
      <c r="X1347" s="378"/>
      <c r="Y1347" s="378"/>
      <c r="Z1347" s="378"/>
      <c r="AA1347" s="378"/>
      <c r="AB1347" s="378"/>
      <c r="AC1347" s="378"/>
      <c r="AD1347" s="378"/>
      <c r="AE1347" s="378"/>
      <c r="AF1347" s="378"/>
      <c r="AG1347" s="378"/>
      <c r="AH1347" s="378"/>
      <c r="AI1347" s="378"/>
      <c r="AJ1347" s="378"/>
      <c r="AK1347" s="378"/>
      <c r="AL1347" s="378"/>
      <c r="AM1347" s="378"/>
      <c r="AN1347" s="378"/>
      <c r="AO1347" s="378"/>
      <c r="AP1347" s="378"/>
      <c r="AQ1347" s="378"/>
      <c r="AR1347" s="378"/>
      <c r="AS1347" s="378"/>
      <c r="AT1347" s="378"/>
      <c r="AU1347" s="378"/>
    </row>
    <row r="1348" spans="1:47" hidden="1" x14ac:dyDescent="0.25">
      <c r="A1348" s="378"/>
      <c r="B1348" s="378"/>
      <c r="C1348" s="378"/>
      <c r="D1348" s="378"/>
      <c r="E1348" s="378"/>
      <c r="F1348" s="378"/>
      <c r="G1348" s="378"/>
      <c r="H1348" s="378"/>
      <c r="I1348" s="378"/>
      <c r="J1348" s="378"/>
      <c r="K1348" s="378"/>
      <c r="L1348" s="378"/>
      <c r="M1348" s="378"/>
      <c r="N1348" s="378"/>
      <c r="O1348" s="378"/>
      <c r="P1348" s="378"/>
      <c r="Q1348" s="378"/>
      <c r="R1348" s="378"/>
      <c r="S1348" s="378"/>
      <c r="T1348" s="378"/>
      <c r="U1348" s="378"/>
      <c r="V1348" s="378"/>
      <c r="W1348" s="378"/>
      <c r="X1348" s="378"/>
      <c r="Y1348" s="378"/>
      <c r="Z1348" s="378"/>
      <c r="AA1348" s="378"/>
      <c r="AB1348" s="378"/>
      <c r="AC1348" s="378"/>
      <c r="AD1348" s="378"/>
      <c r="AE1348" s="378"/>
      <c r="AF1348" s="378"/>
      <c r="AG1348" s="378"/>
      <c r="AH1348" s="378"/>
      <c r="AI1348" s="378"/>
      <c r="AJ1348" s="378"/>
      <c r="AK1348" s="378"/>
      <c r="AL1348" s="378"/>
      <c r="AM1348" s="378"/>
      <c r="AN1348" s="378"/>
      <c r="AO1348" s="378"/>
      <c r="AP1348" s="378"/>
      <c r="AQ1348" s="378"/>
      <c r="AR1348" s="378"/>
      <c r="AS1348" s="378"/>
      <c r="AT1348" s="378"/>
      <c r="AU1348" s="378"/>
    </row>
    <row r="1349" spans="1:47" hidden="1" x14ac:dyDescent="0.25">
      <c r="A1349" s="378"/>
      <c r="B1349" s="378"/>
      <c r="C1349" s="378"/>
      <c r="D1349" s="378"/>
      <c r="E1349" s="378"/>
      <c r="F1349" s="378"/>
      <c r="G1349" s="378"/>
      <c r="H1349" s="378"/>
      <c r="I1349" s="378"/>
      <c r="J1349" s="378"/>
      <c r="K1349" s="378"/>
      <c r="L1349" s="378"/>
      <c r="M1349" s="378"/>
      <c r="N1349" s="378"/>
      <c r="O1349" s="378"/>
      <c r="P1349" s="378"/>
      <c r="Q1349" s="378"/>
      <c r="R1349" s="378"/>
      <c r="S1349" s="378"/>
      <c r="T1349" s="378"/>
      <c r="U1349" s="378"/>
      <c r="V1349" s="378"/>
      <c r="W1349" s="378"/>
      <c r="X1349" s="378"/>
      <c r="Y1349" s="378"/>
      <c r="Z1349" s="378"/>
      <c r="AA1349" s="378"/>
      <c r="AB1349" s="378"/>
      <c r="AC1349" s="378"/>
      <c r="AD1349" s="378"/>
      <c r="AE1349" s="378"/>
      <c r="AF1349" s="378"/>
      <c r="AG1349" s="378"/>
      <c r="AH1349" s="378"/>
      <c r="AI1349" s="378"/>
      <c r="AJ1349" s="378"/>
      <c r="AK1349" s="378"/>
      <c r="AL1349" s="378"/>
      <c r="AM1349" s="378"/>
      <c r="AN1349" s="378"/>
      <c r="AO1349" s="378"/>
      <c r="AP1349" s="378"/>
      <c r="AQ1349" s="378"/>
      <c r="AR1349" s="378"/>
      <c r="AS1349" s="378"/>
      <c r="AT1349" s="378"/>
      <c r="AU1349" s="378"/>
    </row>
    <row r="1350" spans="1:47" hidden="1" x14ac:dyDescent="0.25">
      <c r="A1350" s="378"/>
      <c r="B1350" s="378"/>
      <c r="C1350" s="378"/>
      <c r="D1350" s="378"/>
      <c r="E1350" s="378"/>
      <c r="F1350" s="378"/>
      <c r="G1350" s="378"/>
      <c r="H1350" s="378"/>
      <c r="I1350" s="378"/>
      <c r="J1350" s="378"/>
      <c r="K1350" s="378"/>
      <c r="L1350" s="378"/>
      <c r="M1350" s="378"/>
      <c r="N1350" s="378"/>
      <c r="O1350" s="378"/>
      <c r="P1350" s="378"/>
      <c r="Q1350" s="378"/>
      <c r="R1350" s="378"/>
      <c r="S1350" s="378"/>
      <c r="T1350" s="378"/>
      <c r="U1350" s="378"/>
      <c r="V1350" s="378"/>
      <c r="W1350" s="378"/>
      <c r="X1350" s="378"/>
      <c r="Y1350" s="378"/>
      <c r="Z1350" s="378"/>
      <c r="AA1350" s="378"/>
      <c r="AB1350" s="378"/>
      <c r="AC1350" s="378"/>
      <c r="AD1350" s="378"/>
      <c r="AE1350" s="378"/>
      <c r="AF1350" s="378"/>
      <c r="AG1350" s="378"/>
      <c r="AH1350" s="378"/>
      <c r="AI1350" s="378"/>
      <c r="AJ1350" s="378"/>
      <c r="AK1350" s="378"/>
      <c r="AL1350" s="378"/>
      <c r="AM1350" s="378"/>
      <c r="AN1350" s="378"/>
      <c r="AO1350" s="378"/>
      <c r="AP1350" s="378"/>
      <c r="AQ1350" s="378"/>
      <c r="AR1350" s="378"/>
      <c r="AS1350" s="378"/>
      <c r="AT1350" s="378"/>
      <c r="AU1350" s="378"/>
    </row>
    <row r="1351" spans="1:47" hidden="1" x14ac:dyDescent="0.25">
      <c r="A1351" s="378"/>
      <c r="B1351" s="378"/>
      <c r="C1351" s="378"/>
      <c r="D1351" s="378"/>
      <c r="E1351" s="378"/>
      <c r="F1351" s="378"/>
      <c r="G1351" s="378"/>
      <c r="H1351" s="378"/>
      <c r="I1351" s="378"/>
      <c r="J1351" s="378"/>
      <c r="K1351" s="378"/>
      <c r="L1351" s="378"/>
      <c r="M1351" s="378"/>
      <c r="N1351" s="378"/>
      <c r="O1351" s="378"/>
      <c r="P1351" s="378"/>
      <c r="Q1351" s="378"/>
      <c r="R1351" s="378"/>
      <c r="S1351" s="378"/>
      <c r="T1351" s="378"/>
      <c r="U1351" s="378"/>
      <c r="V1351" s="378"/>
      <c r="W1351" s="378"/>
      <c r="X1351" s="378"/>
      <c r="Y1351" s="378"/>
      <c r="Z1351" s="378"/>
      <c r="AA1351" s="378"/>
      <c r="AB1351" s="378"/>
      <c r="AC1351" s="378"/>
      <c r="AD1351" s="378"/>
      <c r="AE1351" s="378"/>
      <c r="AF1351" s="378"/>
      <c r="AG1351" s="378"/>
      <c r="AH1351" s="378"/>
      <c r="AI1351" s="378"/>
      <c r="AJ1351" s="378"/>
      <c r="AK1351" s="378"/>
      <c r="AL1351" s="378"/>
      <c r="AM1351" s="378"/>
      <c r="AN1351" s="378"/>
      <c r="AO1351" s="378"/>
      <c r="AP1351" s="378"/>
      <c r="AQ1351" s="378"/>
      <c r="AR1351" s="378"/>
      <c r="AS1351" s="378"/>
      <c r="AT1351" s="378"/>
      <c r="AU1351" s="378"/>
    </row>
    <row r="1352" spans="1:47" hidden="1" x14ac:dyDescent="0.25">
      <c r="A1352" s="378"/>
      <c r="B1352" s="378"/>
      <c r="C1352" s="378"/>
      <c r="D1352" s="378"/>
      <c r="E1352" s="378"/>
      <c r="F1352" s="378"/>
      <c r="G1352" s="378"/>
      <c r="H1352" s="378"/>
      <c r="I1352" s="378"/>
      <c r="J1352" s="378"/>
      <c r="K1352" s="378"/>
      <c r="L1352" s="378"/>
      <c r="M1352" s="378"/>
      <c r="N1352" s="378"/>
      <c r="O1352" s="378"/>
      <c r="P1352" s="378"/>
      <c r="Q1352" s="378"/>
      <c r="R1352" s="378"/>
      <c r="S1352" s="378"/>
      <c r="T1352" s="378"/>
      <c r="U1352" s="378"/>
      <c r="V1352" s="378"/>
      <c r="W1352" s="378"/>
      <c r="X1352" s="378"/>
      <c r="Y1352" s="378"/>
      <c r="Z1352" s="378"/>
      <c r="AA1352" s="378"/>
      <c r="AB1352" s="378"/>
      <c r="AC1352" s="378"/>
      <c r="AD1352" s="378"/>
      <c r="AE1352" s="378"/>
      <c r="AF1352" s="378"/>
      <c r="AG1352" s="378"/>
      <c r="AH1352" s="378"/>
      <c r="AI1352" s="378"/>
      <c r="AJ1352" s="378"/>
      <c r="AK1352" s="378"/>
      <c r="AL1352" s="378"/>
      <c r="AM1352" s="378"/>
      <c r="AN1352" s="378"/>
      <c r="AO1352" s="378"/>
      <c r="AP1352" s="378"/>
      <c r="AQ1352" s="378"/>
      <c r="AR1352" s="378"/>
      <c r="AS1352" s="378"/>
      <c r="AT1352" s="378"/>
      <c r="AU1352" s="378"/>
    </row>
    <row r="1353" spans="1:47" hidden="1" x14ac:dyDescent="0.25">
      <c r="A1353" s="378"/>
      <c r="B1353" s="378"/>
      <c r="C1353" s="378"/>
      <c r="D1353" s="378"/>
      <c r="E1353" s="378"/>
      <c r="F1353" s="378"/>
      <c r="G1353" s="378"/>
      <c r="H1353" s="378"/>
      <c r="I1353" s="378"/>
      <c r="J1353" s="378"/>
      <c r="K1353" s="378"/>
      <c r="L1353" s="378"/>
      <c r="M1353" s="378"/>
      <c r="N1353" s="378"/>
      <c r="O1353" s="378"/>
      <c r="P1353" s="378"/>
      <c r="Q1353" s="378"/>
      <c r="R1353" s="378"/>
      <c r="S1353" s="378"/>
      <c r="T1353" s="378"/>
      <c r="U1353" s="378"/>
      <c r="V1353" s="378"/>
      <c r="W1353" s="378"/>
      <c r="X1353" s="378"/>
      <c r="Y1353" s="378"/>
      <c r="Z1353" s="378"/>
      <c r="AA1353" s="378"/>
      <c r="AB1353" s="378"/>
      <c r="AC1353" s="378"/>
      <c r="AD1353" s="378"/>
      <c r="AE1353" s="378"/>
      <c r="AF1353" s="378"/>
      <c r="AG1353" s="378"/>
      <c r="AH1353" s="378"/>
      <c r="AI1353" s="378"/>
      <c r="AJ1353" s="378"/>
      <c r="AK1353" s="378"/>
      <c r="AL1353" s="378"/>
      <c r="AM1353" s="378"/>
      <c r="AN1353" s="378"/>
      <c r="AO1353" s="378"/>
      <c r="AP1353" s="378"/>
      <c r="AQ1353" s="378"/>
      <c r="AR1353" s="378"/>
      <c r="AS1353" s="378"/>
      <c r="AT1353" s="378"/>
      <c r="AU1353" s="378"/>
    </row>
    <row r="1354" spans="1:47" hidden="1" x14ac:dyDescent="0.25">
      <c r="A1354" s="378"/>
      <c r="B1354" s="378"/>
      <c r="C1354" s="378"/>
      <c r="D1354" s="378"/>
      <c r="E1354" s="378"/>
      <c r="F1354" s="378"/>
      <c r="G1354" s="378"/>
      <c r="H1354" s="378"/>
      <c r="I1354" s="378"/>
      <c r="J1354" s="378"/>
      <c r="K1354" s="378"/>
      <c r="L1354" s="378"/>
      <c r="M1354" s="378"/>
      <c r="N1354" s="378"/>
      <c r="O1354" s="378"/>
      <c r="P1354" s="378"/>
      <c r="Q1354" s="378"/>
      <c r="R1354" s="378"/>
      <c r="S1354" s="378"/>
      <c r="T1354" s="378"/>
      <c r="U1354" s="378"/>
      <c r="V1354" s="378"/>
      <c r="W1354" s="378"/>
      <c r="X1354" s="378"/>
      <c r="Y1354" s="378"/>
      <c r="Z1354" s="378"/>
      <c r="AA1354" s="378"/>
      <c r="AB1354" s="378"/>
      <c r="AC1354" s="378"/>
      <c r="AD1354" s="378"/>
      <c r="AE1354" s="378"/>
      <c r="AF1354" s="378"/>
      <c r="AG1354" s="378"/>
      <c r="AH1354" s="378"/>
      <c r="AI1354" s="378"/>
      <c r="AJ1354" s="378"/>
      <c r="AK1354" s="378"/>
      <c r="AL1354" s="378"/>
      <c r="AM1354" s="378"/>
      <c r="AN1354" s="378"/>
      <c r="AO1354" s="378"/>
      <c r="AP1354" s="378"/>
      <c r="AQ1354" s="378"/>
      <c r="AR1354" s="378"/>
      <c r="AS1354" s="378"/>
      <c r="AT1354" s="378"/>
      <c r="AU1354" s="378"/>
    </row>
    <row r="1355" spans="1:47" hidden="1" x14ac:dyDescent="0.25">
      <c r="A1355" s="378"/>
      <c r="B1355" s="378"/>
      <c r="C1355" s="378"/>
      <c r="D1355" s="378"/>
      <c r="E1355" s="378"/>
      <c r="F1355" s="378"/>
      <c r="G1355" s="378"/>
      <c r="H1355" s="378"/>
      <c r="I1355" s="378"/>
      <c r="J1355" s="378"/>
      <c r="K1355" s="378"/>
      <c r="L1355" s="378"/>
      <c r="M1355" s="378"/>
      <c r="N1355" s="378"/>
      <c r="O1355" s="378"/>
      <c r="P1355" s="378"/>
      <c r="Q1355" s="378"/>
      <c r="R1355" s="378"/>
      <c r="S1355" s="378"/>
      <c r="T1355" s="378"/>
      <c r="U1355" s="378"/>
      <c r="V1355" s="378"/>
      <c r="W1355" s="378"/>
      <c r="X1355" s="378"/>
      <c r="Y1355" s="378"/>
      <c r="Z1355" s="378"/>
      <c r="AA1355" s="378"/>
      <c r="AB1355" s="378"/>
      <c r="AC1355" s="378"/>
      <c r="AD1355" s="378"/>
      <c r="AE1355" s="378"/>
      <c r="AF1355" s="378"/>
      <c r="AG1355" s="378"/>
      <c r="AH1355" s="378"/>
      <c r="AI1355" s="378"/>
      <c r="AJ1355" s="378"/>
      <c r="AK1355" s="378"/>
      <c r="AL1355" s="378"/>
      <c r="AM1355" s="378"/>
      <c r="AN1355" s="378"/>
      <c r="AO1355" s="378"/>
      <c r="AP1355" s="378"/>
      <c r="AQ1355" s="378"/>
      <c r="AR1355" s="378"/>
      <c r="AS1355" s="378"/>
      <c r="AT1355" s="378"/>
      <c r="AU1355" s="378"/>
    </row>
    <row r="1356" spans="1:47" hidden="1" x14ac:dyDescent="0.25">
      <c r="A1356" s="378"/>
      <c r="B1356" s="378"/>
      <c r="C1356" s="378"/>
      <c r="D1356" s="378"/>
      <c r="E1356" s="378"/>
      <c r="F1356" s="378"/>
      <c r="G1356" s="378"/>
      <c r="H1356" s="378"/>
      <c r="I1356" s="378"/>
      <c r="J1356" s="378"/>
      <c r="K1356" s="378"/>
      <c r="L1356" s="378"/>
      <c r="M1356" s="378"/>
      <c r="N1356" s="378"/>
      <c r="O1356" s="378"/>
      <c r="P1356" s="378"/>
      <c r="Q1356" s="378"/>
      <c r="R1356" s="378"/>
      <c r="S1356" s="378"/>
      <c r="T1356" s="378"/>
      <c r="U1356" s="378"/>
      <c r="V1356" s="378"/>
      <c r="W1356" s="378"/>
      <c r="X1356" s="378"/>
      <c r="Y1356" s="378"/>
      <c r="Z1356" s="378"/>
      <c r="AA1356" s="378"/>
      <c r="AB1356" s="378"/>
      <c r="AC1356" s="378"/>
      <c r="AD1356" s="378"/>
      <c r="AE1356" s="378"/>
      <c r="AF1356" s="378"/>
      <c r="AG1356" s="378"/>
      <c r="AH1356" s="378"/>
      <c r="AI1356" s="378"/>
      <c r="AJ1356" s="378"/>
      <c r="AK1356" s="378"/>
      <c r="AL1356" s="378"/>
      <c r="AM1356" s="378"/>
      <c r="AN1356" s="378"/>
      <c r="AO1356" s="378"/>
      <c r="AP1356" s="378"/>
      <c r="AQ1356" s="378"/>
      <c r="AR1356" s="378"/>
      <c r="AS1356" s="378"/>
      <c r="AT1356" s="378"/>
      <c r="AU1356" s="378"/>
    </row>
    <row r="1357" spans="1:47" hidden="1" x14ac:dyDescent="0.25">
      <c r="A1357" s="378"/>
      <c r="B1357" s="378"/>
      <c r="C1357" s="378"/>
      <c r="D1357" s="378"/>
      <c r="E1357" s="378"/>
      <c r="F1357" s="378"/>
      <c r="G1357" s="378"/>
      <c r="H1357" s="378"/>
      <c r="I1357" s="378"/>
      <c r="J1357" s="378"/>
      <c r="K1357" s="378"/>
      <c r="L1357" s="378"/>
      <c r="M1357" s="378"/>
      <c r="N1357" s="378"/>
      <c r="O1357" s="378"/>
      <c r="P1357" s="378"/>
      <c r="Q1357" s="378"/>
      <c r="R1357" s="378"/>
      <c r="S1357" s="378"/>
      <c r="T1357" s="378"/>
      <c r="U1357" s="378"/>
      <c r="V1357" s="378"/>
      <c r="W1357" s="378"/>
      <c r="X1357" s="378"/>
      <c r="Y1357" s="378"/>
      <c r="Z1357" s="378"/>
      <c r="AA1357" s="378"/>
      <c r="AB1357" s="378"/>
      <c r="AC1357" s="378"/>
      <c r="AD1357" s="378"/>
      <c r="AE1357" s="378"/>
      <c r="AF1357" s="378"/>
      <c r="AG1357" s="378"/>
      <c r="AH1357" s="378"/>
      <c r="AI1357" s="378"/>
      <c r="AJ1357" s="378"/>
      <c r="AK1357" s="378"/>
      <c r="AL1357" s="378"/>
      <c r="AM1357" s="378"/>
      <c r="AN1357" s="378"/>
      <c r="AO1357" s="378"/>
      <c r="AP1357" s="378"/>
      <c r="AQ1357" s="378"/>
      <c r="AR1357" s="378"/>
      <c r="AS1357" s="378"/>
      <c r="AT1357" s="378"/>
      <c r="AU1357" s="378"/>
    </row>
    <row r="1358" spans="1:47" hidden="1" x14ac:dyDescent="0.25">
      <c r="A1358" s="378"/>
      <c r="B1358" s="378"/>
      <c r="C1358" s="378"/>
      <c r="D1358" s="378"/>
      <c r="E1358" s="378"/>
      <c r="F1358" s="378"/>
      <c r="G1358" s="378"/>
      <c r="H1358" s="378"/>
      <c r="I1358" s="378"/>
      <c r="J1358" s="378"/>
      <c r="K1358" s="378"/>
      <c r="L1358" s="378"/>
      <c r="M1358" s="378"/>
      <c r="N1358" s="378"/>
      <c r="O1358" s="378"/>
      <c r="P1358" s="378"/>
      <c r="Q1358" s="378"/>
      <c r="R1358" s="378"/>
      <c r="S1358" s="378"/>
      <c r="T1358" s="378"/>
      <c r="U1358" s="378"/>
      <c r="V1358" s="378"/>
      <c r="W1358" s="378"/>
      <c r="X1358" s="378"/>
      <c r="Y1358" s="378"/>
      <c r="Z1358" s="378"/>
      <c r="AA1358" s="378"/>
      <c r="AB1358" s="378"/>
      <c r="AC1358" s="378"/>
      <c r="AD1358" s="378"/>
      <c r="AE1358" s="378"/>
      <c r="AF1358" s="378"/>
      <c r="AG1358" s="378"/>
      <c r="AH1358" s="378"/>
      <c r="AI1358" s="378"/>
      <c r="AJ1358" s="378"/>
      <c r="AK1358" s="378"/>
      <c r="AL1358" s="378"/>
      <c r="AM1358" s="378"/>
      <c r="AN1358" s="378"/>
      <c r="AO1358" s="378"/>
      <c r="AP1358" s="378"/>
      <c r="AQ1358" s="378"/>
      <c r="AR1358" s="378"/>
      <c r="AS1358" s="378"/>
      <c r="AT1358" s="378"/>
      <c r="AU1358" s="378"/>
    </row>
    <row r="1359" spans="1:47" hidden="1" x14ac:dyDescent="0.25">
      <c r="A1359" s="378"/>
      <c r="B1359" s="378"/>
      <c r="C1359" s="378"/>
      <c r="D1359" s="378"/>
      <c r="E1359" s="378"/>
      <c r="F1359" s="378"/>
      <c r="G1359" s="378"/>
      <c r="H1359" s="378"/>
      <c r="I1359" s="378"/>
      <c r="J1359" s="378"/>
      <c r="K1359" s="378"/>
      <c r="L1359" s="378"/>
      <c r="M1359" s="378"/>
      <c r="N1359" s="378"/>
      <c r="O1359" s="378"/>
      <c r="P1359" s="378"/>
      <c r="Q1359" s="378"/>
      <c r="R1359" s="378"/>
      <c r="S1359" s="378"/>
      <c r="T1359" s="378"/>
      <c r="U1359" s="378"/>
      <c r="V1359" s="378"/>
      <c r="W1359" s="378"/>
      <c r="X1359" s="378"/>
      <c r="Y1359" s="378"/>
      <c r="Z1359" s="378"/>
      <c r="AA1359" s="378"/>
      <c r="AB1359" s="378"/>
      <c r="AC1359" s="378"/>
      <c r="AD1359" s="378"/>
      <c r="AE1359" s="378"/>
      <c r="AF1359" s="378"/>
      <c r="AG1359" s="378"/>
      <c r="AH1359" s="378"/>
      <c r="AI1359" s="378"/>
      <c r="AJ1359" s="378"/>
      <c r="AK1359" s="378"/>
      <c r="AL1359" s="378"/>
      <c r="AM1359" s="378"/>
      <c r="AN1359" s="378"/>
      <c r="AO1359" s="378"/>
      <c r="AP1359" s="378"/>
      <c r="AQ1359" s="378"/>
      <c r="AR1359" s="378"/>
      <c r="AS1359" s="378"/>
      <c r="AT1359" s="378"/>
      <c r="AU1359" s="378"/>
    </row>
    <row r="1360" spans="1:47" hidden="1" x14ac:dyDescent="0.25">
      <c r="A1360" s="378"/>
      <c r="B1360" s="378"/>
      <c r="C1360" s="378"/>
      <c r="D1360" s="378"/>
      <c r="E1360" s="378"/>
      <c r="F1360" s="378"/>
      <c r="G1360" s="378"/>
      <c r="H1360" s="378"/>
      <c r="I1360" s="378"/>
      <c r="J1360" s="378"/>
      <c r="K1360" s="378"/>
      <c r="L1360" s="378"/>
      <c r="M1360" s="378"/>
      <c r="N1360" s="378"/>
      <c r="O1360" s="378"/>
      <c r="P1360" s="378"/>
      <c r="Q1360" s="378"/>
      <c r="R1360" s="378"/>
      <c r="S1360" s="378"/>
      <c r="T1360" s="378"/>
      <c r="U1360" s="378"/>
      <c r="V1360" s="378"/>
      <c r="W1360" s="378"/>
      <c r="X1360" s="378"/>
      <c r="Y1360" s="378"/>
      <c r="Z1360" s="378"/>
      <c r="AA1360" s="378"/>
      <c r="AB1360" s="378"/>
      <c r="AC1360" s="378"/>
      <c r="AD1360" s="378"/>
      <c r="AE1360" s="378"/>
      <c r="AF1360" s="378"/>
      <c r="AG1360" s="378"/>
      <c r="AH1360" s="378"/>
      <c r="AI1360" s="378"/>
      <c r="AJ1360" s="378"/>
      <c r="AK1360" s="378"/>
      <c r="AL1360" s="378"/>
      <c r="AM1360" s="378"/>
      <c r="AN1360" s="378"/>
      <c r="AO1360" s="378"/>
      <c r="AP1360" s="378"/>
      <c r="AQ1360" s="378"/>
      <c r="AR1360" s="378"/>
      <c r="AS1360" s="378"/>
      <c r="AT1360" s="378"/>
      <c r="AU1360" s="378"/>
    </row>
    <row r="1361" spans="1:47" hidden="1" x14ac:dyDescent="0.25">
      <c r="A1361" s="378"/>
      <c r="B1361" s="378"/>
      <c r="C1361" s="378"/>
      <c r="D1361" s="378"/>
      <c r="E1361" s="378"/>
      <c r="F1361" s="378"/>
      <c r="G1361" s="378"/>
      <c r="H1361" s="378"/>
      <c r="I1361" s="378"/>
      <c r="J1361" s="378"/>
      <c r="K1361" s="378"/>
      <c r="L1361" s="378"/>
      <c r="M1361" s="378"/>
      <c r="N1361" s="378"/>
      <c r="O1361" s="378"/>
      <c r="P1361" s="378"/>
      <c r="Q1361" s="378"/>
      <c r="R1361" s="378"/>
      <c r="S1361" s="378"/>
      <c r="T1361" s="378"/>
      <c r="U1361" s="378"/>
      <c r="V1361" s="378"/>
      <c r="W1361" s="378"/>
      <c r="X1361" s="378"/>
      <c r="Y1361" s="378"/>
      <c r="Z1361" s="378"/>
      <c r="AA1361" s="378"/>
      <c r="AB1361" s="378"/>
      <c r="AC1361" s="378"/>
      <c r="AD1361" s="378"/>
      <c r="AE1361" s="378"/>
      <c r="AF1361" s="378"/>
      <c r="AG1361" s="378"/>
      <c r="AH1361" s="378"/>
      <c r="AI1361" s="378"/>
      <c r="AJ1361" s="378"/>
      <c r="AK1361" s="378"/>
      <c r="AL1361" s="378"/>
      <c r="AM1361" s="378"/>
      <c r="AN1361" s="378"/>
      <c r="AO1361" s="378"/>
      <c r="AP1361" s="378"/>
      <c r="AQ1361" s="378"/>
      <c r="AR1361" s="378"/>
      <c r="AS1361" s="378"/>
      <c r="AT1361" s="378"/>
      <c r="AU1361" s="378"/>
    </row>
    <row r="1362" spans="1:47" hidden="1" x14ac:dyDescent="0.25">
      <c r="A1362" s="378"/>
      <c r="B1362" s="378"/>
      <c r="C1362" s="378"/>
      <c r="D1362" s="378"/>
      <c r="E1362" s="378"/>
      <c r="F1362" s="378"/>
      <c r="G1362" s="378"/>
      <c r="H1362" s="378"/>
      <c r="I1362" s="378"/>
      <c r="J1362" s="378"/>
      <c r="K1362" s="378"/>
      <c r="L1362" s="378"/>
      <c r="M1362" s="378"/>
      <c r="N1362" s="378"/>
      <c r="O1362" s="378"/>
      <c r="P1362" s="378"/>
      <c r="Q1362" s="378"/>
      <c r="R1362" s="378"/>
      <c r="S1362" s="378"/>
      <c r="T1362" s="378"/>
      <c r="U1362" s="378"/>
      <c r="V1362" s="378"/>
      <c r="W1362" s="378"/>
      <c r="X1362" s="378"/>
      <c r="Y1362" s="378"/>
      <c r="Z1362" s="378"/>
      <c r="AA1362" s="378"/>
      <c r="AB1362" s="378"/>
      <c r="AC1362" s="378"/>
      <c r="AD1362" s="378"/>
      <c r="AE1362" s="378"/>
      <c r="AF1362" s="378"/>
      <c r="AG1362" s="378"/>
      <c r="AH1362" s="378"/>
      <c r="AI1362" s="378"/>
      <c r="AJ1362" s="378"/>
      <c r="AK1362" s="378"/>
      <c r="AL1362" s="378"/>
      <c r="AM1362" s="378"/>
      <c r="AN1362" s="378"/>
      <c r="AO1362" s="378"/>
      <c r="AP1362" s="378"/>
      <c r="AQ1362" s="378"/>
      <c r="AR1362" s="378"/>
      <c r="AS1362" s="378"/>
      <c r="AT1362" s="378"/>
      <c r="AU1362" s="378"/>
    </row>
    <row r="1363" spans="1:47" hidden="1" x14ac:dyDescent="0.25">
      <c r="A1363" s="378"/>
      <c r="B1363" s="378"/>
      <c r="C1363" s="378"/>
      <c r="D1363" s="378"/>
      <c r="E1363" s="378"/>
      <c r="F1363" s="378"/>
      <c r="G1363" s="378"/>
      <c r="H1363" s="378"/>
      <c r="I1363" s="378"/>
      <c r="J1363" s="378"/>
      <c r="K1363" s="378"/>
      <c r="L1363" s="378"/>
      <c r="M1363" s="378"/>
      <c r="N1363" s="378"/>
      <c r="O1363" s="378"/>
      <c r="P1363" s="378"/>
      <c r="Q1363" s="378"/>
      <c r="R1363" s="378"/>
      <c r="S1363" s="378"/>
      <c r="T1363" s="378"/>
      <c r="U1363" s="378"/>
      <c r="V1363" s="378"/>
      <c r="W1363" s="378"/>
      <c r="X1363" s="378"/>
      <c r="Y1363" s="378"/>
      <c r="Z1363" s="378"/>
      <c r="AA1363" s="378"/>
      <c r="AB1363" s="378"/>
      <c r="AC1363" s="378"/>
      <c r="AD1363" s="378"/>
      <c r="AE1363" s="378"/>
      <c r="AF1363" s="378"/>
      <c r="AG1363" s="378"/>
      <c r="AH1363" s="378"/>
      <c r="AI1363" s="378"/>
      <c r="AJ1363" s="378"/>
      <c r="AK1363" s="378"/>
      <c r="AL1363" s="378"/>
      <c r="AM1363" s="378"/>
      <c r="AN1363" s="378"/>
      <c r="AO1363" s="378"/>
      <c r="AP1363" s="378"/>
      <c r="AQ1363" s="378"/>
      <c r="AR1363" s="378"/>
      <c r="AS1363" s="378"/>
      <c r="AT1363" s="378"/>
      <c r="AU1363" s="378"/>
    </row>
    <row r="1364" spans="1:47" hidden="1" x14ac:dyDescent="0.25">
      <c r="A1364" s="378"/>
      <c r="B1364" s="378"/>
      <c r="C1364" s="378"/>
      <c r="D1364" s="378"/>
      <c r="E1364" s="378"/>
      <c r="F1364" s="378"/>
      <c r="G1364" s="378"/>
      <c r="H1364" s="378"/>
      <c r="I1364" s="378"/>
      <c r="J1364" s="378"/>
      <c r="K1364" s="378"/>
      <c r="L1364" s="378"/>
      <c r="M1364" s="378"/>
      <c r="N1364" s="378"/>
      <c r="O1364" s="378"/>
      <c r="P1364" s="378"/>
      <c r="Q1364" s="378"/>
      <c r="R1364" s="378"/>
      <c r="S1364" s="378"/>
      <c r="T1364" s="378"/>
      <c r="U1364" s="378"/>
      <c r="V1364" s="378"/>
      <c r="W1364" s="378"/>
      <c r="X1364" s="378"/>
      <c r="Y1364" s="378"/>
      <c r="Z1364" s="378"/>
      <c r="AA1364" s="378"/>
      <c r="AB1364" s="378"/>
      <c r="AC1364" s="378"/>
      <c r="AD1364" s="378"/>
      <c r="AE1364" s="378"/>
      <c r="AF1364" s="378"/>
      <c r="AG1364" s="378"/>
      <c r="AH1364" s="378"/>
      <c r="AI1364" s="378"/>
      <c r="AJ1364" s="378"/>
      <c r="AK1364" s="378"/>
      <c r="AL1364" s="378"/>
      <c r="AM1364" s="378"/>
      <c r="AN1364" s="378"/>
      <c r="AO1364" s="378"/>
      <c r="AP1364" s="378"/>
      <c r="AQ1364" s="378"/>
      <c r="AR1364" s="378"/>
      <c r="AS1364" s="378"/>
      <c r="AT1364" s="378"/>
      <c r="AU1364" s="378"/>
    </row>
    <row r="1365" spans="1:47" hidden="1" x14ac:dyDescent="0.25">
      <c r="A1365" s="378"/>
      <c r="B1365" s="378"/>
      <c r="C1365" s="378"/>
      <c r="D1365" s="378"/>
      <c r="E1365" s="378"/>
      <c r="F1365" s="378"/>
      <c r="G1365" s="378"/>
      <c r="H1365" s="378"/>
      <c r="I1365" s="378"/>
      <c r="J1365" s="378"/>
      <c r="K1365" s="378"/>
      <c r="L1365" s="378"/>
      <c r="M1365" s="378"/>
      <c r="N1365" s="378"/>
      <c r="O1365" s="378"/>
      <c r="P1365" s="378"/>
      <c r="Q1365" s="378"/>
      <c r="R1365" s="378"/>
      <c r="S1365" s="378"/>
      <c r="T1365" s="378"/>
      <c r="U1365" s="378"/>
      <c r="V1365" s="378"/>
      <c r="W1365" s="378"/>
      <c r="X1365" s="378"/>
      <c r="Y1365" s="378"/>
      <c r="Z1365" s="378"/>
      <c r="AA1365" s="378"/>
      <c r="AB1365" s="378"/>
      <c r="AC1365" s="378"/>
      <c r="AD1365" s="378"/>
      <c r="AE1365" s="378"/>
      <c r="AF1365" s="378"/>
      <c r="AG1365" s="378"/>
      <c r="AH1365" s="378"/>
      <c r="AI1365" s="378"/>
      <c r="AJ1365" s="378"/>
      <c r="AK1365" s="378"/>
      <c r="AL1365" s="378"/>
      <c r="AM1365" s="378"/>
      <c r="AN1365" s="378"/>
      <c r="AO1365" s="378"/>
      <c r="AP1365" s="378"/>
      <c r="AQ1365" s="378"/>
      <c r="AR1365" s="378"/>
      <c r="AS1365" s="378"/>
      <c r="AT1365" s="378"/>
      <c r="AU1365" s="378"/>
    </row>
    <row r="1366" spans="1:47" hidden="1" x14ac:dyDescent="0.25">
      <c r="A1366" s="378"/>
      <c r="B1366" s="378"/>
      <c r="C1366" s="378"/>
      <c r="D1366" s="378"/>
      <c r="E1366" s="378"/>
      <c r="F1366" s="378"/>
      <c r="G1366" s="378"/>
      <c r="H1366" s="378"/>
      <c r="I1366" s="378"/>
      <c r="J1366" s="378"/>
      <c r="K1366" s="378"/>
      <c r="L1366" s="378"/>
      <c r="M1366" s="378"/>
      <c r="N1366" s="378"/>
      <c r="O1366" s="378"/>
      <c r="P1366" s="378"/>
      <c r="Q1366" s="378"/>
      <c r="R1366" s="378"/>
      <c r="S1366" s="378"/>
      <c r="T1366" s="378"/>
      <c r="U1366" s="378"/>
      <c r="V1366" s="378"/>
      <c r="W1366" s="378"/>
      <c r="X1366" s="378"/>
      <c r="Y1366" s="378"/>
      <c r="Z1366" s="378"/>
      <c r="AA1366" s="378"/>
      <c r="AB1366" s="378"/>
      <c r="AC1366" s="378"/>
      <c r="AD1366" s="378"/>
      <c r="AE1366" s="378"/>
      <c r="AF1366" s="378"/>
      <c r="AG1366" s="378"/>
      <c r="AH1366" s="378"/>
      <c r="AI1366" s="378"/>
      <c r="AJ1366" s="378"/>
      <c r="AK1366" s="378"/>
      <c r="AL1366" s="378"/>
      <c r="AM1366" s="378"/>
      <c r="AN1366" s="378"/>
      <c r="AO1366" s="378"/>
      <c r="AP1366" s="378"/>
      <c r="AQ1366" s="378"/>
      <c r="AR1366" s="378"/>
      <c r="AS1366" s="378"/>
      <c r="AT1366" s="378"/>
      <c r="AU1366" s="378"/>
    </row>
    <row r="1367" spans="1:47" hidden="1" x14ac:dyDescent="0.25">
      <c r="A1367" s="378"/>
      <c r="B1367" s="378"/>
      <c r="C1367" s="378"/>
      <c r="D1367" s="378"/>
      <c r="E1367" s="378"/>
      <c r="F1367" s="378"/>
      <c r="G1367" s="378"/>
      <c r="H1367" s="378"/>
      <c r="I1367" s="378"/>
      <c r="J1367" s="378"/>
      <c r="K1367" s="378"/>
      <c r="L1367" s="378"/>
      <c r="M1367" s="378"/>
      <c r="N1367" s="378"/>
      <c r="O1367" s="378"/>
      <c r="P1367" s="378"/>
      <c r="Q1367" s="378"/>
      <c r="R1367" s="378"/>
      <c r="S1367" s="378"/>
      <c r="T1367" s="378"/>
      <c r="U1367" s="378"/>
      <c r="V1367" s="378"/>
      <c r="W1367" s="378"/>
      <c r="X1367" s="378"/>
      <c r="Y1367" s="378"/>
      <c r="Z1367" s="378"/>
      <c r="AA1367" s="378"/>
      <c r="AB1367" s="378"/>
      <c r="AC1367" s="378"/>
      <c r="AD1367" s="378"/>
      <c r="AE1367" s="378"/>
      <c r="AF1367" s="378"/>
      <c r="AG1367" s="378"/>
      <c r="AH1367" s="378"/>
      <c r="AI1367" s="378"/>
      <c r="AJ1367" s="378"/>
      <c r="AK1367" s="378"/>
      <c r="AL1367" s="378"/>
      <c r="AM1367" s="378"/>
      <c r="AN1367" s="378"/>
      <c r="AO1367" s="378"/>
      <c r="AP1367" s="378"/>
      <c r="AQ1367" s="378"/>
      <c r="AR1367" s="378"/>
      <c r="AS1367" s="378"/>
      <c r="AT1367" s="378"/>
      <c r="AU1367" s="378"/>
    </row>
    <row r="1368" spans="1:47" hidden="1" x14ac:dyDescent="0.25">
      <c r="A1368" s="378"/>
      <c r="B1368" s="378"/>
      <c r="C1368" s="378"/>
      <c r="D1368" s="378"/>
      <c r="E1368" s="378"/>
      <c r="F1368" s="378"/>
      <c r="G1368" s="378"/>
      <c r="H1368" s="378"/>
      <c r="I1368" s="378"/>
      <c r="J1368" s="378"/>
      <c r="K1368" s="378"/>
      <c r="L1368" s="378"/>
      <c r="M1368" s="378"/>
      <c r="N1368" s="378"/>
      <c r="O1368" s="378"/>
      <c r="P1368" s="378"/>
      <c r="Q1368" s="378"/>
      <c r="R1368" s="378"/>
      <c r="S1368" s="378"/>
      <c r="T1368" s="378"/>
      <c r="U1368" s="378"/>
      <c r="V1368" s="378"/>
      <c r="W1368" s="378"/>
      <c r="X1368" s="378"/>
      <c r="Y1368" s="378"/>
      <c r="Z1368" s="378"/>
      <c r="AA1368" s="378"/>
      <c r="AB1368" s="378"/>
      <c r="AC1368" s="378"/>
      <c r="AD1368" s="378"/>
      <c r="AE1368" s="378"/>
      <c r="AF1368" s="378"/>
      <c r="AG1368" s="378"/>
      <c r="AH1368" s="378"/>
      <c r="AI1368" s="378"/>
      <c r="AJ1368" s="378"/>
      <c r="AK1368" s="378"/>
      <c r="AL1368" s="378"/>
      <c r="AM1368" s="378"/>
      <c r="AN1368" s="378"/>
      <c r="AO1368" s="378"/>
      <c r="AP1368" s="378"/>
      <c r="AQ1368" s="378"/>
      <c r="AR1368" s="378"/>
      <c r="AS1368" s="378"/>
      <c r="AT1368" s="378"/>
      <c r="AU1368" s="378"/>
    </row>
    <row r="1369" spans="1:47" hidden="1" x14ac:dyDescent="0.25">
      <c r="A1369" s="378"/>
      <c r="B1369" s="378"/>
      <c r="C1369" s="378"/>
      <c r="D1369" s="378"/>
      <c r="E1369" s="378"/>
      <c r="F1369" s="378"/>
      <c r="G1369" s="378"/>
      <c r="H1369" s="378"/>
      <c r="I1369" s="378"/>
      <c r="J1369" s="378"/>
      <c r="K1369" s="378"/>
      <c r="L1369" s="378"/>
      <c r="M1369" s="378"/>
      <c r="N1369" s="378"/>
      <c r="O1369" s="378"/>
      <c r="P1369" s="378"/>
      <c r="Q1369" s="378"/>
      <c r="R1369" s="378"/>
      <c r="S1369" s="378"/>
      <c r="T1369" s="378"/>
      <c r="U1369" s="378"/>
      <c r="V1369" s="378"/>
      <c r="W1369" s="378"/>
      <c r="X1369" s="378"/>
      <c r="Y1369" s="378"/>
      <c r="Z1369" s="378"/>
      <c r="AA1369" s="378"/>
      <c r="AB1369" s="378"/>
      <c r="AC1369" s="378"/>
      <c r="AD1369" s="378"/>
      <c r="AE1369" s="378"/>
      <c r="AF1369" s="378"/>
      <c r="AG1369" s="378"/>
      <c r="AH1369" s="378"/>
      <c r="AI1369" s="378"/>
      <c r="AJ1369" s="378"/>
      <c r="AK1369" s="378"/>
      <c r="AL1369" s="378"/>
      <c r="AM1369" s="378"/>
      <c r="AN1369" s="378"/>
      <c r="AO1369" s="378"/>
      <c r="AP1369" s="378"/>
      <c r="AQ1369" s="378"/>
      <c r="AR1369" s="378"/>
      <c r="AS1369" s="378"/>
      <c r="AT1369" s="378"/>
      <c r="AU1369" s="378"/>
    </row>
    <row r="1370" spans="1:47" hidden="1" x14ac:dyDescent="0.25">
      <c r="A1370" s="532"/>
      <c r="B1370" s="532"/>
      <c r="C1370" s="532"/>
      <c r="D1370" s="532"/>
      <c r="E1370" s="532"/>
      <c r="F1370" s="532"/>
      <c r="G1370" s="532"/>
      <c r="H1370" s="532"/>
      <c r="I1370" s="532"/>
      <c r="J1370" s="532"/>
      <c r="K1370" s="532"/>
      <c r="L1370" s="532"/>
      <c r="M1370" s="532"/>
      <c r="N1370" s="532"/>
      <c r="O1370" s="532"/>
      <c r="P1370" s="532"/>
      <c r="Q1370" s="532"/>
      <c r="R1370" s="532"/>
      <c r="S1370" s="532"/>
      <c r="T1370" s="532"/>
      <c r="U1370" s="532"/>
      <c r="V1370" s="532"/>
      <c r="W1370" s="532"/>
      <c r="X1370" s="532"/>
      <c r="Y1370" s="532"/>
      <c r="Z1370" s="532"/>
      <c r="AA1370" s="532"/>
      <c r="AB1370" s="532"/>
      <c r="AC1370" s="532"/>
      <c r="AD1370" s="532"/>
      <c r="AE1370" s="532"/>
      <c r="AF1370" s="532"/>
      <c r="AG1370" s="532"/>
      <c r="AH1370" s="532"/>
      <c r="AI1370" s="532"/>
      <c r="AJ1370" s="532"/>
      <c r="AK1370" s="532"/>
      <c r="AL1370" s="532"/>
      <c r="AM1370" s="532"/>
      <c r="AN1370" s="532"/>
      <c r="AO1370" s="532"/>
      <c r="AP1370" s="532"/>
      <c r="AQ1370" s="532"/>
      <c r="AR1370" s="532"/>
      <c r="AS1370" s="532"/>
      <c r="AT1370" s="532"/>
      <c r="AU1370" s="532"/>
    </row>
    <row r="1371" spans="1:47" hidden="1" x14ac:dyDescent="0.25">
      <c r="A1371" s="532"/>
      <c r="B1371" s="532"/>
      <c r="C1371" s="532"/>
      <c r="D1371" s="532"/>
      <c r="E1371" s="532"/>
      <c r="F1371" s="532"/>
      <c r="G1371" s="532"/>
      <c r="H1371" s="532"/>
      <c r="I1371" s="532"/>
      <c r="J1371" s="532"/>
      <c r="K1371" s="532"/>
      <c r="L1371" s="532"/>
      <c r="M1371" s="532"/>
      <c r="N1371" s="532"/>
      <c r="O1371" s="532"/>
      <c r="P1371" s="532"/>
      <c r="Q1371" s="532"/>
      <c r="R1371" s="532"/>
      <c r="S1371" s="532"/>
      <c r="T1371" s="532"/>
      <c r="U1371" s="532"/>
      <c r="V1371" s="532"/>
      <c r="W1371" s="532"/>
      <c r="X1371" s="532"/>
      <c r="Y1371" s="532"/>
      <c r="Z1371" s="532"/>
      <c r="AA1371" s="532"/>
      <c r="AB1371" s="532"/>
      <c r="AC1371" s="532"/>
      <c r="AD1371" s="532"/>
      <c r="AE1371" s="532"/>
      <c r="AF1371" s="532"/>
      <c r="AG1371" s="532"/>
      <c r="AH1371" s="532"/>
      <c r="AI1371" s="532"/>
      <c r="AJ1371" s="532"/>
      <c r="AK1371" s="532"/>
      <c r="AL1371" s="532"/>
      <c r="AM1371" s="532"/>
      <c r="AN1371" s="532"/>
      <c r="AO1371" s="532"/>
      <c r="AP1371" s="532"/>
      <c r="AQ1371" s="532"/>
      <c r="AR1371" s="532"/>
      <c r="AS1371" s="532"/>
      <c r="AT1371" s="532"/>
      <c r="AU1371" s="532"/>
    </row>
    <row r="1372" spans="1:47" hidden="1" x14ac:dyDescent="0.25">
      <c r="A1372" s="532"/>
      <c r="B1372" s="532"/>
      <c r="C1372" s="532"/>
      <c r="D1372" s="532"/>
      <c r="E1372" s="532"/>
      <c r="F1372" s="532"/>
      <c r="G1372" s="532"/>
      <c r="H1372" s="532"/>
      <c r="I1372" s="532"/>
      <c r="J1372" s="532"/>
      <c r="K1372" s="532"/>
      <c r="L1372" s="532"/>
      <c r="M1372" s="532"/>
      <c r="N1372" s="532"/>
      <c r="O1372" s="532"/>
      <c r="P1372" s="532"/>
      <c r="Q1372" s="532"/>
      <c r="R1372" s="532"/>
      <c r="S1372" s="532"/>
      <c r="T1372" s="532"/>
      <c r="U1372" s="532"/>
      <c r="V1372" s="532"/>
      <c r="W1372" s="532"/>
      <c r="X1372" s="532"/>
      <c r="Y1372" s="532"/>
      <c r="Z1372" s="532"/>
      <c r="AA1372" s="532"/>
      <c r="AB1372" s="532"/>
      <c r="AC1372" s="532"/>
      <c r="AD1372" s="532"/>
      <c r="AE1372" s="532"/>
      <c r="AF1372" s="532"/>
      <c r="AG1372" s="532"/>
      <c r="AH1372" s="532"/>
      <c r="AI1372" s="532"/>
      <c r="AJ1372" s="532"/>
      <c r="AK1372" s="532"/>
      <c r="AL1372" s="532"/>
      <c r="AM1372" s="532"/>
      <c r="AN1372" s="532"/>
      <c r="AO1372" s="532"/>
      <c r="AP1372" s="532"/>
      <c r="AQ1372" s="532"/>
      <c r="AR1372" s="532"/>
      <c r="AS1372" s="532"/>
      <c r="AT1372" s="532"/>
      <c r="AU1372" s="532"/>
    </row>
    <row r="1373" spans="1:47" hidden="1" x14ac:dyDescent="0.25">
      <c r="A1373" s="532"/>
      <c r="B1373" s="532"/>
      <c r="C1373" s="532"/>
      <c r="D1373" s="532"/>
      <c r="E1373" s="532"/>
      <c r="F1373" s="532"/>
      <c r="G1373" s="532"/>
      <c r="H1373" s="532"/>
      <c r="I1373" s="532"/>
      <c r="J1373" s="532"/>
      <c r="K1373" s="532"/>
      <c r="L1373" s="532"/>
      <c r="M1373" s="532"/>
      <c r="N1373" s="532"/>
      <c r="O1373" s="532"/>
      <c r="P1373" s="532"/>
      <c r="Q1373" s="532"/>
      <c r="R1373" s="532"/>
      <c r="S1373" s="532"/>
      <c r="T1373" s="532"/>
      <c r="U1373" s="532"/>
      <c r="V1373" s="532"/>
      <c r="W1373" s="532"/>
      <c r="X1373" s="532"/>
      <c r="Y1373" s="532"/>
      <c r="Z1373" s="532"/>
      <c r="AA1373" s="532"/>
      <c r="AB1373" s="532"/>
      <c r="AC1373" s="532"/>
      <c r="AD1373" s="532"/>
      <c r="AE1373" s="532"/>
      <c r="AF1373" s="532"/>
      <c r="AG1373" s="532"/>
      <c r="AH1373" s="532"/>
      <c r="AI1373" s="532"/>
      <c r="AJ1373" s="532"/>
      <c r="AK1373" s="532"/>
      <c r="AL1373" s="532"/>
      <c r="AM1373" s="532"/>
      <c r="AN1373" s="532"/>
      <c r="AO1373" s="532"/>
      <c r="AP1373" s="532"/>
      <c r="AQ1373" s="532"/>
      <c r="AR1373" s="532"/>
      <c r="AS1373" s="532"/>
      <c r="AT1373" s="532"/>
      <c r="AU1373" s="532"/>
    </row>
    <row r="1374" spans="1:47" hidden="1" x14ac:dyDescent="0.25">
      <c r="A1374" s="532"/>
      <c r="B1374" s="532"/>
      <c r="C1374" s="532"/>
      <c r="D1374" s="532"/>
      <c r="E1374" s="532"/>
      <c r="F1374" s="532"/>
      <c r="G1374" s="532"/>
      <c r="H1374" s="532"/>
      <c r="I1374" s="532"/>
      <c r="J1374" s="532"/>
      <c r="K1374" s="532"/>
      <c r="L1374" s="532"/>
      <c r="M1374" s="532"/>
      <c r="N1374" s="532"/>
      <c r="O1374" s="532"/>
      <c r="P1374" s="532"/>
      <c r="Q1374" s="532"/>
      <c r="R1374" s="532"/>
      <c r="S1374" s="532"/>
      <c r="T1374" s="532"/>
      <c r="U1374" s="532"/>
      <c r="V1374" s="532"/>
      <c r="W1374" s="532"/>
      <c r="X1374" s="532"/>
      <c r="Y1374" s="532"/>
      <c r="Z1374" s="532"/>
      <c r="AA1374" s="532"/>
      <c r="AB1374" s="532"/>
      <c r="AC1374" s="532"/>
      <c r="AD1374" s="532"/>
      <c r="AE1374" s="532"/>
      <c r="AF1374" s="532"/>
      <c r="AG1374" s="532"/>
      <c r="AH1374" s="532"/>
      <c r="AI1374" s="532"/>
      <c r="AJ1374" s="532"/>
      <c r="AK1374" s="532"/>
      <c r="AL1374" s="532"/>
      <c r="AM1374" s="532"/>
      <c r="AN1374" s="532"/>
      <c r="AO1374" s="532"/>
      <c r="AP1374" s="532"/>
      <c r="AQ1374" s="532"/>
      <c r="AR1374" s="532"/>
      <c r="AS1374" s="532"/>
      <c r="AT1374" s="532"/>
      <c r="AU1374" s="532"/>
    </row>
    <row r="1375" spans="1:47" hidden="1" x14ac:dyDescent="0.25">
      <c r="A1375" s="532"/>
      <c r="B1375" s="532"/>
      <c r="C1375" s="532"/>
      <c r="D1375" s="532"/>
      <c r="E1375" s="532"/>
      <c r="F1375" s="532"/>
      <c r="G1375" s="532"/>
      <c r="H1375" s="532"/>
      <c r="I1375" s="532"/>
      <c r="J1375" s="532"/>
      <c r="K1375" s="532"/>
      <c r="L1375" s="532"/>
      <c r="M1375" s="532"/>
      <c r="N1375" s="532"/>
      <c r="O1375" s="532"/>
      <c r="P1375" s="532"/>
      <c r="Q1375" s="532"/>
      <c r="R1375" s="532"/>
      <c r="S1375" s="532"/>
      <c r="T1375" s="532"/>
      <c r="U1375" s="532"/>
      <c r="V1375" s="532"/>
      <c r="W1375" s="532"/>
      <c r="X1375" s="532"/>
      <c r="Y1375" s="532"/>
      <c r="Z1375" s="532"/>
      <c r="AA1375" s="532"/>
      <c r="AB1375" s="532"/>
      <c r="AC1375" s="532"/>
      <c r="AD1375" s="532"/>
      <c r="AE1375" s="532"/>
      <c r="AF1375" s="532"/>
      <c r="AG1375" s="532"/>
      <c r="AH1375" s="532"/>
      <c r="AI1375" s="532"/>
      <c r="AJ1375" s="532"/>
      <c r="AK1375" s="532"/>
      <c r="AL1375" s="532"/>
      <c r="AM1375" s="532"/>
      <c r="AN1375" s="532"/>
      <c r="AO1375" s="532"/>
      <c r="AP1375" s="532"/>
      <c r="AQ1375" s="532"/>
      <c r="AR1375" s="532"/>
      <c r="AS1375" s="532"/>
      <c r="AT1375" s="532"/>
      <c r="AU1375" s="532"/>
    </row>
    <row r="1376" spans="1:47" hidden="1" x14ac:dyDescent="0.25">
      <c r="A1376" s="532"/>
      <c r="B1376" s="532"/>
      <c r="C1376" s="532"/>
      <c r="D1376" s="532"/>
      <c r="E1376" s="532"/>
      <c r="F1376" s="532"/>
      <c r="G1376" s="532"/>
      <c r="H1376" s="532"/>
      <c r="I1376" s="532"/>
      <c r="J1376" s="532"/>
      <c r="K1376" s="532"/>
      <c r="L1376" s="532"/>
      <c r="M1376" s="532"/>
      <c r="N1376" s="532"/>
      <c r="O1376" s="532"/>
      <c r="P1376" s="532"/>
      <c r="Q1376" s="532"/>
      <c r="R1376" s="532"/>
      <c r="S1376" s="532"/>
      <c r="T1376" s="532"/>
      <c r="U1376" s="532"/>
      <c r="V1376" s="532"/>
      <c r="W1376" s="532"/>
      <c r="X1376" s="532"/>
      <c r="Y1376" s="532"/>
      <c r="Z1376" s="532"/>
      <c r="AA1376" s="532"/>
      <c r="AB1376" s="532"/>
      <c r="AC1376" s="532"/>
      <c r="AD1376" s="532"/>
      <c r="AE1376" s="532"/>
      <c r="AF1376" s="532"/>
      <c r="AG1376" s="532"/>
      <c r="AH1376" s="532"/>
      <c r="AI1376" s="532"/>
      <c r="AJ1376" s="532"/>
      <c r="AK1376" s="532"/>
      <c r="AL1376" s="532"/>
      <c r="AM1376" s="532"/>
      <c r="AN1376" s="532"/>
      <c r="AO1376" s="532"/>
      <c r="AP1376" s="532"/>
      <c r="AQ1376" s="532"/>
      <c r="AR1376" s="532"/>
      <c r="AS1376" s="532"/>
      <c r="AT1376" s="532"/>
      <c r="AU1376" s="532"/>
    </row>
  </sheetData>
  <mergeCells count="445">
    <mergeCell ref="B459:M465"/>
    <mergeCell ref="B467:M472"/>
    <mergeCell ref="B474:M480"/>
    <mergeCell ref="B517:M528"/>
    <mergeCell ref="B375:M380"/>
    <mergeCell ref="B382:M387"/>
    <mergeCell ref="A32:A41"/>
    <mergeCell ref="B32:M41"/>
    <mergeCell ref="A48:A55"/>
    <mergeCell ref="B48:M55"/>
    <mergeCell ref="A76:A80"/>
    <mergeCell ref="B76:M80"/>
    <mergeCell ref="B390:M413"/>
    <mergeCell ref="B340:M351"/>
    <mergeCell ref="B353:G353"/>
    <mergeCell ref="F354:G354"/>
    <mergeCell ref="F355:G355"/>
    <mergeCell ref="F356:G356"/>
    <mergeCell ref="F357:G357"/>
    <mergeCell ref="D354:E354"/>
    <mergeCell ref="D355:E355"/>
    <mergeCell ref="D356:E356"/>
    <mergeCell ref="D357:E357"/>
    <mergeCell ref="B223:M223"/>
    <mergeCell ref="B549:C549"/>
    <mergeCell ref="B546:C546"/>
    <mergeCell ref="B586:C586"/>
    <mergeCell ref="D583:D584"/>
    <mergeCell ref="B1104:C1104"/>
    <mergeCell ref="G909:H909"/>
    <mergeCell ref="B582:C582"/>
    <mergeCell ref="B585:C585"/>
    <mergeCell ref="I909:J909"/>
    <mergeCell ref="G886:I886"/>
    <mergeCell ref="B598:C598"/>
    <mergeCell ref="F711:H711"/>
    <mergeCell ref="B725:K725"/>
    <mergeCell ref="B595:B596"/>
    <mergeCell ref="H594:I594"/>
    <mergeCell ref="C595:D595"/>
    <mergeCell ref="C596:D596"/>
    <mergeCell ref="F588:H590"/>
    <mergeCell ref="B936:C936"/>
    <mergeCell ref="D936:E936"/>
    <mergeCell ref="B818:C818"/>
    <mergeCell ref="E818:K818"/>
    <mergeCell ref="J819:K819"/>
    <mergeCell ref="H819:I819"/>
    <mergeCell ref="B415:M415"/>
    <mergeCell ref="B444:M444"/>
    <mergeCell ref="B431:M439"/>
    <mergeCell ref="B361:M373"/>
    <mergeCell ref="B417:M429"/>
    <mergeCell ref="B537:G537"/>
    <mergeCell ref="B543:G543"/>
    <mergeCell ref="J555:K555"/>
    <mergeCell ref="J557:K557"/>
    <mergeCell ref="J556:K556"/>
    <mergeCell ref="B533:M533"/>
    <mergeCell ref="B484:M491"/>
    <mergeCell ref="B495:M502"/>
    <mergeCell ref="B506:M515"/>
    <mergeCell ref="E551:F551"/>
    <mergeCell ref="E550:F550"/>
    <mergeCell ref="J552:K552"/>
    <mergeCell ref="E546:F546"/>
    <mergeCell ref="E545:F545"/>
    <mergeCell ref="B545:C545"/>
    <mergeCell ref="E547:F547"/>
    <mergeCell ref="B547:C547"/>
    <mergeCell ref="B548:C548"/>
    <mergeCell ref="I549:J549"/>
    <mergeCell ref="B13:M14"/>
    <mergeCell ref="B29:M30"/>
    <mergeCell ref="B43:M45"/>
    <mergeCell ref="B16:M16"/>
    <mergeCell ref="B18:M18"/>
    <mergeCell ref="B22:M23"/>
    <mergeCell ref="B20:M20"/>
    <mergeCell ref="B57:M65"/>
    <mergeCell ref="B25:M25"/>
    <mergeCell ref="I545:J545"/>
    <mergeCell ref="I546:J546"/>
    <mergeCell ref="B133:M138"/>
    <mergeCell ref="B140:M140"/>
    <mergeCell ref="B142:M158"/>
    <mergeCell ref="B82:M85"/>
    <mergeCell ref="B99:M99"/>
    <mergeCell ref="B100:M109"/>
    <mergeCell ref="B111:M111"/>
    <mergeCell ref="B199:M199"/>
    <mergeCell ref="B201:M212"/>
    <mergeCell ref="B121:M121"/>
    <mergeCell ref="B123:M129"/>
    <mergeCell ref="B131:M131"/>
    <mergeCell ref="B171:M171"/>
    <mergeCell ref="B173:M179"/>
    <mergeCell ref="B181:M181"/>
    <mergeCell ref="B183:M197"/>
    <mergeCell ref="B282:M303"/>
    <mergeCell ref="B309:M309"/>
    <mergeCell ref="B311:M332"/>
    <mergeCell ref="B242:M250"/>
    <mergeCell ref="B252:M252"/>
    <mergeCell ref="B254:M268"/>
    <mergeCell ref="L559:M559"/>
    <mergeCell ref="L560:M560"/>
    <mergeCell ref="B1103:C1103"/>
    <mergeCell ref="B1097:C1097"/>
    <mergeCell ref="B1098:C1098"/>
    <mergeCell ref="B1099:C1099"/>
    <mergeCell ref="B903:D905"/>
    <mergeCell ref="E886:F886"/>
    <mergeCell ref="E885:I885"/>
    <mergeCell ref="B826:G826"/>
    <mergeCell ref="B835:C835"/>
    <mergeCell ref="E835:I835"/>
    <mergeCell ref="B842:G842"/>
    <mergeCell ref="I918:J918"/>
    <mergeCell ref="D919:F919"/>
    <mergeCell ref="G919:H923"/>
    <mergeCell ref="I919:J923"/>
    <mergeCell ref="G908:J908"/>
    <mergeCell ref="B794:G794"/>
    <mergeCell ref="B802:C802"/>
    <mergeCell ref="E802:K802"/>
    <mergeCell ref="H803:I803"/>
    <mergeCell ref="J803:K803"/>
    <mergeCell ref="B629:C629"/>
    <mergeCell ref="I547:J547"/>
    <mergeCell ref="I548:J548"/>
    <mergeCell ref="E548:F548"/>
    <mergeCell ref="B552:C552"/>
    <mergeCell ref="E552:F552"/>
    <mergeCell ref="B583:C584"/>
    <mergeCell ref="F581:H581"/>
    <mergeCell ref="B581:D581"/>
    <mergeCell ref="J554:K554"/>
    <mergeCell ref="J558:K558"/>
    <mergeCell ref="J560:K560"/>
    <mergeCell ref="B577:E577"/>
    <mergeCell ref="B573:E573"/>
    <mergeCell ref="B574:E574"/>
    <mergeCell ref="B575:E575"/>
    <mergeCell ref="B576:E576"/>
    <mergeCell ref="B572:E572"/>
    <mergeCell ref="B567:F567"/>
    <mergeCell ref="B569:J569"/>
    <mergeCell ref="J559:K559"/>
    <mergeCell ref="F582:H583"/>
    <mergeCell ref="I550:J550"/>
    <mergeCell ref="B550:C550"/>
    <mergeCell ref="E549:F549"/>
    <mergeCell ref="F630:I631"/>
    <mergeCell ref="E726:F726"/>
    <mergeCell ref="F718:F719"/>
    <mergeCell ref="B717:F717"/>
    <mergeCell ref="B718:E718"/>
    <mergeCell ref="F643:I644"/>
    <mergeCell ref="F712:H713"/>
    <mergeCell ref="H726:I726"/>
    <mergeCell ref="J726:K726"/>
    <mergeCell ref="E731:F731"/>
    <mergeCell ref="B726:B730"/>
    <mergeCell ref="G726:G730"/>
    <mergeCell ref="B731:B735"/>
    <mergeCell ref="G731:G735"/>
    <mergeCell ref="C726:D726"/>
    <mergeCell ref="H787:I787"/>
    <mergeCell ref="B749:F749"/>
    <mergeCell ref="J787:K787"/>
    <mergeCell ref="H731:I731"/>
    <mergeCell ref="A758:N758"/>
    <mergeCell ref="A759:A762"/>
    <mergeCell ref="K763:L763"/>
    <mergeCell ref="F763:G763"/>
    <mergeCell ref="K759:L759"/>
    <mergeCell ref="F759:G759"/>
    <mergeCell ref="I763:J763"/>
    <mergeCell ref="M759:N759"/>
    <mergeCell ref="B763:C763"/>
    <mergeCell ref="E786:K786"/>
    <mergeCell ref="A763:A766"/>
    <mergeCell ref="M763:N763"/>
    <mergeCell ref="H759:H762"/>
    <mergeCell ref="B759:C759"/>
    <mergeCell ref="B942:F945"/>
    <mergeCell ref="G926:J926"/>
    <mergeCell ref="G917:J917"/>
    <mergeCell ref="G918:H918"/>
    <mergeCell ref="B810:G810"/>
    <mergeCell ref="B620:C620"/>
    <mergeCell ref="F621:I622"/>
    <mergeCell ref="B652:C652"/>
    <mergeCell ref="B663:C663"/>
    <mergeCell ref="B642:C642"/>
    <mergeCell ref="B711:C711"/>
    <mergeCell ref="B681:C681"/>
    <mergeCell ref="B696:C696"/>
    <mergeCell ref="B704:C704"/>
    <mergeCell ref="F663:H663"/>
    <mergeCell ref="F664:H665"/>
    <mergeCell ref="F682:H682"/>
    <mergeCell ref="F696:H696"/>
    <mergeCell ref="F697:H697"/>
    <mergeCell ref="F705:I705"/>
    <mergeCell ref="F704:I704"/>
    <mergeCell ref="I928:J931"/>
    <mergeCell ref="G928:H931"/>
    <mergeCell ref="D935:E935"/>
    <mergeCell ref="I759:J759"/>
    <mergeCell ref="H763:H766"/>
    <mergeCell ref="D763:E763"/>
    <mergeCell ref="D759:E759"/>
    <mergeCell ref="B1032:C1032"/>
    <mergeCell ref="E968:F972"/>
    <mergeCell ref="B974:D974"/>
    <mergeCell ref="F975:L976"/>
    <mergeCell ref="F974:L974"/>
    <mergeCell ref="B985:N985"/>
    <mergeCell ref="B1030:C1030"/>
    <mergeCell ref="E952:H952"/>
    <mergeCell ref="B958:C958"/>
    <mergeCell ref="E960:F964"/>
    <mergeCell ref="E958:H958"/>
    <mergeCell ref="E959:F959"/>
    <mergeCell ref="G959:H959"/>
    <mergeCell ref="G960:H964"/>
    <mergeCell ref="E966:H966"/>
    <mergeCell ref="G967:H967"/>
    <mergeCell ref="G968:H972"/>
    <mergeCell ref="E967:F967"/>
    <mergeCell ref="E953:H953"/>
    <mergeCell ref="E980:M980"/>
    <mergeCell ref="B1088:C1088"/>
    <mergeCell ref="B1095:C1095"/>
    <mergeCell ref="B1090:C1090"/>
    <mergeCell ref="B1091:C1091"/>
    <mergeCell ref="B1092:C1092"/>
    <mergeCell ref="B1076:C1076"/>
    <mergeCell ref="B1077:C1077"/>
    <mergeCell ref="B1078:C1078"/>
    <mergeCell ref="B1036:C1036"/>
    <mergeCell ref="B1040:C1040"/>
    <mergeCell ref="B1042:C1042"/>
    <mergeCell ref="B1046:C1046"/>
    <mergeCell ref="B1068:C1068"/>
    <mergeCell ref="B1069:C1069"/>
    <mergeCell ref="B1070:C1070"/>
    <mergeCell ref="B1071:C1071"/>
    <mergeCell ref="B1059:C1059"/>
    <mergeCell ref="B1061:C1061"/>
    <mergeCell ref="B1062:C1062"/>
    <mergeCell ref="B1063:C1063"/>
    <mergeCell ref="B1064:C1064"/>
    <mergeCell ref="B1065:C1065"/>
    <mergeCell ref="B1037:C1037"/>
    <mergeCell ref="B1056:C1056"/>
    <mergeCell ref="B947:D947"/>
    <mergeCell ref="B1082:C1082"/>
    <mergeCell ref="B1084:C1084"/>
    <mergeCell ref="B1085:C1085"/>
    <mergeCell ref="B1086:C1086"/>
    <mergeCell ref="B1073:C1073"/>
    <mergeCell ref="B1075:C1075"/>
    <mergeCell ref="B1060:C1060"/>
    <mergeCell ref="B1039:C1039"/>
    <mergeCell ref="B1045:C1045"/>
    <mergeCell ref="B1047:C1047"/>
    <mergeCell ref="B1048:C1048"/>
    <mergeCell ref="B1033:C1033"/>
    <mergeCell ref="B951:C951"/>
    <mergeCell ref="B975:D976"/>
    <mergeCell ref="B978:C978"/>
    <mergeCell ref="B966:C966"/>
    <mergeCell ref="B1031:C1031"/>
    <mergeCell ref="B1034:C1034"/>
    <mergeCell ref="B1079:C1079"/>
    <mergeCell ref="B1041:C1041"/>
    <mergeCell ref="B1038:C1038"/>
    <mergeCell ref="B1053:C1053"/>
    <mergeCell ref="B1054:C1054"/>
    <mergeCell ref="G936:H938"/>
    <mergeCell ref="E868:I868"/>
    <mergeCell ref="B876:G876"/>
    <mergeCell ref="B885:C885"/>
    <mergeCell ref="I927:J927"/>
    <mergeCell ref="B928:C928"/>
    <mergeCell ref="B929:C929"/>
    <mergeCell ref="B927:C927"/>
    <mergeCell ref="D927:E927"/>
    <mergeCell ref="D928:E928"/>
    <mergeCell ref="D929:E929"/>
    <mergeCell ref="G927:H927"/>
    <mergeCell ref="G910:H912"/>
    <mergeCell ref="B917:F917"/>
    <mergeCell ref="B926:F926"/>
    <mergeCell ref="B902:D902"/>
    <mergeCell ref="B908:F908"/>
    <mergeCell ref="B868:C868"/>
    <mergeCell ref="B893:G893"/>
    <mergeCell ref="B948:D949"/>
    <mergeCell ref="E951:H951"/>
    <mergeCell ref="I910:J912"/>
    <mergeCell ref="G934:J934"/>
    <mergeCell ref="B935:C935"/>
    <mergeCell ref="B1102:C1102"/>
    <mergeCell ref="B1182:D1182"/>
    <mergeCell ref="B1043:C1043"/>
    <mergeCell ref="B1087:C1087"/>
    <mergeCell ref="B1083:C1083"/>
    <mergeCell ref="B1057:C1057"/>
    <mergeCell ref="B1050:C1050"/>
    <mergeCell ref="B1055:C1055"/>
    <mergeCell ref="B1066:C1066"/>
    <mergeCell ref="B1081:C1081"/>
    <mergeCell ref="G935:H935"/>
    <mergeCell ref="I935:J935"/>
    <mergeCell ref="B937:C937"/>
    <mergeCell ref="D937:E937"/>
    <mergeCell ref="B934:F934"/>
    <mergeCell ref="B941:F941"/>
    <mergeCell ref="I936:J938"/>
    <mergeCell ref="B1093:C1093"/>
    <mergeCell ref="B1101:C1101"/>
    <mergeCell ref="B1100:C1100"/>
    <mergeCell ref="E1128:L1130"/>
    <mergeCell ref="K1163:M1163"/>
    <mergeCell ref="C1166:C1168"/>
    <mergeCell ref="B1174:L1176"/>
    <mergeCell ref="K1164:M1164"/>
    <mergeCell ref="K1165:M1165"/>
    <mergeCell ref="K1166:M1166"/>
    <mergeCell ref="K1167:M1167"/>
    <mergeCell ref="K1168:M1168"/>
    <mergeCell ref="K1156:M1156"/>
    <mergeCell ref="K1157:M1157"/>
    <mergeCell ref="K1158:M1158"/>
    <mergeCell ref="K1161:N1161"/>
    <mergeCell ref="K1162:M1162"/>
    <mergeCell ref="K1155:N1155"/>
    <mergeCell ref="B1115:C1115"/>
    <mergeCell ref="E1115:F1115"/>
    <mergeCell ref="E1133:I1133"/>
    <mergeCell ref="B1133:C1133"/>
    <mergeCell ref="F1186:I1186"/>
    <mergeCell ref="B1136:B1137"/>
    <mergeCell ref="C1136:C1137"/>
    <mergeCell ref="B1183:D1183"/>
    <mergeCell ref="E1182:F1182"/>
    <mergeCell ref="E1183:F1183"/>
    <mergeCell ref="B1172:L1173"/>
    <mergeCell ref="B1177:L1180"/>
    <mergeCell ref="B1189:C1189"/>
    <mergeCell ref="B1186:D1186"/>
    <mergeCell ref="B1187:C1187"/>
    <mergeCell ref="B1188:C1188"/>
    <mergeCell ref="B1147:C1147"/>
    <mergeCell ref="B1156:G1157"/>
    <mergeCell ref="B1166:B1168"/>
    <mergeCell ref="D1166:F1168"/>
    <mergeCell ref="B1170:C1170"/>
    <mergeCell ref="E1137:H1137"/>
    <mergeCell ref="E1147:J1147"/>
    <mergeCell ref="B1155:G1155"/>
    <mergeCell ref="H1229:I1229"/>
    <mergeCell ref="H1226:I1226"/>
    <mergeCell ref="H1220:I1220"/>
    <mergeCell ref="H1222:I1222"/>
    <mergeCell ref="H1225:I1225"/>
    <mergeCell ref="H1218:I1218"/>
    <mergeCell ref="H1219:L1219"/>
    <mergeCell ref="B1209:C1209"/>
    <mergeCell ref="B1214:C1214"/>
    <mergeCell ref="H1227:I1227"/>
    <mergeCell ref="H1224:I1224"/>
    <mergeCell ref="H1223:I1223"/>
    <mergeCell ref="H1221:I1221"/>
    <mergeCell ref="H1228:I1228"/>
    <mergeCell ref="E1222:G1222"/>
    <mergeCell ref="F1226:G1226"/>
    <mergeCell ref="F1221:G1221"/>
    <mergeCell ref="F1191:I1192"/>
    <mergeCell ref="B1202:D1202"/>
    <mergeCell ref="B1204:E1204"/>
    <mergeCell ref="B1205:E1205"/>
    <mergeCell ref="B1206:E1206"/>
    <mergeCell ref="B1207:E1207"/>
    <mergeCell ref="B1201:C1201"/>
    <mergeCell ref="B1198:C1198"/>
    <mergeCell ref="B1197:D1197"/>
    <mergeCell ref="B1199:C1199"/>
    <mergeCell ref="B1200:C1200"/>
    <mergeCell ref="B1203:E1203"/>
    <mergeCell ref="B1194:F1194"/>
    <mergeCell ref="B1191:D1192"/>
    <mergeCell ref="F1197:I1197"/>
    <mergeCell ref="B482:M482"/>
    <mergeCell ref="B493:M493"/>
    <mergeCell ref="B504:M504"/>
    <mergeCell ref="A93:A95"/>
    <mergeCell ref="B93:M95"/>
    <mergeCell ref="A29:A30"/>
    <mergeCell ref="A43:A45"/>
    <mergeCell ref="A57:A65"/>
    <mergeCell ref="A67:A69"/>
    <mergeCell ref="B72:M74"/>
    <mergeCell ref="A72:A74"/>
    <mergeCell ref="A82:A85"/>
    <mergeCell ref="A89:A91"/>
    <mergeCell ref="B89:M91"/>
    <mergeCell ref="B67:M69"/>
    <mergeCell ref="B225:M238"/>
    <mergeCell ref="B240:M240"/>
    <mergeCell ref="B338:M338"/>
    <mergeCell ref="B160:M160"/>
    <mergeCell ref="B162:M169"/>
    <mergeCell ref="B112:M119"/>
    <mergeCell ref="B446:M457"/>
    <mergeCell ref="B359:M359"/>
    <mergeCell ref="B280:M280"/>
    <mergeCell ref="I573:K573"/>
    <mergeCell ref="J572:K572"/>
    <mergeCell ref="B851:C851"/>
    <mergeCell ref="E851:I851"/>
    <mergeCell ref="B859:G859"/>
    <mergeCell ref="J731:K731"/>
    <mergeCell ref="F598:H598"/>
    <mergeCell ref="F607:I607"/>
    <mergeCell ref="F620:I620"/>
    <mergeCell ref="F629:I629"/>
    <mergeCell ref="F642:I642"/>
    <mergeCell ref="F652:K652"/>
    <mergeCell ref="F681:H681"/>
    <mergeCell ref="K642:M649"/>
    <mergeCell ref="F653:K656"/>
    <mergeCell ref="F608:I611"/>
    <mergeCell ref="F657:K658"/>
    <mergeCell ref="F599:H602"/>
    <mergeCell ref="B607:C607"/>
    <mergeCell ref="B770:M770"/>
    <mergeCell ref="B786:C786"/>
    <mergeCell ref="B736:M736"/>
    <mergeCell ref="B750:E750"/>
    <mergeCell ref="F750:F751"/>
  </mergeCells>
  <conditionalFormatting sqref="D1095:I1095 D1073:L1073 D1050:L1050">
    <cfRule type="cellIs" dxfId="1" priority="34" operator="greaterThan">
      <formula>2</formula>
    </cfRule>
  </conditionalFormatting>
  <conditionalFormatting sqref="K613">
    <cfRule type="cellIs" dxfId="0" priority="21" operator="notEqual">
      <formula>1</formula>
    </cfRule>
  </conditionalFormatting>
  <hyperlinks>
    <hyperlink ref="C1056:D1056" location="INDICADORES!A47" display="Fator de Ponderação" xr:uid="{00000000-0004-0000-0B00-000000000000}"/>
  </hyperlinks>
  <pageMargins left="0.70866141732283472" right="0.70866141732283472" top="0.74803149606299213" bottom="0.74803149606299213" header="0.31496062992125984" footer="0.31496062992125984"/>
  <pageSetup paperSize="9" orientation="landscape" verticalDpi="300"/>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CFF66"/>
  </sheetPr>
  <dimension ref="A1:CT208"/>
  <sheetViews>
    <sheetView workbookViewId="0">
      <pane xSplit="1" topLeftCell="B1" activePane="topRight" state="frozen"/>
      <selection pane="topRight" activeCell="A7" sqref="A7"/>
    </sheetView>
  </sheetViews>
  <sheetFormatPr defaultColWidth="8.85546875" defaultRowHeight="15" x14ac:dyDescent="0.25"/>
  <cols>
    <col min="1" max="1" width="43.85546875" style="532" customWidth="1"/>
    <col min="2" max="59" width="8.85546875" style="532"/>
    <col min="60" max="61" width="14.42578125" style="532" customWidth="1"/>
    <col min="62" max="16384" width="8.85546875" style="532"/>
  </cols>
  <sheetData>
    <row r="1" spans="1:97" x14ac:dyDescent="0.25">
      <c r="A1" s="378"/>
      <c r="B1" s="378"/>
      <c r="C1" s="378"/>
      <c r="D1" s="378"/>
      <c r="E1" s="378"/>
      <c r="F1" s="378"/>
      <c r="G1" s="378"/>
      <c r="H1" s="378"/>
      <c r="I1" s="378"/>
      <c r="J1" s="378"/>
      <c r="K1" s="378"/>
      <c r="L1" s="378"/>
      <c r="M1" s="378"/>
      <c r="N1" s="378"/>
      <c r="O1" s="378"/>
      <c r="P1" s="378"/>
      <c r="Q1" s="378"/>
      <c r="R1" s="378"/>
      <c r="S1" s="378"/>
      <c r="T1" s="378"/>
      <c r="U1" s="378"/>
      <c r="V1" s="378"/>
      <c r="W1" s="378"/>
      <c r="X1" s="378"/>
      <c r="Y1" s="378"/>
      <c r="Z1" s="378"/>
      <c r="AA1" s="378"/>
      <c r="AB1" s="378"/>
      <c r="AC1" s="378"/>
      <c r="AD1" s="378"/>
      <c r="AE1" s="378"/>
      <c r="AF1" s="378"/>
      <c r="AG1" s="378"/>
      <c r="AH1" s="378"/>
      <c r="AI1" s="378"/>
      <c r="AJ1" s="378"/>
      <c r="AK1" s="378"/>
      <c r="AL1" s="378"/>
      <c r="AM1" s="378"/>
      <c r="AN1" s="378"/>
      <c r="AO1" s="378"/>
      <c r="AP1" s="378"/>
      <c r="AQ1" s="378"/>
      <c r="AR1" s="378"/>
      <c r="AS1" s="378"/>
      <c r="AT1" s="378"/>
      <c r="AU1" s="378"/>
      <c r="AV1" s="378"/>
      <c r="AW1" s="378"/>
      <c r="AX1" s="378"/>
      <c r="AY1" s="378"/>
      <c r="AZ1" s="378"/>
      <c r="BA1" s="378"/>
      <c r="BB1" s="1264" t="s">
        <v>1018</v>
      </c>
      <c r="BC1" s="1264"/>
      <c r="BD1" s="1264"/>
      <c r="BE1" s="378"/>
      <c r="BF1" s="378"/>
      <c r="BG1" s="378"/>
      <c r="BH1" s="378"/>
      <c r="BI1" s="378"/>
      <c r="BJ1" s="378"/>
      <c r="BK1" s="378"/>
      <c r="BL1" s="378"/>
      <c r="BM1" s="378"/>
      <c r="BN1" s="378"/>
      <c r="BO1" s="378"/>
      <c r="BP1" s="378"/>
      <c r="BQ1" s="378"/>
      <c r="BR1" s="378"/>
      <c r="BS1" s="1264" t="s">
        <v>1018</v>
      </c>
      <c r="BT1" s="1264"/>
      <c r="BU1" s="1264"/>
      <c r="BV1" s="378"/>
      <c r="BW1" s="378"/>
      <c r="BX1" s="378"/>
      <c r="BY1" s="378"/>
      <c r="BZ1" s="378"/>
      <c r="CA1" s="378"/>
      <c r="CB1" s="378"/>
      <c r="CC1" s="378"/>
      <c r="CD1" s="378"/>
      <c r="CE1" s="378"/>
      <c r="CF1" s="378"/>
      <c r="CG1" s="378"/>
      <c r="CH1" s="378"/>
      <c r="CI1" s="378"/>
      <c r="CJ1" s="378"/>
      <c r="CK1" s="378"/>
      <c r="CL1" s="378"/>
      <c r="CM1" s="378"/>
      <c r="CN1" s="378"/>
      <c r="CO1" s="378"/>
      <c r="CP1" s="378"/>
    </row>
    <row r="2" spans="1:97" x14ac:dyDescent="0.25">
      <c r="A2" s="378"/>
      <c r="B2" s="378"/>
      <c r="C2" s="378"/>
      <c r="D2" s="378"/>
      <c r="E2" s="378"/>
      <c r="F2" s="378"/>
      <c r="G2" s="378"/>
      <c r="H2" s="378"/>
      <c r="I2" s="378"/>
      <c r="J2" s="378"/>
      <c r="K2" s="378"/>
      <c r="L2" s="378"/>
      <c r="M2" s="378"/>
      <c r="N2" s="378"/>
      <c r="O2" s="378"/>
      <c r="P2" s="378"/>
      <c r="Q2" s="378"/>
      <c r="R2" s="378"/>
      <c r="S2" s="378"/>
      <c r="T2" s="378"/>
      <c r="U2" s="378"/>
      <c r="V2" s="378"/>
      <c r="W2" s="378"/>
      <c r="X2" s="378"/>
      <c r="Y2" s="378"/>
      <c r="Z2" s="378"/>
      <c r="AA2" s="378"/>
      <c r="AB2" s="378"/>
      <c r="AC2" s="1264"/>
      <c r="AD2" s="1264"/>
      <c r="AE2" s="1264"/>
      <c r="AF2" s="1264"/>
      <c r="AG2" s="378"/>
      <c r="AH2" s="378"/>
      <c r="AI2" s="378"/>
      <c r="AJ2" s="378"/>
      <c r="AK2" s="378"/>
      <c r="AL2" s="378"/>
      <c r="AM2" s="378"/>
      <c r="AN2" s="378"/>
      <c r="AO2" s="378"/>
      <c r="AP2" s="378"/>
      <c r="AQ2" s="378"/>
      <c r="AR2" s="378"/>
      <c r="AS2" s="378"/>
      <c r="AT2" s="378"/>
      <c r="AU2" s="378"/>
      <c r="AV2" s="378"/>
      <c r="AW2" s="378"/>
      <c r="AX2" s="378"/>
      <c r="AY2" s="378"/>
      <c r="AZ2" s="378"/>
      <c r="BA2" s="378"/>
      <c r="BB2" s="1264" t="s">
        <v>1019</v>
      </c>
      <c r="BC2" s="1264"/>
      <c r="BD2" s="1264"/>
      <c r="BE2" s="378"/>
      <c r="BF2" s="378"/>
      <c r="BG2" s="378"/>
      <c r="BH2" s="378"/>
      <c r="BI2" s="378"/>
      <c r="BJ2" s="378"/>
      <c r="BK2" s="378"/>
      <c r="BL2" s="378"/>
      <c r="BM2" s="378"/>
      <c r="BN2" s="378"/>
      <c r="BO2" s="378"/>
      <c r="BP2" s="378"/>
      <c r="BQ2" s="378"/>
      <c r="BR2" s="378"/>
      <c r="BS2" s="1264" t="s">
        <v>1019</v>
      </c>
      <c r="BT2" s="1264"/>
      <c r="BU2" s="1264"/>
      <c r="BV2" s="378"/>
      <c r="BW2" s="1264"/>
      <c r="BX2" s="1264"/>
      <c r="BY2" s="1264"/>
      <c r="BZ2" s="378"/>
      <c r="CA2" s="378"/>
      <c r="CB2" s="378"/>
      <c r="CC2" s="378"/>
      <c r="CD2" s="378"/>
      <c r="CE2" s="378"/>
      <c r="CF2" s="378"/>
      <c r="CG2" s="378"/>
      <c r="CH2" s="378"/>
      <c r="CI2" s="378"/>
      <c r="CJ2" s="378"/>
      <c r="CK2" s="378"/>
      <c r="CL2" s="378"/>
      <c r="CM2" s="378"/>
      <c r="CN2" s="378"/>
      <c r="CO2" s="378"/>
      <c r="CP2" s="378"/>
      <c r="CQ2" s="378"/>
      <c r="CR2" s="378"/>
      <c r="CS2" s="378"/>
    </row>
    <row r="3" spans="1:97" ht="18" customHeight="1" x14ac:dyDescent="0.3">
      <c r="A3" s="1265" t="s">
        <v>1020</v>
      </c>
      <c r="B3" s="1266" t="s">
        <v>1021</v>
      </c>
      <c r="C3" s="1266" t="s">
        <v>1022</v>
      </c>
      <c r="D3" s="1266" t="s">
        <v>1023</v>
      </c>
      <c r="E3" s="1266" t="s">
        <v>1024</v>
      </c>
      <c r="F3" s="1266" t="s">
        <v>1025</v>
      </c>
      <c r="G3" s="1266" t="s">
        <v>1026</v>
      </c>
      <c r="H3" s="1266" t="s">
        <v>1027</v>
      </c>
      <c r="I3" s="1267" t="s">
        <v>1028</v>
      </c>
      <c r="J3" s="1267" t="s">
        <v>1029</v>
      </c>
      <c r="K3" s="1266" t="s">
        <v>1030</v>
      </c>
      <c r="L3" s="1266" t="s">
        <v>1031</v>
      </c>
      <c r="M3" s="1266" t="s">
        <v>1032</v>
      </c>
      <c r="N3" s="1267" t="s">
        <v>1033</v>
      </c>
      <c r="O3" s="1267" t="s">
        <v>1034</v>
      </c>
      <c r="P3" s="1266" t="s">
        <v>1035</v>
      </c>
      <c r="Q3" s="1266" t="s">
        <v>1036</v>
      </c>
      <c r="R3" s="1266" t="s">
        <v>1037</v>
      </c>
      <c r="S3" s="1266" t="s">
        <v>1038</v>
      </c>
      <c r="T3" s="1266" t="s">
        <v>1039</v>
      </c>
      <c r="U3" s="1266" t="s">
        <v>1040</v>
      </c>
      <c r="V3" s="1266" t="s">
        <v>1041</v>
      </c>
      <c r="W3" s="1266" t="s">
        <v>1042</v>
      </c>
      <c r="X3" s="1267" t="s">
        <v>1043</v>
      </c>
      <c r="Y3" s="1267" t="s">
        <v>1044</v>
      </c>
      <c r="Z3" s="1266" t="s">
        <v>1045</v>
      </c>
      <c r="AA3" s="1266" t="s">
        <v>1046</v>
      </c>
      <c r="AB3" s="1266" t="s">
        <v>1047</v>
      </c>
      <c r="AC3" s="1268" t="s">
        <v>1048</v>
      </c>
      <c r="AD3" s="1267" t="s">
        <v>1049</v>
      </c>
      <c r="AE3" s="1266" t="s">
        <v>1050</v>
      </c>
      <c r="AF3" s="1269" t="s">
        <v>1051</v>
      </c>
      <c r="AG3" s="1266" t="s">
        <v>1052</v>
      </c>
      <c r="AH3" s="1266" t="s">
        <v>1053</v>
      </c>
      <c r="AI3" s="1266" t="s">
        <v>1054</v>
      </c>
      <c r="AJ3" s="1266" t="s">
        <v>1055</v>
      </c>
      <c r="AK3" s="1267" t="s">
        <v>1056</v>
      </c>
      <c r="AL3" s="1266" t="s">
        <v>1057</v>
      </c>
      <c r="AM3" s="1266" t="s">
        <v>1058</v>
      </c>
      <c r="AN3" s="1266" t="s">
        <v>1059</v>
      </c>
      <c r="AO3" s="1267" t="s">
        <v>1060</v>
      </c>
      <c r="AP3" s="1266" t="s">
        <v>1061</v>
      </c>
      <c r="AQ3" s="1266" t="s">
        <v>1062</v>
      </c>
      <c r="AR3" s="1266" t="s">
        <v>1063</v>
      </c>
      <c r="AS3" s="1266" t="s">
        <v>1064</v>
      </c>
      <c r="AT3" s="1266" t="s">
        <v>1065</v>
      </c>
      <c r="AU3" s="1266" t="s">
        <v>1066</v>
      </c>
      <c r="AV3" s="1266" t="s">
        <v>1067</v>
      </c>
      <c r="AW3" s="1266" t="s">
        <v>1068</v>
      </c>
      <c r="AX3" s="1266" t="s">
        <v>1069</v>
      </c>
      <c r="AY3" s="1267" t="s">
        <v>1070</v>
      </c>
      <c r="AZ3" s="1266" t="s">
        <v>1071</v>
      </c>
      <c r="BA3" s="1266" t="s">
        <v>1072</v>
      </c>
      <c r="BB3" s="1270" t="s">
        <v>1073</v>
      </c>
      <c r="BC3" s="1266" t="s">
        <v>1074</v>
      </c>
      <c r="BD3" s="1266" t="s">
        <v>1075</v>
      </c>
      <c r="BE3" s="1267" t="s">
        <v>1076</v>
      </c>
      <c r="BF3" s="1267" t="s">
        <v>1077</v>
      </c>
      <c r="BG3" s="1266" t="s">
        <v>1078</v>
      </c>
      <c r="BH3" s="1271" t="s">
        <v>1079</v>
      </c>
      <c r="BI3" s="1271" t="s">
        <v>1080</v>
      </c>
      <c r="BJ3" s="1266" t="s">
        <v>1081</v>
      </c>
      <c r="BK3" s="1266" t="s">
        <v>1082</v>
      </c>
      <c r="BL3" s="1266" t="s">
        <v>1083</v>
      </c>
      <c r="BM3" s="1267" t="s">
        <v>1084</v>
      </c>
      <c r="BN3" s="1266" t="s">
        <v>1085</v>
      </c>
      <c r="BO3" s="1266" t="s">
        <v>1086</v>
      </c>
      <c r="BP3" s="1267" t="s">
        <v>1087</v>
      </c>
      <c r="BQ3" s="1266" t="s">
        <v>1088</v>
      </c>
      <c r="BR3" s="1266" t="s">
        <v>1089</v>
      </c>
      <c r="BS3" s="1270" t="s">
        <v>1090</v>
      </c>
      <c r="BT3" s="1266" t="s">
        <v>1091</v>
      </c>
      <c r="BU3" s="1266" t="s">
        <v>1092</v>
      </c>
      <c r="BV3" s="1266" t="s">
        <v>1093</v>
      </c>
      <c r="BW3" s="1268" t="s">
        <v>1094</v>
      </c>
      <c r="BX3" s="1266" t="s">
        <v>1095</v>
      </c>
      <c r="BY3" s="1266" t="s">
        <v>1096</v>
      </c>
      <c r="BZ3" s="1267" t="s">
        <v>1097</v>
      </c>
      <c r="CA3" s="1266" t="s">
        <v>1098</v>
      </c>
      <c r="CB3" s="1266" t="s">
        <v>1099</v>
      </c>
      <c r="CC3" s="1266" t="s">
        <v>1100</v>
      </c>
      <c r="CD3" s="1267" t="s">
        <v>1101</v>
      </c>
      <c r="CE3" s="1272"/>
      <c r="CF3" s="1272"/>
      <c r="CG3" s="1272"/>
      <c r="CH3" s="1272"/>
      <c r="CI3" s="1272"/>
      <c r="CJ3" s="378"/>
      <c r="CK3" s="378"/>
      <c r="CL3" s="378"/>
      <c r="CM3" s="378"/>
      <c r="CN3" s="378"/>
      <c r="CO3" s="378"/>
      <c r="CP3" s="378"/>
      <c r="CQ3" s="378"/>
      <c r="CR3" s="378"/>
      <c r="CS3" s="378"/>
    </row>
    <row r="4" spans="1:97" ht="18.75" customHeight="1" x14ac:dyDescent="0.3">
      <c r="A4" s="1273" t="s">
        <v>1102</v>
      </c>
      <c r="B4" s="1304" t="s">
        <v>1021</v>
      </c>
      <c r="C4" s="1304" t="s">
        <v>1103</v>
      </c>
      <c r="D4" s="1305" t="s">
        <v>1104</v>
      </c>
      <c r="E4" s="1304" t="s">
        <v>1105</v>
      </c>
      <c r="F4" s="1304" t="s">
        <v>1106</v>
      </c>
      <c r="G4" s="1304" t="s">
        <v>1107</v>
      </c>
      <c r="H4" s="1304" t="s">
        <v>1108</v>
      </c>
      <c r="I4" s="1306" t="s">
        <v>1109</v>
      </c>
      <c r="J4" s="1306" t="s">
        <v>1110</v>
      </c>
      <c r="K4" s="1304" t="s">
        <v>1111</v>
      </c>
      <c r="L4" s="1304" t="s">
        <v>1112</v>
      </c>
      <c r="M4" s="1304" t="s">
        <v>1113</v>
      </c>
      <c r="N4" s="1306" t="s">
        <v>1114</v>
      </c>
      <c r="O4" s="1306" t="s">
        <v>1115</v>
      </c>
      <c r="P4" s="1304" t="s">
        <v>1116</v>
      </c>
      <c r="Q4" s="1304" t="s">
        <v>1117</v>
      </c>
      <c r="R4" s="1304" t="s">
        <v>1118</v>
      </c>
      <c r="S4" s="1304" t="s">
        <v>1119</v>
      </c>
      <c r="T4" s="1304" t="s">
        <v>1120</v>
      </c>
      <c r="U4" s="1304" t="s">
        <v>1121</v>
      </c>
      <c r="V4" s="1304" t="s">
        <v>1122</v>
      </c>
      <c r="W4" s="1304" t="s">
        <v>1123</v>
      </c>
      <c r="X4" s="1306" t="s">
        <v>1124</v>
      </c>
      <c r="Y4" s="1307" t="s">
        <v>1125</v>
      </c>
      <c r="Z4" s="1304" t="s">
        <v>1126</v>
      </c>
      <c r="AA4" s="1304" t="s">
        <v>1127</v>
      </c>
      <c r="AB4" s="1304" t="s">
        <v>1128</v>
      </c>
      <c r="AC4" s="1304" t="s">
        <v>1129</v>
      </c>
      <c r="AD4" s="1306" t="s">
        <v>1130</v>
      </c>
      <c r="AE4" s="1304" t="s">
        <v>1131</v>
      </c>
      <c r="AF4" s="1304" t="s">
        <v>1132</v>
      </c>
      <c r="AG4" s="1304" t="s">
        <v>1133</v>
      </c>
      <c r="AH4" s="1304" t="s">
        <v>1131</v>
      </c>
      <c r="AI4" s="1304" t="s">
        <v>1134</v>
      </c>
      <c r="AJ4" s="1304" t="s">
        <v>1112</v>
      </c>
      <c r="AK4" s="1306" t="s">
        <v>1135</v>
      </c>
      <c r="AL4" s="1304" t="s">
        <v>1136</v>
      </c>
      <c r="AM4" s="1304" t="s">
        <v>1137</v>
      </c>
      <c r="AN4" s="1304" t="s">
        <v>1137</v>
      </c>
      <c r="AO4" s="1306" t="s">
        <v>1138</v>
      </c>
      <c r="AP4" s="1304" t="s">
        <v>1139</v>
      </c>
      <c r="AQ4" s="1304" t="s">
        <v>1140</v>
      </c>
      <c r="AR4" s="1304" t="s">
        <v>1141</v>
      </c>
      <c r="AS4" s="1304" t="s">
        <v>1142</v>
      </c>
      <c r="AT4" s="1304" t="s">
        <v>1143</v>
      </c>
      <c r="AU4" s="1304" t="s">
        <v>1144</v>
      </c>
      <c r="AV4" s="1304" t="s">
        <v>1145</v>
      </c>
      <c r="AW4" s="1304" t="s">
        <v>1143</v>
      </c>
      <c r="AX4" s="1304" t="s">
        <v>1146</v>
      </c>
      <c r="AY4" s="1306" t="s">
        <v>1147</v>
      </c>
      <c r="AZ4" s="1304" t="s">
        <v>1122</v>
      </c>
      <c r="BA4" s="1304" t="s">
        <v>1148</v>
      </c>
      <c r="BB4" s="1304" t="s">
        <v>1149</v>
      </c>
      <c r="BC4" s="1304" t="s">
        <v>1143</v>
      </c>
      <c r="BD4" s="1304" t="s">
        <v>1132</v>
      </c>
      <c r="BE4" s="1306" t="s">
        <v>1138</v>
      </c>
      <c r="BF4" s="1306" t="s">
        <v>1145</v>
      </c>
      <c r="BG4" s="1304" t="s">
        <v>1150</v>
      </c>
      <c r="BH4" s="1308" t="s">
        <v>1151</v>
      </c>
      <c r="BI4" s="1308" t="s">
        <v>1152</v>
      </c>
      <c r="BJ4" s="1304" t="s">
        <v>1153</v>
      </c>
      <c r="BK4" s="1304" t="s">
        <v>1110</v>
      </c>
      <c r="BL4" s="1304" t="s">
        <v>1154</v>
      </c>
      <c r="BM4" s="1306" t="s">
        <v>1155</v>
      </c>
      <c r="BN4" s="1304" t="s">
        <v>1156</v>
      </c>
      <c r="BO4" s="1304" t="s">
        <v>1157</v>
      </c>
      <c r="BP4" s="1306" t="s">
        <v>1158</v>
      </c>
      <c r="BQ4" s="1304" t="s">
        <v>1137</v>
      </c>
      <c r="BR4" s="1304" t="s">
        <v>1141</v>
      </c>
      <c r="BS4" s="1304" t="s">
        <v>1159</v>
      </c>
      <c r="BT4" s="1304" t="s">
        <v>1160</v>
      </c>
      <c r="BU4" s="1304" t="s">
        <v>1161</v>
      </c>
      <c r="BV4" s="1304" t="s">
        <v>1162</v>
      </c>
      <c r="BW4" s="1304" t="s">
        <v>1129</v>
      </c>
      <c r="BX4" s="1304" t="s">
        <v>1155</v>
      </c>
      <c r="BY4" s="1304" t="s">
        <v>1163</v>
      </c>
      <c r="BZ4" s="1306" t="s">
        <v>1164</v>
      </c>
      <c r="CA4" s="1304" t="s">
        <v>1165</v>
      </c>
      <c r="CB4" s="1304" t="s">
        <v>1105</v>
      </c>
      <c r="CC4" s="1304" t="s">
        <v>1103</v>
      </c>
      <c r="CD4" s="1306" t="s">
        <v>1133</v>
      </c>
      <c r="CE4" s="1272"/>
      <c r="CF4" s="1272"/>
      <c r="CG4" s="1272"/>
      <c r="CH4" s="1272"/>
      <c r="CI4" s="1272"/>
      <c r="CJ4" s="378"/>
      <c r="CK4" s="378"/>
      <c r="CL4" s="378"/>
      <c r="CM4" s="378"/>
      <c r="CN4" s="378"/>
      <c r="CO4" s="378"/>
      <c r="CP4" s="378"/>
      <c r="CQ4" s="378"/>
      <c r="CR4" s="378"/>
      <c r="CS4" s="378"/>
    </row>
    <row r="5" spans="1:97" ht="18.75" x14ac:dyDescent="0.3">
      <c r="A5" s="1274"/>
      <c r="B5" s="1275"/>
      <c r="C5" s="1275"/>
      <c r="D5" s="1275"/>
      <c r="E5" s="1275"/>
      <c r="F5" s="1275"/>
      <c r="G5" s="1275"/>
      <c r="H5" s="1275"/>
      <c r="I5" s="1276"/>
      <c r="J5" s="1276"/>
      <c r="K5" s="1275"/>
      <c r="L5" s="1275"/>
      <c r="M5" s="1275"/>
      <c r="N5" s="1276"/>
      <c r="O5" s="1276"/>
      <c r="P5" s="1275"/>
      <c r="Q5" s="1275"/>
      <c r="R5" s="1275"/>
      <c r="S5" s="1275"/>
      <c r="T5" s="1275"/>
      <c r="U5" s="1275"/>
      <c r="V5" s="1275"/>
      <c r="W5" s="1275"/>
      <c r="X5" s="1276"/>
      <c r="Y5" s="1277"/>
      <c r="Z5" s="1275"/>
      <c r="AA5" s="1275"/>
      <c r="AB5" s="1275"/>
      <c r="AC5" s="1275"/>
      <c r="AD5" s="1276"/>
      <c r="AE5" s="1275"/>
      <c r="AF5" s="1275"/>
      <c r="AG5" s="1275"/>
      <c r="AH5" s="1275"/>
      <c r="AI5" s="1275"/>
      <c r="AJ5" s="1275"/>
      <c r="AK5" s="1276"/>
      <c r="AL5" s="1275"/>
      <c r="AM5" s="1275"/>
      <c r="AN5" s="1275"/>
      <c r="AO5" s="1276"/>
      <c r="AP5" s="1275"/>
      <c r="AQ5" s="1275"/>
      <c r="AR5" s="1275"/>
      <c r="AS5" s="1275"/>
      <c r="AT5" s="1275"/>
      <c r="AU5" s="1275"/>
      <c r="AV5" s="1275"/>
      <c r="AW5" s="1275"/>
      <c r="AX5" s="1275"/>
      <c r="AY5" s="1276"/>
      <c r="AZ5" s="1275"/>
      <c r="BA5" s="1275"/>
      <c r="BB5" s="1275"/>
      <c r="BC5" s="1275"/>
      <c r="BD5" s="1275"/>
      <c r="BE5" s="1276"/>
      <c r="BF5" s="1276"/>
      <c r="BG5" s="1275"/>
      <c r="BH5" s="1278"/>
      <c r="BI5" s="1278"/>
      <c r="BJ5" s="1275"/>
      <c r="BK5" s="1275"/>
      <c r="BL5" s="1275"/>
      <c r="BM5" s="1276"/>
      <c r="BN5" s="1275"/>
      <c r="BO5" s="1275"/>
      <c r="BP5" s="1276"/>
      <c r="BQ5" s="1275"/>
      <c r="BR5" s="1275"/>
      <c r="BS5" s="1275"/>
      <c r="BT5" s="1275"/>
      <c r="BU5" s="1275"/>
      <c r="BV5" s="1275"/>
      <c r="BW5" s="1275"/>
      <c r="BX5" s="1275"/>
      <c r="BY5" s="1275"/>
      <c r="BZ5" s="1276"/>
      <c r="CA5" s="1275"/>
      <c r="CB5" s="1275"/>
      <c r="CC5" s="1275"/>
      <c r="CD5" s="1276"/>
      <c r="CE5" s="1272"/>
      <c r="CF5" s="1272"/>
      <c r="CG5" s="1272"/>
      <c r="CH5" s="1272"/>
      <c r="CI5" s="1272"/>
      <c r="CJ5" s="378"/>
      <c r="CK5" s="378"/>
      <c r="CL5" s="378"/>
      <c r="CM5" s="378"/>
      <c r="CN5" s="378"/>
      <c r="CO5" s="378"/>
      <c r="CP5" s="378"/>
      <c r="CQ5" s="378"/>
      <c r="CR5" s="378"/>
      <c r="CS5" s="378"/>
    </row>
    <row r="6" spans="1:97" ht="18.75" x14ac:dyDescent="0.3">
      <c r="A6" s="1279"/>
      <c r="B6" s="1280"/>
      <c r="C6" s="1280"/>
      <c r="D6" s="1280"/>
      <c r="E6" s="1280"/>
      <c r="F6" s="1280"/>
      <c r="G6" s="1280"/>
      <c r="H6" s="1280"/>
      <c r="I6" s="1281"/>
      <c r="J6" s="1281"/>
      <c r="K6" s="1280"/>
      <c r="L6" s="1280"/>
      <c r="M6" s="1280"/>
      <c r="N6" s="1281"/>
      <c r="O6" s="1281"/>
      <c r="P6" s="1280"/>
      <c r="Q6" s="1280"/>
      <c r="R6" s="1280"/>
      <c r="S6" s="1280"/>
      <c r="T6" s="1280"/>
      <c r="U6" s="1280"/>
      <c r="V6" s="1280"/>
      <c r="W6" s="1280"/>
      <c r="X6" s="1281"/>
      <c r="Y6" s="1282"/>
      <c r="Z6" s="1280"/>
      <c r="AA6" s="1280"/>
      <c r="AB6" s="1280"/>
      <c r="AC6" s="1280"/>
      <c r="AD6" s="1281"/>
      <c r="AE6" s="1280"/>
      <c r="AF6" s="1280"/>
      <c r="AG6" s="1280"/>
      <c r="AH6" s="1280"/>
      <c r="AI6" s="1280"/>
      <c r="AJ6" s="1280"/>
      <c r="AK6" s="1281"/>
      <c r="AL6" s="1280"/>
      <c r="AM6" s="1280"/>
      <c r="AN6" s="1280"/>
      <c r="AO6" s="1281"/>
      <c r="AP6" s="1280"/>
      <c r="AQ6" s="1280"/>
      <c r="AR6" s="1280"/>
      <c r="AS6" s="1280"/>
      <c r="AT6" s="1280"/>
      <c r="AU6" s="1280"/>
      <c r="AV6" s="1280"/>
      <c r="AW6" s="1280"/>
      <c r="AX6" s="1280"/>
      <c r="AY6" s="1281"/>
      <c r="AZ6" s="1280"/>
      <c r="BA6" s="1280"/>
      <c r="BB6" s="1280"/>
      <c r="BC6" s="1280"/>
      <c r="BD6" s="1280"/>
      <c r="BE6" s="1281"/>
      <c r="BF6" s="1281"/>
      <c r="BG6" s="1280"/>
      <c r="BH6" s="1283"/>
      <c r="BI6" s="1283"/>
      <c r="BJ6" s="1280"/>
      <c r="BK6" s="1280"/>
      <c r="BL6" s="1280"/>
      <c r="BM6" s="1281"/>
      <c r="BN6" s="1280"/>
      <c r="BO6" s="1280"/>
      <c r="BP6" s="1281"/>
      <c r="BQ6" s="1280"/>
      <c r="BR6" s="1280"/>
      <c r="BS6" s="1280"/>
      <c r="BT6" s="1280"/>
      <c r="BU6" s="1280"/>
      <c r="BV6" s="1280"/>
      <c r="BW6" s="1280"/>
      <c r="BX6" s="1280"/>
      <c r="BY6" s="1280"/>
      <c r="BZ6" s="1281"/>
      <c r="CA6" s="1280"/>
      <c r="CB6" s="1280"/>
      <c r="CC6" s="1280"/>
      <c r="CD6" s="1281"/>
      <c r="CE6" s="1272"/>
      <c r="CF6" s="1272"/>
      <c r="CG6" s="1272"/>
      <c r="CH6" s="1272"/>
      <c r="CI6" s="1272"/>
      <c r="CJ6" s="378"/>
      <c r="CK6" s="378"/>
      <c r="CL6" s="378"/>
      <c r="CM6" s="378"/>
      <c r="CN6" s="378"/>
      <c r="CO6" s="378"/>
      <c r="CP6" s="378"/>
      <c r="CQ6" s="378"/>
      <c r="CR6" s="378"/>
      <c r="CS6" s="378"/>
    </row>
    <row r="7" spans="1:97" ht="15.75" x14ac:dyDescent="0.25">
      <c r="A7" s="1284" t="s">
        <v>1166</v>
      </c>
      <c r="B7" s="1253" t="s">
        <v>1021</v>
      </c>
      <c r="C7" s="1253" t="s">
        <v>1167</v>
      </c>
      <c r="D7" s="1253" t="s">
        <v>1023</v>
      </c>
      <c r="E7" s="1253" t="s">
        <v>1168</v>
      </c>
      <c r="F7" s="1253" t="s">
        <v>1169</v>
      </c>
      <c r="G7" s="1253" t="s">
        <v>1170</v>
      </c>
      <c r="H7" s="1253" t="s">
        <v>1171</v>
      </c>
      <c r="I7" s="1253" t="s">
        <v>1172</v>
      </c>
      <c r="J7" s="1253" t="s">
        <v>1173</v>
      </c>
      <c r="K7" s="1253" t="s">
        <v>1111</v>
      </c>
      <c r="L7" s="1253" t="s">
        <v>1174</v>
      </c>
      <c r="M7" s="1253" t="s">
        <v>1175</v>
      </c>
      <c r="N7" s="1253" t="s">
        <v>1176</v>
      </c>
      <c r="O7" s="1253" t="s">
        <v>1034</v>
      </c>
      <c r="P7" s="1253" t="s">
        <v>1177</v>
      </c>
      <c r="Q7" s="1253" t="s">
        <v>1178</v>
      </c>
      <c r="R7" s="1253" t="s">
        <v>1179</v>
      </c>
      <c r="S7" s="1253" t="s">
        <v>1119</v>
      </c>
      <c r="T7" s="1253" t="s">
        <v>1180</v>
      </c>
      <c r="U7" s="1253" t="s">
        <v>1181</v>
      </c>
      <c r="V7" s="1253" t="s">
        <v>1122</v>
      </c>
      <c r="W7" s="1253" t="s">
        <v>1123</v>
      </c>
      <c r="X7" s="1253" t="s">
        <v>1182</v>
      </c>
      <c r="Y7" s="1253" t="s">
        <v>1183</v>
      </c>
      <c r="Z7" s="1253" t="s">
        <v>1184</v>
      </c>
      <c r="AA7" s="1253" t="s">
        <v>1127</v>
      </c>
      <c r="AB7" s="1253" t="s">
        <v>1185</v>
      </c>
      <c r="AC7" s="1253" t="s">
        <v>1186</v>
      </c>
      <c r="AD7" s="1253" t="s">
        <v>1187</v>
      </c>
      <c r="AE7" s="1253" t="s">
        <v>1188</v>
      </c>
      <c r="AF7" s="1253" t="s">
        <v>1189</v>
      </c>
      <c r="AG7" s="1253" t="s">
        <v>1190</v>
      </c>
      <c r="AH7" s="1253" t="s">
        <v>1191</v>
      </c>
      <c r="AI7" s="1253" t="s">
        <v>1192</v>
      </c>
      <c r="AJ7" s="1253" t="s">
        <v>1031</v>
      </c>
      <c r="AK7" s="1253" t="s">
        <v>1193</v>
      </c>
      <c r="AL7" s="1253" t="s">
        <v>1194</v>
      </c>
      <c r="AM7" s="1253" t="s">
        <v>1195</v>
      </c>
      <c r="AN7" s="1253" t="s">
        <v>1137</v>
      </c>
      <c r="AO7" s="1253" t="s">
        <v>1196</v>
      </c>
      <c r="AP7" s="1253" t="s">
        <v>1197</v>
      </c>
      <c r="AQ7" s="1253" t="s">
        <v>1198</v>
      </c>
      <c r="AR7" s="1253" t="s">
        <v>1141</v>
      </c>
      <c r="AS7" s="1253" t="s">
        <v>1074</v>
      </c>
      <c r="AT7" s="1253" t="s">
        <v>1074</v>
      </c>
      <c r="AU7" s="1253" t="s">
        <v>1144</v>
      </c>
      <c r="AV7" s="1253" t="s">
        <v>1199</v>
      </c>
      <c r="AW7" s="1253" t="s">
        <v>1074</v>
      </c>
      <c r="AX7" s="1253" t="s">
        <v>1200</v>
      </c>
      <c r="AY7" s="1253" t="s">
        <v>1070</v>
      </c>
      <c r="AZ7" s="1253" t="s">
        <v>1122</v>
      </c>
      <c r="BA7" s="1253" t="s">
        <v>1201</v>
      </c>
      <c r="BB7" s="1253" t="s">
        <v>1202</v>
      </c>
      <c r="BC7" s="1253" t="s">
        <v>1074</v>
      </c>
      <c r="BD7" s="1253" t="s">
        <v>1189</v>
      </c>
      <c r="BE7" s="1253" t="s">
        <v>1196</v>
      </c>
      <c r="BF7" s="1253" t="s">
        <v>1203</v>
      </c>
      <c r="BG7" s="1253" t="s">
        <v>1204</v>
      </c>
      <c r="BH7" s="1253" t="s">
        <v>1023</v>
      </c>
      <c r="BI7" s="1253" t="s">
        <v>1080</v>
      </c>
      <c r="BJ7" s="1253" t="s">
        <v>1205</v>
      </c>
      <c r="BK7" s="1253" t="s">
        <v>1173</v>
      </c>
      <c r="BL7" s="1253" t="s">
        <v>1206</v>
      </c>
      <c r="BM7" s="1253" t="s">
        <v>1084</v>
      </c>
      <c r="BN7" s="1253" t="s">
        <v>1181</v>
      </c>
      <c r="BO7" s="1253" t="s">
        <v>1207</v>
      </c>
      <c r="BP7" s="1253"/>
      <c r="BQ7" s="1253" t="s">
        <v>1195</v>
      </c>
      <c r="BR7" s="1253" t="s">
        <v>1141</v>
      </c>
      <c r="BS7" s="1253" t="s">
        <v>1208</v>
      </c>
      <c r="BT7" s="1253" t="s">
        <v>1209</v>
      </c>
      <c r="BU7" s="1253" t="s">
        <v>1210</v>
      </c>
      <c r="BV7" s="1253" t="s">
        <v>1211</v>
      </c>
      <c r="BW7" s="1253" t="s">
        <v>1186</v>
      </c>
      <c r="BX7" s="1253" t="s">
        <v>1212</v>
      </c>
      <c r="BY7" s="1253" t="s">
        <v>1213</v>
      </c>
      <c r="BZ7" s="1253" t="s">
        <v>1214</v>
      </c>
      <c r="CA7" s="1253" t="s">
        <v>1215</v>
      </c>
      <c r="CB7" s="1253" t="s">
        <v>1216</v>
      </c>
      <c r="CC7" s="1253" t="s">
        <v>1217</v>
      </c>
      <c r="CD7" s="1253" t="s">
        <v>1218</v>
      </c>
      <c r="CE7" s="1272"/>
      <c r="CF7" s="1272"/>
      <c r="CG7" s="1272"/>
      <c r="CH7" s="1272"/>
      <c r="CI7" s="1272"/>
      <c r="CJ7" s="378"/>
      <c r="CK7" s="378"/>
      <c r="CL7" s="378"/>
      <c r="CM7" s="378"/>
      <c r="CN7" s="378"/>
      <c r="CO7" s="378"/>
      <c r="CP7" s="378"/>
      <c r="CQ7" s="378"/>
      <c r="CR7" s="378"/>
      <c r="CS7" s="378"/>
    </row>
    <row r="8" spans="1:97" ht="18.75" x14ac:dyDescent="0.25">
      <c r="A8" s="1285" t="s">
        <v>1219</v>
      </c>
      <c r="B8" s="1257">
        <v>63.4</v>
      </c>
      <c r="C8" s="1257">
        <v>3.5999999999999999E-3</v>
      </c>
      <c r="D8" s="1257">
        <v>110</v>
      </c>
      <c r="E8" s="1257">
        <v>125</v>
      </c>
      <c r="F8" s="1257">
        <v>3.15</v>
      </c>
      <c r="G8" s="1257">
        <v>19</v>
      </c>
      <c r="H8" s="1257">
        <v>0.47</v>
      </c>
      <c r="I8" s="1257">
        <v>1.1000000000000001</v>
      </c>
      <c r="J8" s="1257">
        <v>12</v>
      </c>
      <c r="K8" s="1257">
        <v>122</v>
      </c>
      <c r="L8" s="1257">
        <v>4.5</v>
      </c>
      <c r="M8" s="1257">
        <v>100</v>
      </c>
      <c r="N8" s="1257">
        <v>0.06</v>
      </c>
      <c r="O8" s="1257">
        <v>2.8E-3</v>
      </c>
      <c r="P8" s="1257">
        <v>1000</v>
      </c>
      <c r="Q8" s="1257">
        <v>0.1</v>
      </c>
      <c r="R8" s="1257">
        <v>6.0000000000000001E-3</v>
      </c>
      <c r="S8" s="1257">
        <v>211</v>
      </c>
      <c r="T8" s="1257">
        <v>0.74</v>
      </c>
      <c r="U8" s="1257">
        <v>38</v>
      </c>
      <c r="V8" s="1257">
        <v>29</v>
      </c>
      <c r="W8" s="1257">
        <v>3.7999999999999999E-2</v>
      </c>
      <c r="X8" s="1257">
        <v>2.3E-3</v>
      </c>
      <c r="Y8" s="1257">
        <v>2.5999999999999998E-4</v>
      </c>
      <c r="Z8" s="1257">
        <v>0.13</v>
      </c>
      <c r="AA8" s="1257">
        <v>6.7</v>
      </c>
      <c r="AB8" s="1257">
        <v>1.23</v>
      </c>
      <c r="AC8" s="1257">
        <v>2E-3</v>
      </c>
      <c r="AD8" s="1257">
        <v>125</v>
      </c>
      <c r="AE8" s="1257">
        <v>170</v>
      </c>
      <c r="AF8" s="1257">
        <v>4.4000000000000004</v>
      </c>
      <c r="AG8" s="1257">
        <v>5.5E-2</v>
      </c>
      <c r="AH8" s="1257">
        <v>170</v>
      </c>
      <c r="AI8" s="1257">
        <v>1.41</v>
      </c>
      <c r="AJ8" s="1257">
        <v>4.5</v>
      </c>
      <c r="AK8" s="1257">
        <v>19</v>
      </c>
      <c r="AL8" s="1257">
        <v>3.7999999999999999E-2</v>
      </c>
      <c r="AM8" s="1257">
        <v>33</v>
      </c>
      <c r="AN8" s="1257">
        <v>33</v>
      </c>
      <c r="AO8" s="1257">
        <v>6.4999999999999997E-3</v>
      </c>
      <c r="AP8" s="1257">
        <v>4.2</v>
      </c>
      <c r="AQ8" s="1257">
        <v>2.1000000000000001E-4</v>
      </c>
      <c r="AR8" s="1257">
        <v>0.248</v>
      </c>
      <c r="AS8" s="1257">
        <v>0.63</v>
      </c>
      <c r="AT8" s="1257">
        <v>0.63</v>
      </c>
      <c r="AU8" s="1257">
        <v>87</v>
      </c>
      <c r="AV8" s="1257">
        <v>1.2999999999999999E-3</v>
      </c>
      <c r="AW8" s="1257">
        <v>0.63</v>
      </c>
      <c r="AX8" s="1257">
        <v>1.7999999999999999E-2</v>
      </c>
      <c r="AY8" s="1257">
        <v>7.3999999999999996E-2</v>
      </c>
      <c r="AZ8" s="1257">
        <v>29</v>
      </c>
      <c r="BA8" s="1257">
        <v>0.05</v>
      </c>
      <c r="BB8" s="1257">
        <v>25</v>
      </c>
      <c r="BC8" s="1257">
        <v>0.63</v>
      </c>
      <c r="BD8" s="1257">
        <v>4.4000000000000004</v>
      </c>
      <c r="BE8" s="1257">
        <v>6.4999999999999997E-3</v>
      </c>
      <c r="BF8" s="1257">
        <v>1.2999999999999999E-3</v>
      </c>
      <c r="BG8" s="1257">
        <v>3.14</v>
      </c>
      <c r="BH8" s="1257">
        <v>0.63</v>
      </c>
      <c r="BI8" s="1257">
        <v>0.186</v>
      </c>
      <c r="BJ8" s="1257">
        <v>1.2500000000000001E-2</v>
      </c>
      <c r="BK8" s="1257">
        <v>12</v>
      </c>
      <c r="BL8" s="1257">
        <v>19</v>
      </c>
      <c r="BM8" s="1257">
        <v>2.6</v>
      </c>
      <c r="BN8" s="1257">
        <v>38</v>
      </c>
      <c r="BO8" s="1257">
        <v>65.7</v>
      </c>
      <c r="BP8" s="1257">
        <v>100</v>
      </c>
      <c r="BQ8" s="1257">
        <v>33</v>
      </c>
      <c r="BR8" s="1257">
        <v>0.248</v>
      </c>
      <c r="BS8" s="1257">
        <v>25</v>
      </c>
      <c r="BT8" s="1257">
        <v>2.2999999999999998</v>
      </c>
      <c r="BU8" s="1257">
        <v>150</v>
      </c>
      <c r="BV8" s="1257">
        <v>0.56000000000000005</v>
      </c>
      <c r="BW8" s="1257">
        <v>2E-3</v>
      </c>
      <c r="BX8" s="1257">
        <v>2.6</v>
      </c>
      <c r="BY8" s="1257">
        <v>1.14E-3</v>
      </c>
      <c r="BZ8" s="1257">
        <v>6.7999999999999999E-5</v>
      </c>
      <c r="CA8" s="1257">
        <v>320</v>
      </c>
      <c r="CB8" s="1257">
        <v>125</v>
      </c>
      <c r="CC8" s="1257">
        <v>3.5999999999999999E-3</v>
      </c>
      <c r="CD8" s="1257">
        <v>5.5E-2</v>
      </c>
      <c r="CE8" s="1272"/>
      <c r="CF8" s="1272"/>
      <c r="CG8" s="1272"/>
      <c r="CH8" s="1272"/>
      <c r="CI8" s="1272"/>
      <c r="CJ8" s="378"/>
      <c r="CK8" s="378"/>
      <c r="CL8" s="378"/>
      <c r="CM8" s="378"/>
      <c r="CN8" s="378"/>
      <c r="CO8" s="378"/>
      <c r="CP8" s="378"/>
      <c r="CQ8" s="378"/>
      <c r="CR8" s="378"/>
      <c r="CS8" s="378"/>
    </row>
    <row r="9" spans="1:97" ht="18.75" x14ac:dyDescent="0.25">
      <c r="A9" s="1285" t="s">
        <v>487</v>
      </c>
      <c r="B9" s="1258">
        <v>0.05</v>
      </c>
      <c r="C9" s="1258">
        <v>2.5000000000000001E-3</v>
      </c>
      <c r="D9" s="1258">
        <v>0.03</v>
      </c>
      <c r="E9" s="1258">
        <v>2.5999999999999999E-2</v>
      </c>
      <c r="F9" s="1258">
        <v>3.0000000000000001E-3</v>
      </c>
      <c r="G9" s="1258">
        <v>0.02</v>
      </c>
      <c r="H9" s="1258">
        <v>0.2</v>
      </c>
      <c r="I9" s="1258">
        <v>0.01</v>
      </c>
      <c r="J9" s="1258">
        <v>1.58</v>
      </c>
      <c r="K9" s="1258">
        <v>9</v>
      </c>
      <c r="L9" s="1258">
        <v>0.02</v>
      </c>
      <c r="M9" s="1258">
        <v>0.1</v>
      </c>
      <c r="N9" s="1258">
        <v>1.7000000000000001E-2</v>
      </c>
      <c r="O9" s="1258">
        <v>0.05</v>
      </c>
      <c r="P9" s="1258">
        <v>0.02</v>
      </c>
      <c r="Q9" s="1258">
        <v>1.5E-3</v>
      </c>
      <c r="R9" s="1258">
        <v>0.03</v>
      </c>
      <c r="S9" s="1258">
        <v>0.06</v>
      </c>
      <c r="T9" s="1258">
        <v>0.03</v>
      </c>
      <c r="U9" s="1258">
        <v>0.3</v>
      </c>
      <c r="V9" s="1258">
        <v>1.55E-2</v>
      </c>
      <c r="W9" s="1258">
        <v>1.4999999999999999E-2</v>
      </c>
      <c r="X9" s="1258">
        <v>0.03</v>
      </c>
      <c r="Y9" s="1258">
        <v>0.01</v>
      </c>
      <c r="Z9" s="1258">
        <v>0.1</v>
      </c>
      <c r="AA9" s="1258">
        <v>7.0000000000000001E-3</v>
      </c>
      <c r="AB9" s="1258">
        <v>0.1</v>
      </c>
      <c r="AC9" s="1258">
        <v>6.0000000000000001E-3</v>
      </c>
      <c r="AD9" s="1258">
        <v>2.5999999999999999E-2</v>
      </c>
      <c r="AE9" s="1258">
        <v>3.0000000000000001E-3</v>
      </c>
      <c r="AF9" s="1258">
        <v>0.03</v>
      </c>
      <c r="AG9" s="1258">
        <v>0.01</v>
      </c>
      <c r="AH9" s="1258">
        <v>3.0000000000000001E-3</v>
      </c>
      <c r="AI9" s="1258">
        <v>0.01</v>
      </c>
      <c r="AJ9" s="1258">
        <v>0.02</v>
      </c>
      <c r="AK9" s="1258">
        <v>4.0000000000000001E-3</v>
      </c>
      <c r="AL9" s="1258">
        <v>1E-3</v>
      </c>
      <c r="AM9" s="1258">
        <v>0.01</v>
      </c>
      <c r="AN9" s="1258">
        <v>0.01</v>
      </c>
      <c r="AO9" s="1258">
        <v>0.01</v>
      </c>
      <c r="AP9" s="1258">
        <v>0.1</v>
      </c>
      <c r="AQ9" s="1258">
        <v>5.0000000000000001E-3</v>
      </c>
      <c r="AR9" s="1258">
        <v>2.0000000000000001E-4</v>
      </c>
      <c r="AS9" s="1258">
        <v>2.5000000000000001E-3</v>
      </c>
      <c r="AT9" s="1258">
        <v>2.5000000000000001E-3</v>
      </c>
      <c r="AU9" s="1258">
        <v>7.0000000000000007E-2</v>
      </c>
      <c r="AV9" s="1258">
        <v>0.01</v>
      </c>
      <c r="AW9" s="1258">
        <v>2.5000000000000001E-3</v>
      </c>
      <c r="AX9" s="1258">
        <v>0.03</v>
      </c>
      <c r="AY9" s="1258">
        <v>0.05</v>
      </c>
      <c r="AZ9" s="1258">
        <v>1.55E-2</v>
      </c>
      <c r="BA9" s="1258">
        <v>5.0000000000000001E-4</v>
      </c>
      <c r="BB9" s="1258">
        <v>4.0000000000000001E-3</v>
      </c>
      <c r="BC9" s="1258">
        <v>2.5000000000000001E-3</v>
      </c>
      <c r="BD9" s="1258">
        <v>0.03</v>
      </c>
      <c r="BE9" s="1258">
        <v>0.01</v>
      </c>
      <c r="BF9" s="1258">
        <v>0.01</v>
      </c>
      <c r="BG9" s="1258">
        <v>8.0000000000000002E-3</v>
      </c>
      <c r="BH9" s="1258">
        <v>2.5000000000000001E-3</v>
      </c>
      <c r="BI9" s="1258">
        <v>0.1</v>
      </c>
      <c r="BJ9" s="1258">
        <v>0.05</v>
      </c>
      <c r="BK9" s="1258">
        <v>1.58</v>
      </c>
      <c r="BL9" s="1258">
        <v>0.02</v>
      </c>
      <c r="BM9" s="1258">
        <v>0.04</v>
      </c>
      <c r="BN9" s="1258">
        <v>0.3</v>
      </c>
      <c r="BO9" s="1258">
        <v>2</v>
      </c>
      <c r="BP9" s="1258">
        <v>0.01</v>
      </c>
      <c r="BQ9" s="1258">
        <v>0.01</v>
      </c>
      <c r="BR9" s="1258">
        <v>2.0000000000000001E-4</v>
      </c>
      <c r="BS9" s="1258">
        <v>4.0000000000000001E-3</v>
      </c>
      <c r="BT9" s="1258">
        <v>8.9999999999999993E-3</v>
      </c>
      <c r="BU9" s="1258">
        <v>0.22</v>
      </c>
      <c r="BV9" s="1258">
        <v>3.0000000000000001E-3</v>
      </c>
      <c r="BW9" s="1258">
        <v>6.0000000000000001E-3</v>
      </c>
      <c r="BX9" s="1258">
        <v>0.04</v>
      </c>
      <c r="BY9" s="1258">
        <v>0.05</v>
      </c>
      <c r="BZ9" s="1258">
        <v>3.0000000000000001E-3</v>
      </c>
      <c r="CA9" s="1258">
        <v>0.05</v>
      </c>
      <c r="CB9" s="1258">
        <v>2.5999999999999999E-2</v>
      </c>
      <c r="CC9" s="1258">
        <v>2.5000000000000001E-3</v>
      </c>
      <c r="CD9" s="1258">
        <v>0.01</v>
      </c>
      <c r="CE9" s="1272"/>
      <c r="CF9" s="1272"/>
      <c r="CG9" s="1272"/>
      <c r="CH9" s="1272"/>
      <c r="CI9" s="1272"/>
      <c r="CJ9" s="378"/>
      <c r="CK9" s="378"/>
      <c r="CL9" s="378"/>
      <c r="CM9" s="378"/>
      <c r="CN9" s="378"/>
      <c r="CO9" s="378"/>
      <c r="CP9" s="378"/>
      <c r="CQ9" s="378"/>
      <c r="CR9" s="378"/>
      <c r="CS9" s="378"/>
    </row>
    <row r="10" spans="1:97" ht="18.75" customHeight="1" x14ac:dyDescent="0.25">
      <c r="A10" s="1286" t="s">
        <v>1220</v>
      </c>
      <c r="B10" s="1259">
        <f t="shared" ref="B10:AG10" si="0">IF(B8&gt;0,(((4-LOG10(B8))+(-LOG(B9)))/2),"")</f>
        <v>1.7494703688911244</v>
      </c>
      <c r="C10" s="1259">
        <f t="shared" si="0"/>
        <v>4.5228787452803374</v>
      </c>
      <c r="D10" s="1259">
        <f t="shared" si="0"/>
        <v>1.7407430300610565</v>
      </c>
      <c r="E10" s="1259">
        <f t="shared" si="0"/>
        <v>1.7440583195105628</v>
      </c>
      <c r="F10" s="1259">
        <f t="shared" si="0"/>
        <v>3.0122840957453683</v>
      </c>
      <c r="G10" s="1259">
        <f t="shared" si="0"/>
        <v>2.2101082016915949</v>
      </c>
      <c r="H10" s="1259">
        <f t="shared" si="0"/>
        <v>2.5134360732001508</v>
      </c>
      <c r="I10" s="1259">
        <f t="shared" si="0"/>
        <v>2.9793036574208873</v>
      </c>
      <c r="J10" s="1259">
        <f t="shared" si="0"/>
        <v>1.3610808334989761</v>
      </c>
      <c r="K10" s="1259">
        <f t="shared" si="0"/>
        <v>0.47969882994296337</v>
      </c>
      <c r="L10" s="1259">
        <f t="shared" si="0"/>
        <v>2.5228787452803374</v>
      </c>
      <c r="M10" s="1259">
        <f t="shared" si="0"/>
        <v>1.5</v>
      </c>
      <c r="N10" s="1259">
        <f t="shared" si="0"/>
        <v>3.495699914119041</v>
      </c>
      <c r="O10" s="1259">
        <f t="shared" si="0"/>
        <v>3.9269359821608809</v>
      </c>
      <c r="P10" s="1259">
        <f t="shared" si="0"/>
        <v>1.3494850021680094</v>
      </c>
      <c r="Q10" s="1259">
        <f t="shared" si="0"/>
        <v>3.9119543704721593</v>
      </c>
      <c r="R10" s="1259">
        <f t="shared" si="0"/>
        <v>3.8723637474483468</v>
      </c>
      <c r="S10" s="1259">
        <f t="shared" si="0"/>
        <v>1.448783147159332</v>
      </c>
      <c r="T10" s="1259">
        <f t="shared" si="0"/>
        <v>2.8268235127746806</v>
      </c>
      <c r="U10" s="1259">
        <f t="shared" si="0"/>
        <v>1.4715475743317636</v>
      </c>
      <c r="V10" s="1259">
        <f t="shared" si="0"/>
        <v>2.1736351519653763</v>
      </c>
      <c r="W10" s="1259">
        <f t="shared" si="0"/>
        <v>3.6220625721637543</v>
      </c>
      <c r="X10" s="1259">
        <f t="shared" si="0"/>
        <v>4.0805754546313722</v>
      </c>
      <c r="Y10" s="1259">
        <f t="shared" si="0"/>
        <v>4.7925133260145909</v>
      </c>
      <c r="Z10" s="1259">
        <f t="shared" si="0"/>
        <v>2.9430283238465815</v>
      </c>
      <c r="AA10" s="1259">
        <f t="shared" si="0"/>
        <v>2.6644135786424581</v>
      </c>
      <c r="AB10" s="1259">
        <f t="shared" si="0"/>
        <v>2.455047444280301</v>
      </c>
      <c r="AC10" s="1259">
        <f t="shared" si="0"/>
        <v>4.4604093769761874</v>
      </c>
      <c r="AD10" s="1259">
        <f t="shared" si="0"/>
        <v>1.7440583195105628</v>
      </c>
      <c r="AE10" s="1259">
        <f t="shared" si="0"/>
        <v>2.1462149119510316</v>
      </c>
      <c r="AF10" s="1259">
        <f t="shared" si="0"/>
        <v>2.4397130343970752</v>
      </c>
      <c r="AG10" s="1259">
        <f t="shared" si="0"/>
        <v>3.6298186552528779</v>
      </c>
      <c r="AH10" s="1259">
        <f t="shared" ref="AH10:BM10" si="1">IF(AH8&gt;0,(((4-LOG10(AH8))+(-LOG(AH9)))/2),"")</f>
        <v>2.1462149119510316</v>
      </c>
      <c r="AI10" s="1259">
        <f t="shared" si="1"/>
        <v>2.9253904436723102</v>
      </c>
      <c r="AJ10" s="1259">
        <f t="shared" si="1"/>
        <v>2.5228787452803374</v>
      </c>
      <c r="AK10" s="1259">
        <f t="shared" si="1"/>
        <v>2.5595932038596043</v>
      </c>
      <c r="AL10" s="1259">
        <f t="shared" si="1"/>
        <v>4.2101082016915949</v>
      </c>
      <c r="AM10" s="1259">
        <f t="shared" si="1"/>
        <v>2.240743030061056</v>
      </c>
      <c r="AN10" s="1259">
        <f t="shared" si="1"/>
        <v>2.240743030061056</v>
      </c>
      <c r="AO10" s="1259">
        <f t="shared" si="1"/>
        <v>4.0935433216785722</v>
      </c>
      <c r="AP10" s="1259">
        <f t="shared" si="1"/>
        <v>2.1883753548010496</v>
      </c>
      <c r="AQ10" s="1259">
        <f t="shared" si="1"/>
        <v>4.9894053504650309</v>
      </c>
      <c r="AR10" s="1259">
        <f t="shared" si="1"/>
        <v>4.1522591617549018</v>
      </c>
      <c r="AS10" s="1259">
        <f t="shared" si="1"/>
        <v>3.4013597209371902</v>
      </c>
      <c r="AT10" s="1259">
        <f t="shared" si="1"/>
        <v>3.4013597209371902</v>
      </c>
      <c r="AU10" s="1259">
        <f t="shared" si="1"/>
        <v>1.6076913536835624</v>
      </c>
      <c r="AV10" s="1259">
        <f t="shared" si="1"/>
        <v>4.4430283238465815</v>
      </c>
      <c r="AW10" s="1259">
        <f t="shared" si="1"/>
        <v>3.4013597209371902</v>
      </c>
      <c r="AX10" s="1259">
        <f t="shared" si="1"/>
        <v>3.6338031200885155</v>
      </c>
      <c r="AY10" s="1259">
        <f t="shared" si="1"/>
        <v>3.2158991379665025</v>
      </c>
      <c r="AZ10" s="1259">
        <f t="shared" si="1"/>
        <v>2.1736351519653763</v>
      </c>
      <c r="BA10" s="1259">
        <f t="shared" si="1"/>
        <v>4.3010299956639813</v>
      </c>
      <c r="BB10" s="1259">
        <f t="shared" si="1"/>
        <v>2.5</v>
      </c>
      <c r="BC10" s="1259">
        <f t="shared" si="1"/>
        <v>3.4013597209371902</v>
      </c>
      <c r="BD10" s="1259">
        <f t="shared" si="1"/>
        <v>2.4397130343970752</v>
      </c>
      <c r="BE10" s="1259">
        <f t="shared" si="1"/>
        <v>4.0935433216785722</v>
      </c>
      <c r="BF10" s="1259">
        <f t="shared" si="1"/>
        <v>4.4430283238465815</v>
      </c>
      <c r="BG10" s="1259">
        <f t="shared" si="1"/>
        <v>2.7999901824674209</v>
      </c>
      <c r="BH10" s="1259">
        <f t="shared" si="1"/>
        <v>3.4013597209371902</v>
      </c>
      <c r="BI10" s="1259">
        <f t="shared" si="1"/>
        <v>2.865243527891042</v>
      </c>
      <c r="BJ10" s="1259">
        <f t="shared" si="1"/>
        <v>3.6020599913279625</v>
      </c>
      <c r="BK10" s="1259">
        <f t="shared" si="1"/>
        <v>1.3610808334989761</v>
      </c>
      <c r="BL10" s="1259">
        <f t="shared" si="1"/>
        <v>2.2101082016915949</v>
      </c>
      <c r="BM10" s="1259">
        <f t="shared" si="1"/>
        <v>2.4914833303506096</v>
      </c>
      <c r="BN10" s="1259">
        <f t="shared" ref="BN10:CD10" si="2">IF(BN8&gt;0,(((4-LOG10(BN8))+(-LOG(BN9)))/2),"")</f>
        <v>1.4715475743317636</v>
      </c>
      <c r="BO10" s="1259">
        <f t="shared" si="2"/>
        <v>0.94070231738811882</v>
      </c>
      <c r="BP10" s="1259">
        <f t="shared" si="2"/>
        <v>2</v>
      </c>
      <c r="BQ10" s="1259">
        <f t="shared" si="2"/>
        <v>2.240743030061056</v>
      </c>
      <c r="BR10" s="1259">
        <f t="shared" si="2"/>
        <v>4.1522591617549018</v>
      </c>
      <c r="BS10" s="1259">
        <f t="shared" si="2"/>
        <v>2.5</v>
      </c>
      <c r="BT10" s="1259">
        <f t="shared" si="2"/>
        <v>2.8420148272715409</v>
      </c>
      <c r="BU10" s="1259">
        <f t="shared" si="2"/>
        <v>1.2407430300610562</v>
      </c>
      <c r="BV10" s="1259">
        <f t="shared" si="2"/>
        <v>3.3873453591370684</v>
      </c>
      <c r="BW10" s="1259">
        <f t="shared" si="2"/>
        <v>4.4604093769761874</v>
      </c>
      <c r="BX10" s="1259">
        <f t="shared" si="2"/>
        <v>2.4914833303506096</v>
      </c>
      <c r="BY10" s="1259">
        <f t="shared" si="2"/>
        <v>4.1220625721637543</v>
      </c>
      <c r="BZ10" s="1259">
        <f t="shared" si="2"/>
        <v>5.3451849162870504</v>
      </c>
      <c r="CA10" s="1259">
        <f t="shared" si="2"/>
        <v>1.3979400086720377</v>
      </c>
      <c r="CB10" s="1259">
        <f t="shared" si="2"/>
        <v>1.7440583195105628</v>
      </c>
      <c r="CC10" s="1259">
        <f t="shared" si="2"/>
        <v>4.5228787452803374</v>
      </c>
      <c r="CD10" s="1259">
        <f t="shared" si="2"/>
        <v>3.6298186552528779</v>
      </c>
      <c r="CE10" s="1272"/>
      <c r="CF10" s="1272"/>
      <c r="CG10" s="1272"/>
      <c r="CH10" s="1272"/>
      <c r="CI10" s="1272"/>
      <c r="CJ10" s="378"/>
      <c r="CK10" s="378"/>
      <c r="CL10" s="378"/>
      <c r="CM10" s="378"/>
      <c r="CN10" s="378"/>
      <c r="CO10" s="378"/>
      <c r="CP10" s="378"/>
      <c r="CQ10" s="378"/>
      <c r="CR10" s="378"/>
      <c r="CS10" s="378"/>
    </row>
    <row r="11" spans="1:97" ht="19.5" x14ac:dyDescent="0.35">
      <c r="A11" s="1285" t="s">
        <v>489</v>
      </c>
      <c r="B11" s="1262">
        <v>242</v>
      </c>
      <c r="C11" s="1262">
        <v>6631</v>
      </c>
      <c r="D11" s="1262">
        <v>40.299999999999997</v>
      </c>
      <c r="E11" s="1262">
        <v>56.2</v>
      </c>
      <c r="F11" s="1262">
        <v>620</v>
      </c>
      <c r="G11" s="1262">
        <v>364</v>
      </c>
      <c r="H11" s="1262">
        <v>423</v>
      </c>
      <c r="I11" s="1262">
        <v>3760</v>
      </c>
      <c r="J11" s="1262">
        <v>301</v>
      </c>
      <c r="K11" s="1262">
        <v>67</v>
      </c>
      <c r="L11" s="1262">
        <v>174</v>
      </c>
      <c r="M11" s="1262">
        <v>86</v>
      </c>
      <c r="N11" s="1262">
        <v>2197</v>
      </c>
      <c r="O11" s="1262">
        <v>156250</v>
      </c>
      <c r="P11" s="1262">
        <v>106</v>
      </c>
      <c r="Q11" s="1262">
        <v>10000</v>
      </c>
      <c r="R11" s="1262">
        <v>9315</v>
      </c>
      <c r="S11" s="1262">
        <v>225</v>
      </c>
      <c r="T11" s="1262">
        <v>388</v>
      </c>
      <c r="U11" s="1262">
        <v>28700</v>
      </c>
      <c r="V11" s="1262">
        <v>41182</v>
      </c>
      <c r="W11" s="1262">
        <v>850</v>
      </c>
      <c r="X11" s="1262">
        <v>35660</v>
      </c>
      <c r="Y11" s="1262">
        <v>10240000</v>
      </c>
      <c r="Z11" s="1262">
        <v>4620</v>
      </c>
      <c r="AA11" s="1262">
        <v>1067</v>
      </c>
      <c r="AB11" s="1262" t="s">
        <v>1221</v>
      </c>
      <c r="AC11" s="1262">
        <v>18.600000000000001</v>
      </c>
      <c r="AD11" s="1262">
        <v>56.2</v>
      </c>
      <c r="AE11" s="1262">
        <v>228</v>
      </c>
      <c r="AF11" s="1262">
        <v>769</v>
      </c>
      <c r="AG11" s="1262">
        <v>220</v>
      </c>
      <c r="AH11" s="1262">
        <v>228</v>
      </c>
      <c r="AI11" s="1262">
        <v>3394</v>
      </c>
      <c r="AJ11" s="1262">
        <v>174</v>
      </c>
      <c r="AK11" s="1262">
        <v>1000000</v>
      </c>
      <c r="AL11" s="1262">
        <v>358</v>
      </c>
      <c r="AM11" s="1262">
        <v>205</v>
      </c>
      <c r="AN11" s="1262">
        <v>205</v>
      </c>
      <c r="AO11" s="1262">
        <v>26062</v>
      </c>
      <c r="AP11" s="1262">
        <v>402</v>
      </c>
      <c r="AQ11" s="1262">
        <v>157450</v>
      </c>
      <c r="AR11" s="1262">
        <v>727</v>
      </c>
      <c r="AS11" s="1262">
        <v>25.2</v>
      </c>
      <c r="AT11" s="1262" t="s">
        <v>1222</v>
      </c>
      <c r="AU11" s="1262">
        <v>80</v>
      </c>
      <c r="AV11" s="1262">
        <v>8151</v>
      </c>
      <c r="AW11" s="1262" t="s">
        <v>1222</v>
      </c>
      <c r="AX11" s="1262">
        <v>217</v>
      </c>
      <c r="AY11" s="1262">
        <v>998</v>
      </c>
      <c r="AZ11" s="1262">
        <v>41182</v>
      </c>
      <c r="BA11" s="1262">
        <v>3104</v>
      </c>
      <c r="BB11" s="1262">
        <v>1</v>
      </c>
      <c r="BC11" s="1262" t="s">
        <v>1222</v>
      </c>
      <c r="BD11" s="1262">
        <v>769</v>
      </c>
      <c r="BE11" s="1262">
        <v>26062</v>
      </c>
      <c r="BF11" s="1262">
        <v>8151</v>
      </c>
      <c r="BG11" s="1262">
        <v>1073</v>
      </c>
      <c r="BH11" s="1262">
        <v>72</v>
      </c>
      <c r="BI11" s="1262">
        <v>200</v>
      </c>
      <c r="BJ11" s="1262">
        <v>100000</v>
      </c>
      <c r="BK11" s="1262">
        <v>301</v>
      </c>
      <c r="BL11" s="1262">
        <v>364</v>
      </c>
      <c r="BM11" s="1262">
        <v>2252</v>
      </c>
      <c r="BN11" s="1262">
        <v>28700</v>
      </c>
      <c r="BO11" s="1262">
        <v>21</v>
      </c>
      <c r="BP11" s="1262">
        <v>66</v>
      </c>
      <c r="BQ11" s="1262">
        <v>205</v>
      </c>
      <c r="BR11" s="1262">
        <v>727</v>
      </c>
      <c r="BS11" s="1262">
        <v>1</v>
      </c>
      <c r="BT11" s="1262">
        <v>889</v>
      </c>
      <c r="BU11" s="1262">
        <v>39.5</v>
      </c>
      <c r="BV11" s="1262">
        <v>30</v>
      </c>
      <c r="BW11" s="1262">
        <v>18.600000000000001</v>
      </c>
      <c r="BX11" s="1262">
        <v>2252</v>
      </c>
      <c r="BY11" s="1262">
        <v>139404</v>
      </c>
      <c r="BZ11" s="1262">
        <v>64300</v>
      </c>
      <c r="CA11" s="1262">
        <v>54</v>
      </c>
      <c r="CB11" s="1262">
        <v>56.2</v>
      </c>
      <c r="CC11" s="1262">
        <v>4.5228787452803401</v>
      </c>
      <c r="CD11" s="1262">
        <v>220</v>
      </c>
      <c r="CE11" s="1272"/>
      <c r="CF11" s="1272"/>
      <c r="CG11" s="1272"/>
      <c r="CH11" s="1272"/>
      <c r="CI11" s="1272"/>
      <c r="CJ11" s="378"/>
      <c r="CK11" s="378"/>
      <c r="CL11" s="378"/>
      <c r="CM11" s="378"/>
      <c r="CN11" s="378"/>
      <c r="CO11" s="378"/>
      <c r="CP11" s="378"/>
      <c r="CQ11" s="378"/>
      <c r="CR11" s="378"/>
      <c r="CS11" s="378"/>
    </row>
    <row r="12" spans="1:97" ht="19.5" x14ac:dyDescent="0.35">
      <c r="A12" s="1287" t="s">
        <v>490</v>
      </c>
      <c r="B12" s="1261">
        <v>10</v>
      </c>
      <c r="C12" s="1261">
        <v>30</v>
      </c>
      <c r="D12" s="1261">
        <v>3</v>
      </c>
      <c r="E12" s="1261">
        <v>50</v>
      </c>
      <c r="F12" s="1261">
        <v>48</v>
      </c>
      <c r="G12" s="1261">
        <v>142</v>
      </c>
      <c r="H12" s="1261">
        <v>78</v>
      </c>
      <c r="I12" s="1261">
        <v>130</v>
      </c>
      <c r="J12" s="1261">
        <v>597</v>
      </c>
      <c r="K12" s="1261">
        <v>25</v>
      </c>
      <c r="L12" s="1261">
        <v>75</v>
      </c>
      <c r="M12" s="1261">
        <v>13</v>
      </c>
      <c r="N12" s="1261">
        <v>8</v>
      </c>
      <c r="O12" s="1261">
        <v>60</v>
      </c>
      <c r="P12" s="1261">
        <v>40</v>
      </c>
      <c r="Q12" s="1261">
        <v>4</v>
      </c>
      <c r="R12" s="1261">
        <v>32</v>
      </c>
      <c r="S12" s="1261">
        <v>191</v>
      </c>
      <c r="T12" s="1261">
        <v>8.5</v>
      </c>
      <c r="U12" s="1261">
        <v>12</v>
      </c>
      <c r="V12" s="1261">
        <v>16.3</v>
      </c>
      <c r="W12" s="1261">
        <v>22</v>
      </c>
      <c r="X12" s="1261">
        <v>34</v>
      </c>
      <c r="Y12" s="1261">
        <v>13</v>
      </c>
      <c r="Z12" s="1261">
        <v>3</v>
      </c>
      <c r="AA12" s="1261">
        <v>75.5</v>
      </c>
      <c r="AB12" s="1261">
        <v>15</v>
      </c>
      <c r="AC12" s="1261">
        <v>50</v>
      </c>
      <c r="AD12" s="1261">
        <v>50</v>
      </c>
      <c r="AE12" s="1261">
        <v>86</v>
      </c>
      <c r="AF12" s="1261">
        <v>62</v>
      </c>
      <c r="AG12" s="1261">
        <v>11</v>
      </c>
      <c r="AH12" s="1261">
        <v>86</v>
      </c>
      <c r="AI12" s="1261">
        <v>1</v>
      </c>
      <c r="AJ12" s="1261">
        <v>75</v>
      </c>
      <c r="AK12" s="1261">
        <v>3000</v>
      </c>
      <c r="AL12" s="1261">
        <v>44</v>
      </c>
      <c r="AM12" s="1261">
        <v>1358</v>
      </c>
      <c r="AN12" s="1261">
        <v>1358</v>
      </c>
      <c r="AO12" s="1261">
        <v>92</v>
      </c>
      <c r="AP12" s="1261">
        <v>146</v>
      </c>
      <c r="AQ12" s="1261">
        <v>25</v>
      </c>
      <c r="AR12" s="1261">
        <v>142</v>
      </c>
      <c r="AS12" s="1261">
        <v>7</v>
      </c>
      <c r="AT12" s="1261">
        <v>7</v>
      </c>
      <c r="AU12" s="1261">
        <v>400</v>
      </c>
      <c r="AV12" s="1261">
        <v>50</v>
      </c>
      <c r="AW12" s="1261">
        <v>7</v>
      </c>
      <c r="AX12" s="1261">
        <v>0.17</v>
      </c>
      <c r="AY12" s="1261">
        <v>0.1</v>
      </c>
      <c r="AZ12" s="1261">
        <v>16.3</v>
      </c>
      <c r="BA12" s="1261">
        <v>26</v>
      </c>
      <c r="BB12" s="1261">
        <v>3.5</v>
      </c>
      <c r="BC12" s="1261">
        <v>7</v>
      </c>
      <c r="BD12" s="1261">
        <v>62</v>
      </c>
      <c r="BE12" s="1261">
        <v>92</v>
      </c>
      <c r="BF12" s="1261">
        <v>50</v>
      </c>
      <c r="BG12" s="1261">
        <v>354</v>
      </c>
      <c r="BH12" s="1261">
        <v>7</v>
      </c>
      <c r="BI12" s="1261">
        <v>0.8</v>
      </c>
      <c r="BJ12" s="1261">
        <v>13</v>
      </c>
      <c r="BK12" s="1261">
        <v>597</v>
      </c>
      <c r="BL12" s="1261">
        <v>142</v>
      </c>
      <c r="BM12" s="1261">
        <v>214</v>
      </c>
      <c r="BN12" s="1261">
        <v>12</v>
      </c>
      <c r="BO12" s="1261">
        <v>26</v>
      </c>
      <c r="BP12" s="1261">
        <v>30</v>
      </c>
      <c r="BQ12" s="1261">
        <v>1358</v>
      </c>
      <c r="BR12" s="1261">
        <v>142</v>
      </c>
      <c r="BS12" s="1261">
        <v>3.5</v>
      </c>
      <c r="BT12" s="1261">
        <v>20</v>
      </c>
      <c r="BU12" s="1261">
        <v>10</v>
      </c>
      <c r="BV12" s="1261">
        <v>10</v>
      </c>
      <c r="BW12" s="1261">
        <v>50</v>
      </c>
      <c r="BX12" s="1261">
        <v>214</v>
      </c>
      <c r="BY12" s="1261">
        <v>365</v>
      </c>
      <c r="BZ12" s="1261">
        <v>13</v>
      </c>
      <c r="CA12" s="1261">
        <v>105</v>
      </c>
      <c r="CB12" s="1261">
        <v>50</v>
      </c>
      <c r="CC12" s="1261">
        <v>30</v>
      </c>
      <c r="CD12" s="1261">
        <v>11</v>
      </c>
      <c r="CE12" s="1272"/>
      <c r="CF12" s="1272"/>
      <c r="CG12" s="1272"/>
      <c r="CH12" s="1272"/>
      <c r="CI12" s="1272"/>
      <c r="CJ12" s="378"/>
      <c r="CK12" s="378"/>
      <c r="CL12" s="378"/>
      <c r="CM12" s="378"/>
      <c r="CN12" s="378"/>
      <c r="CO12" s="378"/>
      <c r="CP12" s="378"/>
      <c r="CQ12" s="378"/>
      <c r="CR12" s="378"/>
      <c r="CS12" s="378"/>
    </row>
    <row r="13" spans="1:97" ht="15.75" x14ac:dyDescent="0.25">
      <c r="A13" s="1288"/>
      <c r="B13" s="1289"/>
      <c r="C13" s="1290"/>
      <c r="D13" s="1290"/>
      <c r="E13" s="1290"/>
      <c r="F13" s="1290"/>
      <c r="G13" s="1290"/>
      <c r="H13" s="1290"/>
      <c r="I13" s="1291"/>
      <c r="J13" s="1291"/>
      <c r="K13" s="1290"/>
      <c r="L13" s="1290"/>
      <c r="M13" s="1290"/>
      <c r="N13" s="1291"/>
      <c r="O13" s="1291"/>
      <c r="P13" s="1290"/>
      <c r="Q13" s="1290"/>
      <c r="R13" s="1290"/>
      <c r="S13" s="1290"/>
      <c r="T13" s="1290"/>
      <c r="U13" s="1290"/>
      <c r="V13" s="1290"/>
      <c r="W13" s="1290"/>
      <c r="X13" s="1291"/>
      <c r="Y13" s="1291"/>
      <c r="Z13" s="1290"/>
      <c r="AA13" s="1290"/>
      <c r="AB13" s="1290"/>
      <c r="AC13" s="1290"/>
      <c r="AD13" s="1291"/>
      <c r="AE13" s="1290"/>
      <c r="AF13" s="1290"/>
      <c r="AG13" s="1290"/>
      <c r="AH13" s="1290"/>
      <c r="AI13" s="1290"/>
      <c r="AJ13" s="1290"/>
      <c r="AK13" s="1291"/>
      <c r="AL13" s="1290"/>
      <c r="AM13" s="1290"/>
      <c r="AN13" s="1290"/>
      <c r="AO13" s="1291"/>
      <c r="AP13" s="1290"/>
      <c r="AQ13" s="1290"/>
      <c r="AR13" s="1290"/>
      <c r="AS13" s="1290"/>
      <c r="AT13" s="1290"/>
      <c r="AU13" s="1290"/>
      <c r="AV13" s="1290"/>
      <c r="AW13" s="1290"/>
      <c r="AX13" s="1290"/>
      <c r="AY13" s="1291"/>
      <c r="AZ13" s="1290"/>
      <c r="BA13" s="1290"/>
      <c r="BB13" s="1290"/>
      <c r="BC13" s="1290"/>
      <c r="BD13" s="1290"/>
      <c r="BE13" s="1291"/>
      <c r="BF13" s="1291"/>
      <c r="BG13" s="1290"/>
      <c r="BH13" s="1292"/>
      <c r="BI13" s="1292"/>
      <c r="BJ13" s="1290"/>
      <c r="BK13" s="1290"/>
      <c r="BL13" s="1290"/>
      <c r="BM13" s="1291"/>
      <c r="BN13" s="1290"/>
      <c r="BO13" s="1290"/>
      <c r="BP13" s="1291"/>
      <c r="BQ13" s="1290"/>
      <c r="BR13" s="1290"/>
      <c r="BS13" s="1290"/>
      <c r="BT13" s="1290"/>
      <c r="BU13" s="1290"/>
      <c r="BV13" s="1290"/>
      <c r="BW13" s="1290"/>
      <c r="BX13" s="1290"/>
      <c r="BY13" s="1290"/>
      <c r="BZ13" s="1291"/>
      <c r="CA13" s="1290"/>
      <c r="CB13" s="1290"/>
      <c r="CC13" s="1290"/>
      <c r="CD13" s="1291"/>
      <c r="CE13" s="1272"/>
      <c r="CF13" s="1272"/>
      <c r="CG13" s="1272"/>
      <c r="CH13" s="1272"/>
      <c r="CI13" s="1272"/>
      <c r="CJ13" s="378"/>
      <c r="CK13" s="378"/>
      <c r="CL13" s="378"/>
      <c r="CM13" s="378"/>
      <c r="CN13" s="378"/>
      <c r="CO13" s="378"/>
      <c r="CP13" s="378"/>
      <c r="CQ13" s="378"/>
      <c r="CR13" s="378"/>
      <c r="CS13" s="378"/>
    </row>
    <row r="14" spans="1:97" ht="15.75" x14ac:dyDescent="0.25">
      <c r="A14" s="1293"/>
      <c r="B14" s="1294"/>
      <c r="C14" s="1295"/>
      <c r="D14" s="1295"/>
      <c r="E14" s="1295"/>
      <c r="F14" s="1295"/>
      <c r="G14" s="1295"/>
      <c r="H14" s="1295"/>
      <c r="I14" s="1296"/>
      <c r="J14" s="1296"/>
      <c r="K14" s="1295"/>
      <c r="L14" s="1295"/>
      <c r="M14" s="1295"/>
      <c r="N14" s="1296"/>
      <c r="O14" s="1296"/>
      <c r="P14" s="1295"/>
      <c r="Q14" s="1295"/>
      <c r="R14" s="1295"/>
      <c r="S14" s="1295"/>
      <c r="T14" s="1295"/>
      <c r="U14" s="1295"/>
      <c r="V14" s="1295"/>
      <c r="W14" s="1295"/>
      <c r="X14" s="1296"/>
      <c r="Y14" s="1296"/>
      <c r="Z14" s="1295"/>
      <c r="AA14" s="1295"/>
      <c r="AB14" s="1295"/>
      <c r="AC14" s="1295"/>
      <c r="AD14" s="1296"/>
      <c r="AE14" s="1295"/>
      <c r="AF14" s="1295"/>
      <c r="AG14" s="1295"/>
      <c r="AH14" s="1295"/>
      <c r="AI14" s="1295"/>
      <c r="AJ14" s="1295"/>
      <c r="AK14" s="1296"/>
      <c r="AL14" s="1295"/>
      <c r="AM14" s="1295"/>
      <c r="AN14" s="1295"/>
      <c r="AO14" s="1296"/>
      <c r="AP14" s="1295"/>
      <c r="AQ14" s="1295"/>
      <c r="AR14" s="1295"/>
      <c r="AS14" s="1295"/>
      <c r="AT14" s="1295"/>
      <c r="AU14" s="1295"/>
      <c r="AV14" s="1295"/>
      <c r="AW14" s="1295"/>
      <c r="AX14" s="1295"/>
      <c r="AY14" s="1296"/>
      <c r="AZ14" s="1295"/>
      <c r="BA14" s="1295"/>
      <c r="BB14" s="1295"/>
      <c r="BC14" s="1295"/>
      <c r="BD14" s="1295"/>
      <c r="BE14" s="1296"/>
      <c r="BF14" s="1296"/>
      <c r="BG14" s="1295"/>
      <c r="BH14" s="1297"/>
      <c r="BI14" s="1297"/>
      <c r="BJ14" s="1295"/>
      <c r="BK14" s="1295"/>
      <c r="BL14" s="1295"/>
      <c r="BM14" s="1296"/>
      <c r="BN14" s="1295"/>
      <c r="BO14" s="1295"/>
      <c r="BP14" s="1296"/>
      <c r="BQ14" s="1295"/>
      <c r="BR14" s="1295"/>
      <c r="BS14" s="1295"/>
      <c r="BT14" s="1295"/>
      <c r="BU14" s="1295"/>
      <c r="BV14" s="1295"/>
      <c r="BW14" s="1295"/>
      <c r="BX14" s="1295"/>
      <c r="BY14" s="1295"/>
      <c r="BZ14" s="1296"/>
      <c r="CA14" s="1295"/>
      <c r="CB14" s="1295"/>
      <c r="CC14" s="1295"/>
      <c r="CD14" s="1296"/>
      <c r="CE14" s="1272"/>
      <c r="CF14" s="1272"/>
      <c r="CG14" s="1272"/>
      <c r="CH14" s="1272"/>
      <c r="CI14" s="1272"/>
      <c r="CJ14" s="378"/>
      <c r="CK14" s="378"/>
      <c r="CL14" s="378"/>
      <c r="CM14" s="378"/>
      <c r="CN14" s="378"/>
      <c r="CO14" s="378"/>
      <c r="CP14" s="378"/>
      <c r="CQ14" s="378"/>
      <c r="CR14" s="378"/>
      <c r="CS14" s="378"/>
    </row>
    <row r="15" spans="1:97" s="1301" customFormat="1" ht="18.75" x14ac:dyDescent="0.3">
      <c r="A15" s="1298" t="s">
        <v>1223</v>
      </c>
      <c r="B15" s="1299">
        <v>1.62</v>
      </c>
      <c r="C15" s="1299">
        <v>0.26</v>
      </c>
      <c r="D15" s="1299">
        <v>1.1399999999999999</v>
      </c>
      <c r="E15" s="1299">
        <v>3.82</v>
      </c>
      <c r="F15" s="1299">
        <v>2.0299999999999998</v>
      </c>
      <c r="G15" s="1299">
        <v>3.1</v>
      </c>
      <c r="H15" s="1299">
        <v>2.6</v>
      </c>
      <c r="I15" s="1299" t="s">
        <v>1224</v>
      </c>
      <c r="J15" s="1299" t="s">
        <v>1225</v>
      </c>
      <c r="K15" s="1299">
        <v>3.04</v>
      </c>
      <c r="L15" s="1299">
        <v>3.3</v>
      </c>
      <c r="M15" s="1299">
        <v>2.2999999999999998</v>
      </c>
      <c r="N15" s="1299">
        <v>3.98</v>
      </c>
      <c r="O15" s="1299" t="s">
        <v>1226</v>
      </c>
      <c r="P15" s="1299">
        <v>3.16</v>
      </c>
      <c r="Q15" s="1299">
        <v>0</v>
      </c>
      <c r="R15" s="1299">
        <v>0.05</v>
      </c>
      <c r="S15" s="1299">
        <v>3.76</v>
      </c>
      <c r="T15" s="1299">
        <v>1.31</v>
      </c>
      <c r="U15" s="1299">
        <v>-0.49</v>
      </c>
      <c r="V15" s="1299">
        <v>-0.75</v>
      </c>
      <c r="W15" s="1300">
        <v>1.4371723157801364</v>
      </c>
      <c r="X15" s="1299" t="s">
        <v>1227</v>
      </c>
      <c r="Y15" s="1299">
        <v>-3.35</v>
      </c>
      <c r="Z15" s="1299">
        <v>0.16</v>
      </c>
      <c r="AA15" s="1299">
        <v>1.83</v>
      </c>
      <c r="AB15" s="1299">
        <v>1.94</v>
      </c>
      <c r="AC15" s="1299">
        <v>4.6399999999999997</v>
      </c>
      <c r="AD15" s="1299" t="s">
        <v>1228</v>
      </c>
      <c r="AE15" s="1299">
        <v>3.18</v>
      </c>
      <c r="AF15" s="1299">
        <v>2</v>
      </c>
      <c r="AG15" s="1299">
        <v>1.73</v>
      </c>
      <c r="AH15" s="1299">
        <v>3.18</v>
      </c>
      <c r="AI15" s="1299">
        <v>0</v>
      </c>
      <c r="AJ15" s="1299">
        <v>3.3</v>
      </c>
      <c r="AK15" s="1299" t="s">
        <v>1229</v>
      </c>
      <c r="AL15" s="1299">
        <v>2.38</v>
      </c>
      <c r="AM15" s="1299">
        <v>5.29</v>
      </c>
      <c r="AN15" s="1299">
        <v>5.29</v>
      </c>
      <c r="AO15" s="1299" t="s">
        <v>1230</v>
      </c>
      <c r="AP15" s="1299">
        <v>3.02</v>
      </c>
      <c r="AQ15" s="1299">
        <v>-1.67</v>
      </c>
      <c r="AR15" s="1299">
        <v>2.4500000000000002</v>
      </c>
      <c r="AS15" s="1299">
        <v>2.2000000000000002</v>
      </c>
      <c r="AT15" s="1299">
        <v>2.2000000000000002</v>
      </c>
      <c r="AU15" s="1299">
        <v>5.46</v>
      </c>
      <c r="AV15" s="1299">
        <v>0.15</v>
      </c>
      <c r="AW15" s="1299">
        <v>2.2000000000000002</v>
      </c>
      <c r="AX15" s="1299">
        <v>0</v>
      </c>
      <c r="AY15" s="1299" t="s">
        <v>1231</v>
      </c>
      <c r="AZ15" s="1299">
        <v>-0.75</v>
      </c>
      <c r="BA15" s="1299">
        <v>0.72</v>
      </c>
      <c r="BB15" s="1299">
        <v>2.1800000000000002</v>
      </c>
      <c r="BC15" s="1299">
        <v>2.2000000000000002</v>
      </c>
      <c r="BD15" s="1299">
        <v>2</v>
      </c>
      <c r="BE15" s="1299" t="s">
        <v>1230</v>
      </c>
      <c r="BF15" s="1299" t="s">
        <v>1232</v>
      </c>
      <c r="BG15" s="1299">
        <v>2.4700000000000002</v>
      </c>
      <c r="BH15" s="1299"/>
      <c r="BI15" s="1299">
        <v>0</v>
      </c>
      <c r="BJ15" s="1299">
        <v>-1.1100000000000001</v>
      </c>
      <c r="BK15" s="1299">
        <v>4.22</v>
      </c>
      <c r="BL15" s="1299">
        <v>3.1</v>
      </c>
      <c r="BM15" s="1299">
        <v>214</v>
      </c>
      <c r="BN15" s="1299">
        <v>-0.49</v>
      </c>
      <c r="BO15" s="1299">
        <v>3.79</v>
      </c>
      <c r="BP15" s="1299" t="s">
        <v>1233</v>
      </c>
      <c r="BQ15" s="1299">
        <v>5.29</v>
      </c>
      <c r="BR15" s="1299">
        <v>2.4500000000000002</v>
      </c>
      <c r="BS15" s="1299">
        <v>2.1800000000000002</v>
      </c>
      <c r="BT15" s="1299">
        <v>1.37</v>
      </c>
      <c r="BU15" s="1299">
        <v>2.4</v>
      </c>
      <c r="BV15" s="1299">
        <v>2.52</v>
      </c>
      <c r="BW15" s="1299">
        <v>4.6399999999999997</v>
      </c>
      <c r="BX15" s="1299">
        <v>1.51</v>
      </c>
      <c r="BY15" s="1299">
        <v>-2.93</v>
      </c>
      <c r="BZ15" s="1299" t="s">
        <v>1234</v>
      </c>
      <c r="CA15" s="1299">
        <v>4.58</v>
      </c>
      <c r="CB15" s="1299">
        <v>3.82</v>
      </c>
      <c r="CC15" s="1299">
        <v>0.26</v>
      </c>
      <c r="CD15" s="1299" t="s">
        <v>1235</v>
      </c>
      <c r="CE15" s="1272"/>
      <c r="CF15" s="1272"/>
      <c r="CG15" s="1272"/>
      <c r="CH15" s="1272"/>
      <c r="CI15" s="1272"/>
      <c r="CJ15" s="876"/>
      <c r="CK15" s="876"/>
      <c r="CL15" s="876"/>
      <c r="CM15" s="876"/>
      <c r="CN15" s="876"/>
      <c r="CO15" s="876"/>
      <c r="CP15" s="876"/>
      <c r="CQ15" s="876"/>
      <c r="CR15" s="876"/>
      <c r="CS15" s="876"/>
    </row>
    <row r="16" spans="1:97" ht="15.75" x14ac:dyDescent="0.25">
      <c r="A16" s="378"/>
      <c r="B16" s="378"/>
      <c r="C16" s="378"/>
      <c r="D16" s="378"/>
      <c r="E16" s="378"/>
      <c r="F16" s="378"/>
      <c r="G16" s="378"/>
      <c r="H16" s="378"/>
      <c r="I16" s="1272"/>
      <c r="J16" s="1272"/>
      <c r="K16" s="378"/>
      <c r="L16" s="378"/>
      <c r="M16" s="378"/>
      <c r="N16" s="1272"/>
      <c r="O16" s="1272"/>
      <c r="P16" s="378"/>
      <c r="Q16" s="378"/>
      <c r="R16" s="378"/>
      <c r="S16" s="378"/>
      <c r="T16" s="378"/>
      <c r="U16" s="378"/>
      <c r="V16" s="378"/>
      <c r="W16" s="378"/>
      <c r="X16" s="1272"/>
      <c r="Y16" s="1272"/>
      <c r="Z16" s="378"/>
      <c r="AA16" s="378"/>
      <c r="AB16" s="378"/>
      <c r="AC16" s="378"/>
      <c r="AD16" s="1272"/>
      <c r="AE16" s="378"/>
      <c r="AF16" s="378"/>
      <c r="AG16" s="378"/>
      <c r="AH16" s="378"/>
      <c r="AI16" s="378"/>
      <c r="AJ16" s="378"/>
      <c r="AK16" s="1272"/>
      <c r="AL16" s="378"/>
      <c r="AM16" s="378"/>
      <c r="AN16" s="378"/>
      <c r="AO16" s="1272"/>
      <c r="AP16" s="378"/>
      <c r="AQ16" s="378"/>
      <c r="AR16" s="378"/>
      <c r="AS16" s="378"/>
      <c r="AT16" s="378"/>
      <c r="AU16" s="378"/>
      <c r="AV16" s="378"/>
      <c r="AW16" s="378"/>
      <c r="AX16" s="378"/>
      <c r="AY16" s="1272"/>
      <c r="AZ16" s="378"/>
      <c r="BA16" s="378"/>
      <c r="BB16" s="378"/>
      <c r="BC16" s="378"/>
      <c r="BD16" s="378"/>
      <c r="BE16" s="1272"/>
      <c r="BF16" s="1272"/>
      <c r="BG16" s="378"/>
      <c r="BH16" s="1272"/>
      <c r="BI16" s="1272"/>
      <c r="BJ16" s="378"/>
      <c r="BK16" s="378"/>
      <c r="BL16" s="378"/>
      <c r="BM16" s="1272"/>
      <c r="BN16" s="378"/>
      <c r="BO16" s="378"/>
      <c r="BP16" s="1272"/>
      <c r="BQ16" s="378"/>
      <c r="BR16" s="378"/>
      <c r="BS16" s="378"/>
      <c r="BT16" s="378"/>
      <c r="BU16" s="378"/>
      <c r="BV16" s="378"/>
      <c r="BW16" s="378"/>
      <c r="BX16" s="378"/>
      <c r="BY16" s="378"/>
      <c r="BZ16" s="1272"/>
      <c r="CA16" s="378"/>
      <c r="CB16" s="378"/>
      <c r="CC16" s="378"/>
      <c r="CD16" s="1272"/>
      <c r="CE16" s="1272"/>
      <c r="CF16" s="1272"/>
      <c r="CG16" s="1272"/>
      <c r="CH16" s="1272"/>
      <c r="CI16" s="1272"/>
      <c r="CJ16" s="378"/>
      <c r="CK16" s="378"/>
      <c r="CL16" s="378"/>
      <c r="CM16" s="378"/>
      <c r="CN16" s="378"/>
      <c r="CO16" s="378"/>
      <c r="CP16" s="378"/>
      <c r="CQ16" s="378"/>
      <c r="CR16" s="378"/>
      <c r="CS16" s="378"/>
    </row>
    <row r="17" spans="1:98" x14ac:dyDescent="0.25">
      <c r="A17" s="378"/>
      <c r="B17" s="378"/>
      <c r="C17" s="378"/>
      <c r="D17" s="378"/>
      <c r="E17" s="378"/>
      <c r="F17" s="378"/>
      <c r="G17" s="378"/>
      <c r="H17" s="378"/>
      <c r="I17" s="378"/>
      <c r="J17" s="378"/>
      <c r="K17" s="378"/>
      <c r="L17" s="378"/>
      <c r="M17" s="378"/>
      <c r="N17" s="378"/>
      <c r="O17" s="378"/>
      <c r="P17" s="378"/>
      <c r="Q17" s="378"/>
      <c r="R17" s="378"/>
      <c r="S17" s="378"/>
      <c r="T17" s="378"/>
      <c r="U17" s="378"/>
      <c r="V17" s="378"/>
      <c r="W17" s="378"/>
      <c r="X17" s="378"/>
      <c r="Y17" s="378"/>
      <c r="Z17" s="378"/>
      <c r="AA17" s="378"/>
      <c r="AB17" s="378"/>
      <c r="AC17" s="378"/>
      <c r="AD17" s="378"/>
      <c r="AE17" s="378"/>
      <c r="AF17" s="378"/>
      <c r="AG17" s="378"/>
      <c r="AH17" s="378"/>
      <c r="AI17" s="378"/>
      <c r="AJ17" s="378"/>
      <c r="AK17" s="378"/>
      <c r="AL17" s="378"/>
      <c r="AM17" s="378"/>
      <c r="AN17" s="378"/>
      <c r="AO17" s="378"/>
      <c r="AP17" s="378"/>
      <c r="AQ17" s="378"/>
      <c r="AR17" s="378"/>
      <c r="AS17" s="378"/>
      <c r="AT17" s="378"/>
      <c r="AU17" s="378"/>
      <c r="AV17" s="378"/>
      <c r="AW17" s="378"/>
      <c r="AX17" s="378"/>
      <c r="AY17" s="378"/>
      <c r="AZ17" s="378"/>
      <c r="BA17" s="378"/>
      <c r="BB17" s="378"/>
      <c r="BC17" s="378"/>
      <c r="BD17" s="378"/>
      <c r="BE17" s="378"/>
      <c r="BF17" s="378"/>
      <c r="BG17" s="378"/>
      <c r="BH17" s="378"/>
      <c r="BI17" s="378"/>
      <c r="BJ17" s="378"/>
      <c r="BK17" s="378"/>
      <c r="BL17" s="378"/>
      <c r="BM17" s="378"/>
      <c r="BN17" s="378"/>
      <c r="BO17" s="378"/>
      <c r="BP17" s="378"/>
      <c r="BQ17" s="378"/>
      <c r="BR17" s="378"/>
      <c r="BS17" s="378"/>
      <c r="BT17" s="378"/>
      <c r="BU17" s="378"/>
      <c r="BV17" s="378"/>
      <c r="BW17" s="378"/>
      <c r="BX17" s="378"/>
      <c r="BY17" s="378"/>
      <c r="BZ17" s="378"/>
      <c r="CA17" s="378"/>
      <c r="CB17" s="378"/>
      <c r="CC17" s="378"/>
      <c r="CD17" s="378"/>
      <c r="CE17" s="378"/>
      <c r="CF17" s="378"/>
      <c r="CG17" s="378"/>
      <c r="CH17" s="378"/>
      <c r="CI17" s="378"/>
      <c r="CJ17" s="378"/>
      <c r="CK17" s="378"/>
      <c r="CL17" s="378"/>
      <c r="CM17" s="378"/>
      <c r="CN17" s="378"/>
      <c r="CO17" s="378"/>
      <c r="CP17" s="378"/>
      <c r="CQ17" s="378"/>
      <c r="CR17" s="378"/>
      <c r="CS17" s="378"/>
    </row>
    <row r="18" spans="1:98" x14ac:dyDescent="0.25">
      <c r="A18" s="378"/>
      <c r="B18" s="378"/>
      <c r="C18" s="378"/>
      <c r="D18" s="378"/>
      <c r="E18" s="378"/>
      <c r="F18" s="378"/>
      <c r="G18" s="378"/>
      <c r="H18" s="378"/>
      <c r="I18" s="378"/>
      <c r="J18" s="378"/>
      <c r="K18" s="378"/>
      <c r="L18" s="378"/>
      <c r="M18" s="378"/>
      <c r="N18" s="378"/>
      <c r="O18" s="378"/>
      <c r="P18" s="378"/>
      <c r="Q18" s="378"/>
      <c r="R18" s="378"/>
      <c r="S18" s="378"/>
      <c r="T18" s="378"/>
      <c r="U18" s="378"/>
      <c r="V18" s="378"/>
      <c r="W18" s="378"/>
      <c r="X18" s="378"/>
      <c r="Y18" s="378"/>
      <c r="Z18" s="378"/>
      <c r="AA18" s="378"/>
      <c r="AB18" s="378"/>
      <c r="AC18" s="378"/>
      <c r="AD18" s="378"/>
      <c r="AE18" s="378"/>
      <c r="AF18" s="378"/>
      <c r="AG18" s="378"/>
      <c r="AH18" s="378"/>
      <c r="AI18" s="378"/>
      <c r="AJ18" s="378"/>
      <c r="AK18" s="378"/>
      <c r="AL18" s="378"/>
      <c r="AM18" s="378"/>
      <c r="AN18" s="378"/>
      <c r="AO18" s="378"/>
      <c r="AP18" s="378"/>
      <c r="AQ18" s="378"/>
      <c r="AR18" s="378"/>
      <c r="AS18" s="378"/>
      <c r="AT18" s="378"/>
      <c r="AU18" s="378"/>
      <c r="AV18" s="378"/>
      <c r="AW18" s="378"/>
      <c r="AX18" s="378"/>
      <c r="AY18" s="378"/>
      <c r="AZ18" s="378"/>
      <c r="BA18" s="378"/>
      <c r="BB18" s="378"/>
      <c r="BC18" s="378"/>
      <c r="BD18" s="378"/>
      <c r="BE18" s="378"/>
      <c r="BF18" s="378"/>
      <c r="BG18" s="378"/>
      <c r="BH18" s="378"/>
      <c r="BI18" s="378"/>
      <c r="BJ18" s="378"/>
      <c r="BK18" s="378"/>
      <c r="BL18" s="378"/>
      <c r="BM18" s="378"/>
      <c r="BN18" s="378"/>
      <c r="BO18" s="378"/>
      <c r="BP18" s="378"/>
      <c r="BQ18" s="378"/>
      <c r="BR18" s="378"/>
      <c r="BS18" s="378"/>
      <c r="BT18" s="378"/>
      <c r="BU18" s="378"/>
      <c r="BV18" s="378"/>
      <c r="BW18" s="378"/>
      <c r="BX18" s="378"/>
      <c r="BY18" s="378"/>
      <c r="BZ18" s="378"/>
      <c r="CA18" s="378"/>
      <c r="CB18" s="378"/>
      <c r="CC18" s="378"/>
      <c r="CD18" s="378"/>
      <c r="CE18" s="378"/>
      <c r="CF18" s="378"/>
      <c r="CG18" s="378"/>
      <c r="CH18" s="378"/>
      <c r="CI18" s="378"/>
      <c r="CJ18" s="378"/>
      <c r="CK18" s="378"/>
      <c r="CL18" s="378"/>
      <c r="CM18" s="378"/>
      <c r="CN18" s="378"/>
      <c r="CO18" s="378"/>
      <c r="CP18" s="378"/>
      <c r="CQ18" s="378"/>
      <c r="CR18" s="378"/>
      <c r="CS18" s="378"/>
    </row>
    <row r="19" spans="1:98" x14ac:dyDescent="0.25">
      <c r="A19" s="378"/>
      <c r="B19" s="1302"/>
      <c r="C19" s="378"/>
      <c r="D19" s="378"/>
      <c r="E19" s="378"/>
      <c r="F19" s="378"/>
      <c r="G19" s="378"/>
      <c r="H19" s="378"/>
      <c r="I19" s="378"/>
      <c r="J19" s="378"/>
      <c r="K19" s="378"/>
      <c r="L19" s="378"/>
      <c r="M19" s="378"/>
      <c r="N19" s="378"/>
      <c r="O19" s="378"/>
      <c r="P19" s="378"/>
      <c r="Q19" s="378"/>
      <c r="R19" s="378"/>
      <c r="S19" s="378"/>
      <c r="T19" s="378"/>
      <c r="U19" s="378"/>
      <c r="V19" s="378"/>
      <c r="W19" s="378"/>
      <c r="X19" s="378"/>
      <c r="Y19" s="378"/>
      <c r="Z19" s="378"/>
      <c r="AA19" s="378"/>
      <c r="AB19" s="378"/>
      <c r="AC19" s="378"/>
      <c r="AD19" s="378"/>
      <c r="AE19" s="378"/>
      <c r="AF19" s="378"/>
      <c r="AG19" s="378"/>
      <c r="AH19" s="378"/>
      <c r="AI19" s="378"/>
      <c r="AJ19" s="378"/>
      <c r="AK19" s="378"/>
      <c r="AL19" s="378"/>
      <c r="AM19" s="378"/>
      <c r="AN19" s="378"/>
      <c r="AO19" s="378"/>
      <c r="AP19" s="378"/>
      <c r="AQ19" s="378"/>
      <c r="AR19" s="378"/>
      <c r="AS19" s="378"/>
      <c r="AT19" s="378"/>
      <c r="AU19" s="378"/>
      <c r="AV19" s="378"/>
      <c r="AW19" s="378"/>
      <c r="AX19" s="378"/>
      <c r="AY19" s="378"/>
      <c r="AZ19" s="378"/>
      <c r="BA19" s="378"/>
      <c r="BB19" s="378"/>
      <c r="BC19" s="378"/>
      <c r="BD19" s="378"/>
      <c r="BE19" s="378"/>
      <c r="BF19" s="378"/>
      <c r="BG19" s="378"/>
      <c r="BH19" s="378"/>
      <c r="BI19" s="378"/>
      <c r="BJ19" s="378"/>
      <c r="BK19" s="378"/>
      <c r="BL19" s="378"/>
      <c r="BM19" s="378"/>
      <c r="BN19" s="378"/>
      <c r="BO19" s="378"/>
      <c r="BP19" s="378"/>
      <c r="BQ19" s="378"/>
      <c r="BR19" s="378"/>
      <c r="BS19" s="378"/>
      <c r="BT19" s="378"/>
      <c r="BU19" s="378"/>
      <c r="BV19" s="378"/>
      <c r="BW19" s="378"/>
      <c r="BX19" s="378"/>
      <c r="BY19" s="378"/>
      <c r="BZ19" s="378"/>
      <c r="CA19" s="378"/>
      <c r="CB19" s="378"/>
      <c r="CC19" s="378"/>
      <c r="CD19" s="378"/>
      <c r="CE19" s="378"/>
      <c r="CF19" s="378"/>
      <c r="CG19" s="378"/>
      <c r="CH19" s="378"/>
      <c r="CI19" s="378"/>
      <c r="CJ19" s="378"/>
      <c r="CK19" s="378"/>
      <c r="CL19" s="378"/>
      <c r="CM19" s="378"/>
      <c r="CN19" s="378"/>
      <c r="CO19" s="378"/>
      <c r="CP19" s="378"/>
      <c r="CQ19" s="378"/>
      <c r="CR19" s="378"/>
      <c r="CS19" s="378"/>
    </row>
    <row r="20" spans="1:98" x14ac:dyDescent="0.25">
      <c r="A20" s="378"/>
      <c r="B20" s="1303"/>
      <c r="C20" s="378"/>
      <c r="D20" s="378"/>
      <c r="E20" s="378"/>
      <c r="F20" s="378"/>
      <c r="G20" s="378"/>
      <c r="H20" s="378"/>
      <c r="I20" s="378"/>
      <c r="J20" s="378"/>
      <c r="K20" s="378"/>
      <c r="L20" s="378"/>
      <c r="M20" s="378"/>
      <c r="N20" s="378"/>
      <c r="O20" s="378"/>
      <c r="P20" s="378"/>
      <c r="Q20" s="378"/>
      <c r="R20" s="378"/>
      <c r="S20" s="378"/>
      <c r="T20" s="378"/>
      <c r="U20" s="378"/>
      <c r="V20" s="378"/>
      <c r="W20" s="378"/>
      <c r="X20" s="378"/>
      <c r="Y20" s="378"/>
      <c r="Z20" s="378"/>
      <c r="AA20" s="378"/>
      <c r="AB20" s="378"/>
      <c r="AC20" s="378"/>
      <c r="AD20" s="378"/>
      <c r="AE20" s="378"/>
      <c r="AF20" s="378"/>
      <c r="AG20" s="378"/>
      <c r="AH20" s="378"/>
      <c r="AI20" s="378"/>
      <c r="AJ20" s="378"/>
      <c r="AK20" s="378"/>
      <c r="AL20" s="378"/>
      <c r="AM20" s="378"/>
      <c r="AN20" s="378"/>
      <c r="AO20" s="378"/>
      <c r="AP20" s="378"/>
      <c r="AQ20" s="378"/>
      <c r="AR20" s="378"/>
      <c r="AS20" s="378"/>
      <c r="AT20" s="378"/>
      <c r="AU20" s="378"/>
      <c r="AV20" s="378"/>
      <c r="AW20" s="378"/>
      <c r="AX20" s="378"/>
      <c r="AY20" s="378"/>
      <c r="AZ20" s="378"/>
      <c r="BA20" s="378"/>
      <c r="BB20" s="378"/>
      <c r="BC20" s="378"/>
      <c r="BD20" s="378"/>
      <c r="BE20" s="378"/>
      <c r="BF20" s="378"/>
      <c r="BG20" s="378"/>
      <c r="BH20" s="378"/>
      <c r="BI20" s="378"/>
      <c r="BJ20" s="378"/>
      <c r="BK20" s="378"/>
      <c r="BL20" s="378"/>
      <c r="BM20" s="378"/>
      <c r="BN20" s="378"/>
      <c r="BO20" s="378"/>
      <c r="BP20" s="378"/>
      <c r="BQ20" s="378"/>
      <c r="BR20" s="378"/>
      <c r="BS20" s="378"/>
      <c r="BT20" s="378"/>
      <c r="BU20" s="378"/>
      <c r="BV20" s="378"/>
      <c r="BW20" s="378"/>
      <c r="BX20" s="378"/>
      <c r="BY20" s="378"/>
      <c r="BZ20" s="378"/>
      <c r="CA20" s="378"/>
      <c r="CB20" s="378"/>
      <c r="CC20" s="378"/>
      <c r="CD20" s="378"/>
      <c r="CE20" s="378"/>
      <c r="CF20" s="378"/>
      <c r="CG20" s="378"/>
      <c r="CH20" s="378"/>
      <c r="CI20" s="378"/>
      <c r="CJ20" s="378"/>
      <c r="CK20" s="378"/>
      <c r="CL20" s="378"/>
      <c r="CM20" s="378"/>
      <c r="CN20" s="378"/>
      <c r="CO20" s="378"/>
      <c r="CP20" s="378"/>
      <c r="CQ20" s="378"/>
      <c r="CR20" s="378"/>
      <c r="CS20" s="378"/>
    </row>
    <row r="21" spans="1:98" x14ac:dyDescent="0.25">
      <c r="A21" s="378"/>
      <c r="B21" s="1264"/>
      <c r="C21" s="378"/>
      <c r="D21" s="378"/>
      <c r="E21" s="378"/>
      <c r="F21" s="378"/>
      <c r="G21" s="378"/>
      <c r="H21" s="378"/>
      <c r="I21" s="378"/>
      <c r="J21" s="378"/>
      <c r="K21" s="378"/>
      <c r="L21" s="378"/>
      <c r="M21" s="378"/>
      <c r="N21" s="378"/>
      <c r="O21" s="378"/>
      <c r="P21" s="378"/>
      <c r="Q21" s="378"/>
      <c r="R21" s="378"/>
      <c r="S21" s="378"/>
      <c r="T21" s="378"/>
      <c r="U21" s="378"/>
      <c r="V21" s="378"/>
      <c r="W21" s="378"/>
      <c r="X21" s="378"/>
      <c r="Y21" s="378"/>
      <c r="Z21" s="378"/>
      <c r="AA21" s="378"/>
      <c r="AB21" s="378"/>
      <c r="AC21" s="378"/>
      <c r="AD21" s="378"/>
      <c r="AE21" s="378"/>
      <c r="AF21" s="378"/>
      <c r="AG21" s="378"/>
      <c r="AH21" s="378"/>
      <c r="AI21" s="378"/>
      <c r="AJ21" s="378"/>
      <c r="AK21" s="378"/>
      <c r="AL21" s="378"/>
      <c r="AM21" s="378"/>
      <c r="AN21" s="378"/>
      <c r="AO21" s="378"/>
      <c r="AP21" s="378"/>
      <c r="AQ21" s="378"/>
      <c r="AR21" s="378"/>
      <c r="AS21" s="378"/>
      <c r="AT21" s="378"/>
      <c r="AU21" s="378"/>
      <c r="AV21" s="378"/>
      <c r="AW21" s="378"/>
      <c r="AX21" s="378"/>
      <c r="AY21" s="378"/>
      <c r="AZ21" s="378"/>
      <c r="BA21" s="378"/>
      <c r="BB21" s="378"/>
      <c r="BC21" s="378"/>
      <c r="BD21" s="378"/>
      <c r="BE21" s="378"/>
      <c r="BF21" s="378"/>
      <c r="BG21" s="378"/>
      <c r="BH21" s="378"/>
      <c r="BI21" s="378"/>
      <c r="BJ21" s="378"/>
      <c r="BK21" s="378"/>
      <c r="BL21" s="378"/>
      <c r="BM21" s="378"/>
      <c r="BN21" s="378"/>
      <c r="BO21" s="378"/>
      <c r="BP21" s="378"/>
      <c r="BQ21" s="378"/>
      <c r="BR21" s="378"/>
      <c r="BS21" s="378"/>
      <c r="BT21" s="378"/>
      <c r="BU21" s="378"/>
      <c r="BV21" s="378"/>
      <c r="BW21" s="378"/>
      <c r="BX21" s="378"/>
      <c r="BY21" s="378"/>
      <c r="BZ21" s="378"/>
      <c r="CA21" s="378"/>
      <c r="CB21" s="378"/>
      <c r="CC21" s="378"/>
      <c r="CD21" s="378"/>
      <c r="CE21" s="378"/>
      <c r="CF21" s="378"/>
      <c r="CG21" s="378"/>
      <c r="CH21" s="378"/>
      <c r="CI21" s="378"/>
      <c r="CJ21" s="378"/>
      <c r="CK21" s="378"/>
      <c r="CL21" s="378"/>
      <c r="CM21" s="378"/>
      <c r="CN21" s="378"/>
      <c r="CO21" s="378"/>
      <c r="CP21" s="378"/>
      <c r="CQ21" s="378"/>
      <c r="CR21" s="378"/>
    </row>
    <row r="22" spans="1:98" x14ac:dyDescent="0.25">
      <c r="A22" s="378"/>
      <c r="B22" s="378"/>
      <c r="C22" s="378"/>
      <c r="D22" s="378"/>
      <c r="E22" s="378"/>
      <c r="F22" s="378"/>
      <c r="G22" s="378"/>
      <c r="H22" s="378"/>
      <c r="I22" s="378"/>
      <c r="J22" s="378"/>
      <c r="K22" s="378"/>
      <c r="L22" s="378"/>
      <c r="M22" s="378"/>
      <c r="N22" s="378"/>
      <c r="O22" s="378"/>
      <c r="P22" s="378"/>
      <c r="Q22" s="378"/>
      <c r="R22" s="378"/>
      <c r="S22" s="378"/>
      <c r="T22" s="378"/>
      <c r="U22" s="378"/>
      <c r="V22" s="378"/>
      <c r="W22" s="378"/>
      <c r="X22" s="378"/>
      <c r="Y22" s="378"/>
      <c r="Z22" s="378"/>
      <c r="AA22" s="378"/>
      <c r="AB22" s="378"/>
      <c r="AC22" s="378"/>
      <c r="AD22" s="378"/>
      <c r="AE22" s="378"/>
      <c r="AF22" s="378"/>
      <c r="AG22" s="378"/>
      <c r="AH22" s="378"/>
      <c r="AI22" s="378"/>
      <c r="AJ22" s="378"/>
      <c r="AK22" s="378"/>
      <c r="AL22" s="378"/>
      <c r="AM22" s="378"/>
      <c r="AN22" s="378"/>
      <c r="AO22" s="378"/>
      <c r="AP22" s="378"/>
      <c r="AQ22" s="378"/>
      <c r="AR22" s="378"/>
      <c r="AS22" s="378"/>
      <c r="AT22" s="378"/>
      <c r="AU22" s="378"/>
      <c r="AV22" s="378"/>
      <c r="AW22" s="378"/>
      <c r="AX22" s="378"/>
      <c r="AY22" s="378"/>
      <c r="AZ22" s="378"/>
      <c r="BA22" s="378"/>
      <c r="BB22" s="378"/>
      <c r="BC22" s="378"/>
      <c r="BD22" s="378"/>
      <c r="BE22" s="378"/>
      <c r="BF22" s="378"/>
      <c r="BG22" s="378"/>
      <c r="BH22" s="378"/>
      <c r="BI22" s="378"/>
      <c r="BJ22" s="378"/>
      <c r="BK22" s="378"/>
      <c r="BL22" s="378"/>
      <c r="BM22" s="378"/>
      <c r="BN22" s="378"/>
      <c r="BO22" s="378"/>
      <c r="BP22" s="378"/>
      <c r="BQ22" s="378"/>
      <c r="BR22" s="378"/>
      <c r="BS22" s="378"/>
      <c r="BT22" s="378"/>
      <c r="BU22" s="378"/>
      <c r="BV22" s="378"/>
      <c r="BW22" s="378"/>
      <c r="BX22" s="378"/>
      <c r="BY22" s="378"/>
      <c r="BZ22" s="378"/>
      <c r="CA22" s="378"/>
      <c r="CB22" s="378"/>
      <c r="CC22" s="378"/>
      <c r="CD22" s="378"/>
      <c r="CE22" s="378"/>
      <c r="CF22" s="378"/>
      <c r="CG22" s="378"/>
      <c r="CH22" s="378"/>
      <c r="CI22" s="378"/>
      <c r="CJ22" s="378"/>
      <c r="CK22" s="378"/>
      <c r="CL22" s="378"/>
      <c r="CM22" s="378"/>
      <c r="CN22" s="378"/>
      <c r="CO22" s="378"/>
      <c r="CP22" s="378"/>
      <c r="CQ22" s="378"/>
      <c r="CR22" s="378"/>
    </row>
    <row r="23" spans="1:98" x14ac:dyDescent="0.25">
      <c r="A23" s="378"/>
      <c r="B23" s="378"/>
      <c r="C23" s="378"/>
      <c r="D23" s="378"/>
      <c r="E23" s="378"/>
      <c r="F23" s="378"/>
      <c r="G23" s="378"/>
      <c r="H23" s="378"/>
      <c r="I23" s="378"/>
      <c r="J23" s="378"/>
      <c r="K23" s="378"/>
      <c r="L23" s="378"/>
      <c r="M23" s="378"/>
      <c r="N23" s="378"/>
      <c r="O23" s="378"/>
      <c r="P23" s="378"/>
      <c r="Q23" s="378"/>
      <c r="R23" s="378"/>
      <c r="S23" s="378"/>
      <c r="T23" s="378"/>
      <c r="U23" s="378"/>
      <c r="V23" s="378"/>
      <c r="W23" s="378"/>
      <c r="X23" s="378"/>
      <c r="Y23" s="378"/>
      <c r="Z23" s="378"/>
      <c r="AA23" s="378"/>
      <c r="AB23" s="378"/>
      <c r="AC23" s="378"/>
      <c r="AD23" s="378"/>
      <c r="AE23" s="378"/>
      <c r="AF23" s="378"/>
      <c r="AG23" s="378"/>
      <c r="AH23" s="378"/>
      <c r="AI23" s="378"/>
      <c r="AJ23" s="378"/>
      <c r="AK23" s="378"/>
      <c r="AL23" s="378"/>
      <c r="AM23" s="378"/>
      <c r="AN23" s="378"/>
      <c r="AO23" s="378"/>
      <c r="AP23" s="378"/>
      <c r="AQ23" s="378"/>
      <c r="AR23" s="378"/>
      <c r="AS23" s="378"/>
      <c r="AT23" s="378"/>
      <c r="AU23" s="378"/>
      <c r="AV23" s="378"/>
      <c r="AW23" s="378"/>
      <c r="AX23" s="378"/>
      <c r="AY23" s="378"/>
      <c r="AZ23" s="378"/>
      <c r="BA23" s="378"/>
      <c r="BB23" s="378"/>
      <c r="BC23" s="378"/>
      <c r="BD23" s="378"/>
      <c r="BE23" s="378"/>
      <c r="BF23" s="378"/>
      <c r="BG23" s="378"/>
      <c r="BH23" s="378"/>
      <c r="BI23" s="378"/>
      <c r="BJ23" s="378"/>
      <c r="BK23" s="378"/>
      <c r="BL23" s="378"/>
      <c r="BM23" s="378"/>
      <c r="BN23" s="378"/>
      <c r="BO23" s="378"/>
      <c r="BP23" s="378"/>
      <c r="BQ23" s="378"/>
      <c r="BR23" s="378"/>
      <c r="BS23" s="378"/>
      <c r="BT23" s="378"/>
      <c r="BU23" s="378"/>
      <c r="BV23" s="378"/>
      <c r="BW23" s="378"/>
      <c r="BX23" s="378"/>
      <c r="BY23" s="378"/>
      <c r="BZ23" s="378"/>
      <c r="CA23" s="378"/>
      <c r="CB23" s="378"/>
      <c r="CC23" s="378"/>
      <c r="CD23" s="378"/>
      <c r="CE23" s="378"/>
      <c r="CF23" s="378"/>
      <c r="CG23" s="378"/>
      <c r="CH23" s="378"/>
      <c r="CI23" s="378"/>
      <c r="CJ23" s="378"/>
      <c r="CK23" s="378"/>
      <c r="CL23" s="378"/>
      <c r="CM23" s="378"/>
      <c r="CN23" s="378"/>
      <c r="CO23" s="378"/>
      <c r="CP23" s="378"/>
      <c r="CQ23" s="378"/>
      <c r="CR23" s="378"/>
    </row>
    <row r="24" spans="1:98" x14ac:dyDescent="0.25">
      <c r="A24" s="378"/>
      <c r="B24" s="378"/>
      <c r="C24" s="378"/>
      <c r="D24" s="378"/>
      <c r="E24" s="378"/>
      <c r="F24" s="378"/>
      <c r="G24" s="378"/>
      <c r="H24" s="378"/>
      <c r="I24" s="378"/>
      <c r="J24" s="378"/>
      <c r="K24" s="378"/>
      <c r="L24" s="378"/>
      <c r="M24" s="378"/>
      <c r="N24" s="378"/>
      <c r="O24" s="378"/>
      <c r="P24" s="378"/>
      <c r="Q24" s="378"/>
      <c r="R24" s="378"/>
      <c r="S24" s="378"/>
      <c r="T24" s="378"/>
      <c r="U24" s="378"/>
      <c r="V24" s="378"/>
      <c r="W24" s="378"/>
      <c r="X24" s="378"/>
      <c r="Y24" s="378"/>
      <c r="Z24" s="378"/>
      <c r="AA24" s="378"/>
      <c r="AB24" s="378"/>
      <c r="AC24" s="378"/>
      <c r="AD24" s="378"/>
      <c r="AE24" s="378"/>
      <c r="AF24" s="378"/>
      <c r="AG24" s="378"/>
      <c r="AH24" s="378"/>
      <c r="AI24" s="378"/>
      <c r="AJ24" s="378"/>
      <c r="AK24" s="378"/>
      <c r="AL24" s="378"/>
      <c r="AM24" s="378"/>
      <c r="AN24" s="378"/>
      <c r="AO24" s="378"/>
      <c r="AP24" s="378"/>
      <c r="AQ24" s="378"/>
      <c r="AR24" s="378"/>
      <c r="AS24" s="378"/>
      <c r="AT24" s="378"/>
      <c r="AU24" s="378"/>
      <c r="AV24" s="378"/>
      <c r="AW24" s="378"/>
      <c r="AX24" s="378"/>
      <c r="AY24" s="378"/>
      <c r="AZ24" s="378"/>
      <c r="BA24" s="378"/>
      <c r="BB24" s="378"/>
      <c r="BC24" s="378"/>
      <c r="BD24" s="378"/>
      <c r="BE24" s="378"/>
      <c r="BF24" s="378"/>
      <c r="BG24" s="378"/>
      <c r="BH24" s="378"/>
      <c r="BI24" s="378"/>
      <c r="BJ24" s="378"/>
      <c r="BK24" s="378"/>
      <c r="BL24" s="378"/>
      <c r="BM24" s="378"/>
      <c r="BN24" s="378"/>
      <c r="BO24" s="378"/>
      <c r="BP24" s="378"/>
      <c r="BQ24" s="378"/>
      <c r="BR24" s="378"/>
      <c r="BS24" s="378"/>
      <c r="BT24" s="378"/>
      <c r="BU24" s="378"/>
      <c r="BV24" s="378"/>
      <c r="BW24" s="378"/>
      <c r="BX24" s="378"/>
      <c r="BY24" s="378"/>
      <c r="BZ24" s="378"/>
      <c r="CA24" s="378"/>
      <c r="CB24" s="378"/>
      <c r="CC24" s="378"/>
      <c r="CD24" s="378"/>
      <c r="CE24" s="378"/>
      <c r="CF24" s="378"/>
      <c r="CG24" s="378"/>
      <c r="CH24" s="378"/>
      <c r="CI24" s="378"/>
      <c r="CJ24" s="378"/>
      <c r="CK24" s="378"/>
      <c r="CL24" s="378"/>
      <c r="CM24" s="378"/>
      <c r="CN24" s="378"/>
      <c r="CO24" s="378"/>
      <c r="CP24" s="378"/>
      <c r="CQ24" s="378"/>
      <c r="CR24" s="378"/>
    </row>
    <row r="25" spans="1:98" x14ac:dyDescent="0.25">
      <c r="A25" s="378"/>
      <c r="B25" s="378"/>
      <c r="C25" s="378"/>
      <c r="D25" s="378"/>
      <c r="E25" s="378"/>
      <c r="F25" s="378"/>
      <c r="G25" s="378"/>
      <c r="H25" s="378"/>
      <c r="I25" s="378"/>
      <c r="J25" s="378"/>
      <c r="K25" s="378"/>
      <c r="L25" s="378"/>
      <c r="M25" s="378"/>
      <c r="N25" s="378"/>
      <c r="O25" s="378"/>
      <c r="P25" s="378"/>
      <c r="Q25" s="378"/>
      <c r="R25" s="378"/>
      <c r="S25" s="378"/>
      <c r="T25" s="378"/>
      <c r="U25" s="378"/>
      <c r="V25" s="378"/>
      <c r="W25" s="378"/>
      <c r="X25" s="378"/>
      <c r="Y25" s="378"/>
      <c r="Z25" s="378"/>
      <c r="AA25" s="378"/>
      <c r="AB25" s="378"/>
      <c r="AC25" s="378"/>
      <c r="AD25" s="378"/>
      <c r="AE25" s="378"/>
      <c r="AF25" s="378"/>
      <c r="AG25" s="378"/>
      <c r="AH25" s="378"/>
      <c r="AI25" s="378"/>
      <c r="AJ25" s="378"/>
      <c r="AK25" s="378"/>
      <c r="AL25" s="378"/>
      <c r="AM25" s="378"/>
      <c r="AN25" s="378"/>
      <c r="AO25" s="378"/>
      <c r="AP25" s="378"/>
      <c r="AQ25" s="378"/>
      <c r="AR25" s="378"/>
      <c r="AS25" s="378"/>
      <c r="AT25" s="378"/>
      <c r="AU25" s="378"/>
      <c r="AV25" s="378"/>
      <c r="AW25" s="378"/>
      <c r="AX25" s="378"/>
      <c r="AY25" s="378"/>
      <c r="AZ25" s="378"/>
      <c r="BA25" s="378"/>
      <c r="BB25" s="378"/>
      <c r="BC25" s="378"/>
      <c r="BD25" s="378"/>
      <c r="BE25" s="378"/>
      <c r="BF25" s="378"/>
      <c r="BG25" s="378"/>
      <c r="BH25" s="378"/>
      <c r="BI25" s="378"/>
      <c r="BJ25" s="378"/>
      <c r="BK25" s="378"/>
      <c r="BL25" s="378"/>
      <c r="BM25" s="378"/>
      <c r="BN25" s="378"/>
      <c r="BO25" s="378"/>
      <c r="BP25" s="378"/>
      <c r="BQ25" s="378"/>
      <c r="BR25" s="378"/>
      <c r="BS25" s="378"/>
      <c r="BT25" s="378"/>
      <c r="BU25" s="378"/>
      <c r="BV25" s="378"/>
      <c r="BW25" s="378"/>
      <c r="BX25" s="378"/>
      <c r="BY25" s="378"/>
      <c r="BZ25" s="378"/>
      <c r="CA25" s="378"/>
      <c r="CB25" s="378"/>
      <c r="CC25" s="378"/>
      <c r="CD25" s="378"/>
      <c r="CE25" s="378"/>
      <c r="CF25" s="378"/>
      <c r="CG25" s="378"/>
      <c r="CH25" s="378"/>
      <c r="CI25" s="378"/>
      <c r="CJ25" s="378"/>
      <c r="CK25" s="378"/>
      <c r="CL25" s="378"/>
      <c r="CM25" s="378"/>
      <c r="CN25" s="378"/>
      <c r="CO25" s="378"/>
      <c r="CP25" s="378"/>
      <c r="CQ25" s="378"/>
      <c r="CR25" s="378"/>
    </row>
    <row r="26" spans="1:98" x14ac:dyDescent="0.25">
      <c r="A26" s="378"/>
      <c r="B26" s="378"/>
      <c r="C26" s="378"/>
      <c r="D26" s="378"/>
      <c r="E26" s="378"/>
      <c r="F26" s="378"/>
      <c r="G26" s="378"/>
      <c r="H26" s="378"/>
      <c r="I26" s="378"/>
      <c r="J26" s="378"/>
      <c r="K26" s="378"/>
      <c r="L26" s="378"/>
      <c r="M26" s="378"/>
      <c r="N26" s="378"/>
      <c r="O26" s="378"/>
      <c r="P26" s="378"/>
      <c r="Q26" s="378"/>
      <c r="R26" s="378"/>
      <c r="S26" s="378"/>
      <c r="T26" s="378"/>
      <c r="U26" s="378"/>
      <c r="V26" s="378"/>
      <c r="W26" s="378"/>
      <c r="X26" s="378"/>
      <c r="Y26" s="378"/>
      <c r="Z26" s="378"/>
      <c r="AA26" s="378"/>
      <c r="AB26" s="378"/>
      <c r="AC26" s="378"/>
      <c r="AD26" s="378"/>
      <c r="AE26" s="378"/>
      <c r="AF26" s="378"/>
      <c r="AG26" s="378"/>
      <c r="AH26" s="378"/>
      <c r="AI26" s="378"/>
      <c r="AJ26" s="378"/>
      <c r="AK26" s="378"/>
      <c r="AL26" s="378"/>
      <c r="AM26" s="378"/>
      <c r="AN26" s="378"/>
      <c r="AO26" s="378"/>
      <c r="AP26" s="378"/>
      <c r="AQ26" s="378"/>
      <c r="AR26" s="378"/>
      <c r="AS26" s="378"/>
      <c r="AT26" s="378"/>
      <c r="AU26" s="378"/>
      <c r="AV26" s="378"/>
      <c r="AW26" s="378"/>
      <c r="AX26" s="378"/>
      <c r="AY26" s="378"/>
      <c r="AZ26" s="378"/>
      <c r="BA26" s="378"/>
      <c r="BB26" s="378"/>
      <c r="BC26" s="378"/>
      <c r="BD26" s="378"/>
      <c r="BE26" s="378"/>
      <c r="BF26" s="378"/>
      <c r="BG26" s="378"/>
      <c r="BH26" s="378"/>
      <c r="BI26" s="378"/>
      <c r="BJ26" s="378"/>
      <c r="BK26" s="378"/>
      <c r="BL26" s="378"/>
      <c r="BM26" s="378"/>
      <c r="BN26" s="378"/>
      <c r="BO26" s="378"/>
      <c r="BP26" s="378"/>
      <c r="BQ26" s="378"/>
      <c r="BR26" s="378"/>
      <c r="BS26" s="378"/>
      <c r="BT26" s="378"/>
      <c r="BU26" s="378"/>
      <c r="BV26" s="378"/>
      <c r="BW26" s="378"/>
      <c r="BX26" s="378"/>
      <c r="BY26" s="378"/>
      <c r="BZ26" s="378"/>
      <c r="CA26" s="378"/>
      <c r="CB26" s="378"/>
      <c r="CC26" s="378"/>
      <c r="CD26" s="378"/>
      <c r="CE26" s="378"/>
      <c r="CF26" s="378"/>
      <c r="CG26" s="378"/>
      <c r="CH26" s="378"/>
      <c r="CI26" s="378"/>
      <c r="CJ26" s="378"/>
      <c r="CK26" s="378"/>
      <c r="CL26" s="378"/>
      <c r="CM26" s="378"/>
      <c r="CN26" s="378"/>
      <c r="CO26" s="378"/>
      <c r="CP26" s="378"/>
      <c r="CQ26" s="378"/>
      <c r="CR26" s="378"/>
      <c r="CS26" s="378"/>
      <c r="CT26" s="378"/>
    </row>
    <row r="27" spans="1:98" x14ac:dyDescent="0.25">
      <c r="A27" s="378"/>
      <c r="B27" s="378"/>
      <c r="C27" s="378"/>
      <c r="D27" s="378"/>
      <c r="E27" s="378"/>
      <c r="F27" s="378"/>
      <c r="G27" s="378"/>
      <c r="H27" s="378"/>
      <c r="I27" s="378"/>
      <c r="J27" s="378"/>
      <c r="K27" s="378"/>
      <c r="L27" s="378"/>
      <c r="M27" s="378"/>
      <c r="N27" s="378"/>
      <c r="O27" s="378"/>
      <c r="P27" s="378"/>
      <c r="Q27" s="378"/>
      <c r="R27" s="378"/>
      <c r="S27" s="378"/>
      <c r="T27" s="378"/>
      <c r="U27" s="378"/>
      <c r="V27" s="378"/>
      <c r="W27" s="378"/>
      <c r="X27" s="378"/>
      <c r="Y27" s="378"/>
      <c r="Z27" s="378"/>
      <c r="AA27" s="378"/>
      <c r="AB27" s="378"/>
      <c r="AC27" s="378"/>
      <c r="AD27" s="378"/>
      <c r="AE27" s="378"/>
      <c r="AF27" s="378"/>
      <c r="AG27" s="378"/>
      <c r="AH27" s="378"/>
      <c r="AI27" s="378"/>
      <c r="AJ27" s="378"/>
      <c r="AK27" s="378"/>
      <c r="AL27" s="378"/>
      <c r="AM27" s="378"/>
      <c r="AN27" s="378"/>
      <c r="AO27" s="378"/>
      <c r="AP27" s="378"/>
      <c r="AQ27" s="378"/>
      <c r="AR27" s="378"/>
      <c r="AS27" s="378"/>
      <c r="AT27" s="378"/>
      <c r="AU27" s="378"/>
      <c r="AV27" s="378"/>
      <c r="AW27" s="378"/>
      <c r="AX27" s="378"/>
      <c r="AY27" s="378"/>
      <c r="AZ27" s="378"/>
      <c r="BA27" s="378"/>
      <c r="BB27" s="378"/>
      <c r="BC27" s="378"/>
      <c r="BD27" s="378"/>
      <c r="BE27" s="378"/>
      <c r="BF27" s="378"/>
      <c r="BG27" s="378"/>
      <c r="BH27" s="378"/>
      <c r="BI27" s="378"/>
      <c r="BJ27" s="378"/>
      <c r="BK27" s="378"/>
      <c r="BL27" s="378"/>
      <c r="BM27" s="378"/>
      <c r="BN27" s="378"/>
      <c r="BO27" s="378"/>
      <c r="BP27" s="378"/>
      <c r="BQ27" s="378"/>
      <c r="BR27" s="378"/>
      <c r="BS27" s="378"/>
      <c r="BT27" s="378"/>
      <c r="BU27" s="378"/>
      <c r="BV27" s="378"/>
      <c r="BW27" s="378"/>
      <c r="BX27" s="378"/>
      <c r="BY27" s="378"/>
      <c r="BZ27" s="378"/>
      <c r="CA27" s="378"/>
      <c r="CB27" s="378"/>
      <c r="CC27" s="378"/>
      <c r="CD27" s="378"/>
      <c r="CE27" s="378"/>
      <c r="CF27" s="378"/>
      <c r="CG27" s="378"/>
      <c r="CH27" s="378"/>
      <c r="CI27" s="378"/>
      <c r="CJ27" s="378"/>
      <c r="CK27" s="378"/>
      <c r="CL27" s="378"/>
      <c r="CM27" s="378"/>
      <c r="CN27" s="378"/>
      <c r="CO27" s="378"/>
      <c r="CP27" s="378"/>
      <c r="CQ27" s="378"/>
      <c r="CR27" s="378"/>
      <c r="CS27" s="378"/>
      <c r="CT27" s="378"/>
    </row>
    <row r="28" spans="1:98" x14ac:dyDescent="0.25">
      <c r="A28" s="378"/>
      <c r="B28" s="378"/>
      <c r="C28" s="378"/>
      <c r="D28" s="378"/>
      <c r="E28" s="378"/>
      <c r="F28" s="378"/>
      <c r="G28" s="378"/>
      <c r="H28" s="378"/>
      <c r="I28" s="378"/>
      <c r="J28" s="378"/>
      <c r="K28" s="378"/>
      <c r="L28" s="378"/>
      <c r="M28" s="378"/>
      <c r="N28" s="378"/>
      <c r="O28" s="378"/>
      <c r="P28" s="378"/>
      <c r="Q28" s="378"/>
      <c r="R28" s="378"/>
      <c r="S28" s="378"/>
      <c r="T28" s="378"/>
      <c r="U28" s="378"/>
      <c r="V28" s="378"/>
      <c r="W28" s="378"/>
      <c r="X28" s="378"/>
      <c r="Y28" s="378"/>
      <c r="Z28" s="378"/>
      <c r="AA28" s="378"/>
      <c r="AB28" s="378"/>
      <c r="AC28" s="378"/>
      <c r="AD28" s="378"/>
      <c r="AE28" s="378"/>
      <c r="AF28" s="378"/>
      <c r="AG28" s="378"/>
      <c r="AH28" s="378"/>
      <c r="AI28" s="378"/>
      <c r="AJ28" s="378"/>
      <c r="AK28" s="378"/>
      <c r="AL28" s="378"/>
      <c r="AM28" s="378"/>
      <c r="AN28" s="378"/>
      <c r="AO28" s="378"/>
      <c r="AP28" s="378"/>
      <c r="AQ28" s="378"/>
      <c r="AR28" s="378"/>
      <c r="AS28" s="378"/>
      <c r="AT28" s="378"/>
      <c r="AU28" s="378"/>
      <c r="AV28" s="378"/>
      <c r="AW28" s="378"/>
      <c r="AX28" s="378"/>
      <c r="AY28" s="378"/>
      <c r="AZ28" s="378"/>
      <c r="BA28" s="378"/>
      <c r="BB28" s="378"/>
      <c r="BC28" s="378"/>
      <c r="BD28" s="378"/>
      <c r="BE28" s="378"/>
      <c r="BF28" s="378"/>
      <c r="BG28" s="378"/>
      <c r="BH28" s="378"/>
      <c r="BI28" s="378"/>
      <c r="BJ28" s="378"/>
      <c r="BK28" s="378"/>
      <c r="BL28" s="378"/>
      <c r="BM28" s="378"/>
      <c r="BN28" s="378"/>
      <c r="BO28" s="378"/>
      <c r="BP28" s="378"/>
      <c r="BQ28" s="378"/>
      <c r="BR28" s="378"/>
      <c r="BS28" s="378"/>
      <c r="BT28" s="378"/>
      <c r="BU28" s="378"/>
      <c r="BV28" s="378"/>
      <c r="BW28" s="378"/>
      <c r="BX28" s="378"/>
      <c r="BY28" s="378"/>
      <c r="BZ28" s="378"/>
      <c r="CA28" s="378"/>
      <c r="CB28" s="378"/>
      <c r="CC28" s="378"/>
      <c r="CD28" s="378"/>
      <c r="CE28" s="378"/>
      <c r="CF28" s="378"/>
      <c r="CG28" s="378"/>
      <c r="CH28" s="378"/>
      <c r="CI28" s="378"/>
      <c r="CJ28" s="378"/>
      <c r="CK28" s="378"/>
      <c r="CL28" s="378"/>
      <c r="CM28" s="378"/>
      <c r="CN28" s="378"/>
      <c r="CO28" s="378"/>
      <c r="CP28" s="378"/>
      <c r="CQ28" s="378"/>
      <c r="CR28" s="378"/>
      <c r="CS28" s="378"/>
      <c r="CT28" s="378"/>
    </row>
    <row r="29" spans="1:98" x14ac:dyDescent="0.25">
      <c r="A29" s="378"/>
      <c r="B29" s="378"/>
      <c r="C29" s="378"/>
      <c r="D29" s="378"/>
      <c r="E29" s="378"/>
      <c r="F29" s="378"/>
      <c r="G29" s="378"/>
      <c r="H29" s="378"/>
      <c r="I29" s="378"/>
      <c r="J29" s="378"/>
      <c r="K29" s="378"/>
      <c r="L29" s="378"/>
      <c r="M29" s="378"/>
      <c r="N29" s="378"/>
      <c r="O29" s="378"/>
      <c r="P29" s="378"/>
      <c r="Q29" s="378"/>
      <c r="R29" s="378"/>
      <c r="S29" s="378"/>
      <c r="T29" s="378"/>
      <c r="U29" s="378"/>
      <c r="V29" s="378"/>
      <c r="W29" s="378"/>
      <c r="X29" s="378"/>
      <c r="Y29" s="378"/>
      <c r="Z29" s="378"/>
      <c r="AA29" s="378"/>
      <c r="AB29" s="378"/>
      <c r="AC29" s="378"/>
      <c r="AD29" s="378"/>
      <c r="AE29" s="378"/>
      <c r="AF29" s="378"/>
      <c r="AG29" s="378"/>
      <c r="AH29" s="378"/>
      <c r="AI29" s="378"/>
      <c r="AJ29" s="378"/>
      <c r="AK29" s="378"/>
      <c r="AL29" s="378"/>
      <c r="AM29" s="378"/>
      <c r="AN29" s="378"/>
      <c r="AO29" s="378"/>
      <c r="AP29" s="378"/>
      <c r="AQ29" s="378"/>
      <c r="AR29" s="378"/>
      <c r="AS29" s="378"/>
      <c r="AT29" s="378"/>
      <c r="AU29" s="378"/>
      <c r="AV29" s="378"/>
      <c r="AW29" s="378"/>
      <c r="AX29" s="378"/>
      <c r="AY29" s="378"/>
      <c r="AZ29" s="378"/>
      <c r="BA29" s="378"/>
      <c r="BB29" s="378"/>
      <c r="BC29" s="378"/>
      <c r="BD29" s="378"/>
      <c r="BE29" s="378"/>
      <c r="BF29" s="378"/>
      <c r="BG29" s="378"/>
      <c r="BH29" s="378"/>
      <c r="BI29" s="378"/>
      <c r="BJ29" s="378"/>
      <c r="BK29" s="378"/>
      <c r="BL29" s="378"/>
      <c r="BM29" s="378"/>
      <c r="BN29" s="378"/>
      <c r="BO29" s="378"/>
      <c r="BP29" s="378"/>
      <c r="BQ29" s="378"/>
      <c r="BR29" s="378"/>
      <c r="BS29" s="378"/>
      <c r="BT29" s="378"/>
      <c r="BU29" s="378"/>
      <c r="BV29" s="378"/>
      <c r="BW29" s="378"/>
      <c r="BX29" s="378"/>
      <c r="BY29" s="378"/>
      <c r="BZ29" s="378"/>
      <c r="CA29" s="378"/>
      <c r="CB29" s="378"/>
      <c r="CC29" s="378"/>
      <c r="CD29" s="378"/>
      <c r="CE29" s="378"/>
      <c r="CF29" s="378"/>
      <c r="CG29" s="378"/>
      <c r="CH29" s="378"/>
      <c r="CI29" s="378"/>
      <c r="CJ29" s="378"/>
      <c r="CK29" s="378"/>
      <c r="CL29" s="378"/>
      <c r="CM29" s="378"/>
      <c r="CN29" s="378"/>
      <c r="CO29" s="378"/>
      <c r="CP29" s="378"/>
      <c r="CQ29" s="378"/>
      <c r="CR29" s="378"/>
      <c r="CS29" s="378"/>
      <c r="CT29" s="378"/>
    </row>
    <row r="30" spans="1:98" x14ac:dyDescent="0.25">
      <c r="A30" s="378"/>
      <c r="B30" s="378"/>
      <c r="C30" s="378"/>
      <c r="D30" s="378"/>
      <c r="E30" s="378"/>
      <c r="F30" s="378"/>
      <c r="G30" s="378"/>
      <c r="H30" s="378"/>
      <c r="I30" s="378"/>
      <c r="J30" s="378"/>
      <c r="K30" s="378"/>
      <c r="L30" s="378"/>
      <c r="M30" s="378"/>
      <c r="N30" s="378"/>
      <c r="O30" s="378"/>
      <c r="P30" s="378"/>
      <c r="Q30" s="378"/>
      <c r="R30" s="378"/>
      <c r="S30" s="378"/>
      <c r="T30" s="378"/>
      <c r="U30" s="378"/>
      <c r="V30" s="378"/>
      <c r="W30" s="378"/>
      <c r="X30" s="378"/>
      <c r="Y30" s="378"/>
      <c r="Z30" s="378"/>
      <c r="AA30" s="378"/>
      <c r="AB30" s="378"/>
      <c r="AC30" s="378"/>
      <c r="AD30" s="378"/>
      <c r="AE30" s="378"/>
      <c r="AF30" s="378"/>
      <c r="AG30" s="378"/>
      <c r="AH30" s="378"/>
      <c r="AI30" s="378"/>
      <c r="AJ30" s="378"/>
      <c r="AK30" s="378"/>
      <c r="AL30" s="378"/>
      <c r="AM30" s="378"/>
      <c r="AN30" s="378"/>
      <c r="AO30" s="378"/>
      <c r="AP30" s="378"/>
      <c r="AQ30" s="378"/>
      <c r="AR30" s="378"/>
      <c r="AS30" s="378"/>
      <c r="AT30" s="378"/>
      <c r="AU30" s="378"/>
      <c r="AV30" s="378"/>
      <c r="AW30" s="378"/>
      <c r="AX30" s="378"/>
      <c r="AY30" s="378"/>
      <c r="AZ30" s="378"/>
      <c r="BA30" s="378"/>
      <c r="BB30" s="378"/>
      <c r="BC30" s="378"/>
      <c r="BD30" s="378"/>
      <c r="BE30" s="378"/>
      <c r="BF30" s="378"/>
      <c r="BG30" s="378"/>
      <c r="BH30" s="378"/>
      <c r="BI30" s="378"/>
      <c r="BJ30" s="378"/>
      <c r="BK30" s="378"/>
      <c r="BL30" s="378"/>
      <c r="BM30" s="378"/>
      <c r="BN30" s="378"/>
      <c r="BO30" s="378"/>
      <c r="BP30" s="378"/>
      <c r="BQ30" s="378"/>
      <c r="BR30" s="378"/>
      <c r="BS30" s="378"/>
      <c r="BT30" s="378"/>
      <c r="BU30" s="378"/>
      <c r="BV30" s="378"/>
      <c r="BW30" s="378"/>
      <c r="BX30" s="378"/>
      <c r="BY30" s="378"/>
      <c r="BZ30" s="378"/>
      <c r="CA30" s="378"/>
      <c r="CB30" s="378"/>
      <c r="CC30" s="378"/>
      <c r="CD30" s="378"/>
      <c r="CE30" s="378"/>
      <c r="CF30" s="378"/>
      <c r="CG30" s="378"/>
      <c r="CH30" s="378"/>
      <c r="CI30" s="378"/>
      <c r="CJ30" s="378"/>
      <c r="CK30" s="378"/>
      <c r="CL30" s="378"/>
      <c r="CM30" s="378"/>
      <c r="CN30" s="378"/>
      <c r="CO30" s="378"/>
      <c r="CP30" s="378"/>
      <c r="CQ30" s="378"/>
      <c r="CR30" s="378"/>
      <c r="CS30" s="378"/>
      <c r="CT30" s="378"/>
    </row>
    <row r="31" spans="1:98" x14ac:dyDescent="0.25">
      <c r="A31" s="378"/>
      <c r="B31" s="378"/>
      <c r="C31" s="378"/>
      <c r="D31" s="378"/>
      <c r="E31" s="378"/>
      <c r="F31" s="378"/>
      <c r="G31" s="378"/>
      <c r="H31" s="378"/>
      <c r="I31" s="378"/>
      <c r="J31" s="378"/>
      <c r="K31" s="378"/>
      <c r="L31" s="378"/>
      <c r="M31" s="378"/>
      <c r="N31" s="378"/>
      <c r="O31" s="378"/>
      <c r="P31" s="378"/>
      <c r="Q31" s="378"/>
      <c r="R31" s="378"/>
      <c r="S31" s="378"/>
      <c r="T31" s="378"/>
      <c r="U31" s="378"/>
      <c r="V31" s="378"/>
      <c r="W31" s="378"/>
      <c r="X31" s="378"/>
      <c r="Y31" s="378"/>
      <c r="Z31" s="378"/>
      <c r="AA31" s="378"/>
      <c r="AB31" s="378"/>
      <c r="AC31" s="378"/>
      <c r="AD31" s="378"/>
      <c r="AE31" s="378"/>
      <c r="AF31" s="378"/>
      <c r="AG31" s="378"/>
      <c r="AH31" s="378"/>
      <c r="AI31" s="378"/>
      <c r="AJ31" s="378"/>
      <c r="AK31" s="378"/>
      <c r="AL31" s="378"/>
      <c r="AM31" s="378"/>
      <c r="AN31" s="378"/>
      <c r="AO31" s="378"/>
      <c r="AP31" s="378"/>
      <c r="AQ31" s="378"/>
      <c r="AR31" s="378"/>
      <c r="AS31" s="378"/>
      <c r="AT31" s="378"/>
      <c r="AU31" s="378"/>
      <c r="AV31" s="378"/>
      <c r="AW31" s="378"/>
      <c r="AX31" s="378"/>
      <c r="AY31" s="378"/>
      <c r="AZ31" s="378"/>
      <c r="BA31" s="378"/>
      <c r="BB31" s="378"/>
      <c r="BC31" s="378"/>
      <c r="BD31" s="378"/>
      <c r="BE31" s="378"/>
      <c r="BF31" s="378"/>
      <c r="BG31" s="378"/>
      <c r="BH31" s="378"/>
      <c r="BI31" s="378"/>
      <c r="BJ31" s="378"/>
      <c r="BK31" s="378"/>
      <c r="BL31" s="378"/>
      <c r="BM31" s="378"/>
      <c r="BN31" s="378"/>
      <c r="BO31" s="378"/>
      <c r="BP31" s="378"/>
      <c r="BQ31" s="378"/>
      <c r="BR31" s="378"/>
      <c r="BS31" s="378"/>
      <c r="BT31" s="378"/>
      <c r="BU31" s="378"/>
      <c r="BV31" s="378"/>
      <c r="BW31" s="378"/>
      <c r="BX31" s="378"/>
      <c r="BY31" s="378"/>
      <c r="BZ31" s="378"/>
      <c r="CA31" s="378"/>
      <c r="CB31" s="378"/>
      <c r="CC31" s="378"/>
      <c r="CD31" s="378"/>
      <c r="CE31" s="378"/>
      <c r="CF31" s="378"/>
      <c r="CG31" s="378"/>
      <c r="CH31" s="378"/>
      <c r="CI31" s="378"/>
      <c r="CJ31" s="378"/>
      <c r="CK31" s="378"/>
      <c r="CL31" s="378"/>
      <c r="CM31" s="378"/>
      <c r="CN31" s="378"/>
      <c r="CO31" s="378"/>
      <c r="CP31" s="378"/>
      <c r="CQ31" s="378"/>
      <c r="CR31" s="378"/>
      <c r="CS31" s="378"/>
      <c r="CT31" s="378"/>
    </row>
    <row r="32" spans="1:98" x14ac:dyDescent="0.25">
      <c r="A32" s="378"/>
      <c r="B32" s="378"/>
      <c r="C32" s="378"/>
      <c r="D32" s="378"/>
      <c r="E32" s="378"/>
      <c r="F32" s="378"/>
      <c r="G32" s="378"/>
      <c r="H32" s="378"/>
      <c r="I32" s="378"/>
      <c r="J32" s="378"/>
      <c r="K32" s="378"/>
      <c r="L32" s="378"/>
      <c r="M32" s="378"/>
      <c r="N32" s="378"/>
      <c r="O32" s="378"/>
      <c r="P32" s="378"/>
      <c r="Q32" s="378"/>
      <c r="R32" s="378"/>
      <c r="S32" s="378"/>
      <c r="T32" s="378"/>
      <c r="U32" s="378"/>
      <c r="V32" s="378"/>
      <c r="W32" s="378"/>
      <c r="X32" s="378"/>
      <c r="Y32" s="378"/>
      <c r="Z32" s="378"/>
      <c r="AA32" s="378"/>
      <c r="AB32" s="378"/>
      <c r="AC32" s="378"/>
      <c r="AD32" s="378"/>
      <c r="AE32" s="378"/>
      <c r="AF32" s="378"/>
      <c r="AG32" s="378"/>
      <c r="AH32" s="378"/>
      <c r="AI32" s="378"/>
      <c r="AJ32" s="378"/>
      <c r="AK32" s="378"/>
      <c r="AL32" s="378"/>
      <c r="AM32" s="378"/>
      <c r="AN32" s="378"/>
      <c r="AO32" s="378"/>
      <c r="AP32" s="378"/>
      <c r="AQ32" s="378"/>
      <c r="AR32" s="378"/>
      <c r="AS32" s="378"/>
      <c r="AT32" s="378"/>
      <c r="AU32" s="378"/>
      <c r="AV32" s="378"/>
      <c r="AW32" s="378"/>
      <c r="AX32" s="378"/>
      <c r="AY32" s="378"/>
      <c r="AZ32" s="378"/>
      <c r="BA32" s="378"/>
      <c r="BB32" s="378"/>
      <c r="BC32" s="378"/>
      <c r="BD32" s="378"/>
      <c r="BE32" s="378"/>
      <c r="BF32" s="378"/>
      <c r="BG32" s="378"/>
      <c r="BH32" s="378"/>
      <c r="BI32" s="378"/>
      <c r="BJ32" s="378"/>
      <c r="BK32" s="378"/>
      <c r="BL32" s="378"/>
      <c r="BM32" s="378"/>
      <c r="BN32" s="378"/>
      <c r="BO32" s="378"/>
      <c r="BP32" s="378"/>
      <c r="BQ32" s="378"/>
      <c r="BR32" s="378"/>
      <c r="BS32" s="378"/>
      <c r="BT32" s="378"/>
      <c r="BU32" s="378"/>
      <c r="BV32" s="378"/>
      <c r="BW32" s="378"/>
      <c r="BX32" s="378"/>
      <c r="BY32" s="378"/>
      <c r="BZ32" s="378"/>
      <c r="CA32" s="378"/>
      <c r="CB32" s="378"/>
      <c r="CC32" s="378"/>
      <c r="CD32" s="378"/>
      <c r="CE32" s="378"/>
      <c r="CF32" s="378"/>
      <c r="CG32" s="378"/>
      <c r="CH32" s="378"/>
      <c r="CI32" s="378"/>
      <c r="CJ32" s="378"/>
      <c r="CK32" s="378"/>
      <c r="CL32" s="378"/>
      <c r="CM32" s="378"/>
      <c r="CN32" s="378"/>
      <c r="CO32" s="378"/>
      <c r="CP32" s="378"/>
      <c r="CQ32" s="378"/>
      <c r="CR32" s="378"/>
      <c r="CS32" s="378"/>
      <c r="CT32" s="378"/>
    </row>
    <row r="33" spans="1:98" x14ac:dyDescent="0.25">
      <c r="A33" s="378"/>
      <c r="B33" s="378"/>
      <c r="C33" s="378"/>
      <c r="D33" s="378"/>
      <c r="E33" s="378"/>
      <c r="F33" s="378"/>
      <c r="G33" s="378"/>
      <c r="H33" s="378"/>
      <c r="I33" s="378"/>
      <c r="J33" s="378"/>
      <c r="K33" s="378"/>
      <c r="L33" s="378"/>
      <c r="M33" s="378"/>
      <c r="N33" s="378"/>
      <c r="O33" s="378"/>
      <c r="P33" s="378"/>
      <c r="Q33" s="378"/>
      <c r="R33" s="378"/>
      <c r="S33" s="378"/>
      <c r="T33" s="378"/>
      <c r="U33" s="378"/>
      <c r="V33" s="378"/>
      <c r="W33" s="378"/>
      <c r="X33" s="378"/>
      <c r="Y33" s="378"/>
      <c r="Z33" s="378"/>
      <c r="AA33" s="378"/>
      <c r="AB33" s="378"/>
      <c r="AC33" s="378"/>
      <c r="AD33" s="378"/>
      <c r="AE33" s="378"/>
      <c r="AF33" s="378"/>
      <c r="AG33" s="378"/>
      <c r="AH33" s="378"/>
      <c r="AI33" s="378"/>
      <c r="AJ33" s="378"/>
      <c r="AK33" s="378"/>
      <c r="AL33" s="378"/>
      <c r="AM33" s="378"/>
      <c r="AN33" s="378"/>
      <c r="AO33" s="378"/>
      <c r="AP33" s="378"/>
      <c r="AQ33" s="378"/>
      <c r="AR33" s="378"/>
      <c r="AS33" s="378"/>
      <c r="AT33" s="378"/>
      <c r="AU33" s="378"/>
      <c r="AV33" s="378"/>
      <c r="AW33" s="378"/>
      <c r="AX33" s="378"/>
      <c r="AY33" s="378"/>
      <c r="AZ33" s="378"/>
      <c r="BA33" s="378"/>
      <c r="BB33" s="378"/>
      <c r="BC33" s="378"/>
      <c r="BD33" s="378"/>
      <c r="BE33" s="378"/>
      <c r="BF33" s="378"/>
      <c r="BG33" s="378"/>
      <c r="BH33" s="378"/>
      <c r="BI33" s="378"/>
      <c r="BJ33" s="378"/>
      <c r="BK33" s="378"/>
      <c r="BL33" s="378"/>
      <c r="BM33" s="378"/>
      <c r="BN33" s="378"/>
      <c r="BO33" s="378"/>
      <c r="BP33" s="378"/>
      <c r="BQ33" s="378"/>
      <c r="BR33" s="378"/>
      <c r="BS33" s="378"/>
      <c r="BT33" s="378"/>
      <c r="BU33" s="378"/>
      <c r="BV33" s="378"/>
      <c r="BW33" s="378"/>
      <c r="BX33" s="378"/>
      <c r="BY33" s="378"/>
      <c r="BZ33" s="378"/>
      <c r="CA33" s="378"/>
      <c r="CB33" s="378"/>
      <c r="CC33" s="378"/>
      <c r="CD33" s="378"/>
      <c r="CE33" s="378"/>
      <c r="CF33" s="378"/>
      <c r="CG33" s="378"/>
      <c r="CH33" s="378"/>
      <c r="CI33" s="378"/>
      <c r="CJ33" s="378"/>
      <c r="CK33" s="378"/>
      <c r="CL33" s="378"/>
      <c r="CM33" s="378"/>
      <c r="CN33" s="378"/>
      <c r="CO33" s="378"/>
      <c r="CP33" s="378"/>
      <c r="CQ33" s="378"/>
      <c r="CR33" s="378"/>
      <c r="CS33" s="378"/>
      <c r="CT33" s="378"/>
    </row>
    <row r="34" spans="1:98" x14ac:dyDescent="0.25">
      <c r="A34" s="378"/>
      <c r="B34" s="378"/>
      <c r="C34" s="378"/>
      <c r="D34" s="378"/>
      <c r="E34" s="378"/>
      <c r="F34" s="378"/>
      <c r="G34" s="378"/>
      <c r="H34" s="378"/>
      <c r="I34" s="378"/>
      <c r="J34" s="378"/>
      <c r="K34" s="378"/>
      <c r="L34" s="378"/>
      <c r="M34" s="378"/>
      <c r="N34" s="378"/>
      <c r="O34" s="378"/>
      <c r="P34" s="378"/>
      <c r="Q34" s="378"/>
      <c r="R34" s="378"/>
      <c r="S34" s="378"/>
      <c r="T34" s="378"/>
      <c r="U34" s="378"/>
      <c r="V34" s="378"/>
      <c r="W34" s="378"/>
      <c r="X34" s="378"/>
      <c r="Y34" s="378"/>
      <c r="Z34" s="378"/>
      <c r="AA34" s="378"/>
      <c r="AB34" s="378"/>
      <c r="AC34" s="378"/>
      <c r="AD34" s="378"/>
      <c r="AE34" s="378"/>
      <c r="AF34" s="378"/>
      <c r="AG34" s="378"/>
      <c r="AH34" s="378"/>
      <c r="AI34" s="378"/>
      <c r="AJ34" s="378"/>
      <c r="AK34" s="378"/>
      <c r="AL34" s="378"/>
      <c r="AM34" s="378"/>
      <c r="AN34" s="378"/>
      <c r="AO34" s="378"/>
      <c r="AP34" s="378"/>
      <c r="AQ34" s="378"/>
      <c r="AR34" s="378"/>
      <c r="AS34" s="378"/>
      <c r="AT34" s="378"/>
      <c r="AU34" s="378"/>
      <c r="AV34" s="378"/>
      <c r="AW34" s="378"/>
      <c r="AX34" s="378"/>
      <c r="AY34" s="378"/>
      <c r="AZ34" s="378"/>
      <c r="BA34" s="378"/>
      <c r="BB34" s="378"/>
      <c r="BC34" s="378"/>
      <c r="BD34" s="378"/>
      <c r="BE34" s="378"/>
      <c r="BF34" s="378"/>
      <c r="BG34" s="378"/>
      <c r="BH34" s="378"/>
      <c r="BI34" s="378"/>
      <c r="BJ34" s="378"/>
      <c r="BK34" s="378"/>
      <c r="BL34" s="378"/>
      <c r="BM34" s="378"/>
      <c r="BN34" s="378"/>
      <c r="BO34" s="378"/>
      <c r="BP34" s="378"/>
      <c r="BQ34" s="378"/>
      <c r="BR34" s="378"/>
      <c r="BS34" s="378"/>
      <c r="BT34" s="378"/>
      <c r="BU34" s="378"/>
      <c r="BV34" s="378"/>
      <c r="BW34" s="378"/>
      <c r="BX34" s="378"/>
      <c r="BY34" s="378"/>
      <c r="BZ34" s="378"/>
      <c r="CA34" s="378"/>
      <c r="CB34" s="378"/>
      <c r="CC34" s="378"/>
      <c r="CD34" s="378"/>
      <c r="CE34" s="378"/>
      <c r="CF34" s="378"/>
      <c r="CG34" s="378"/>
      <c r="CH34" s="378"/>
      <c r="CI34" s="378"/>
      <c r="CJ34" s="378"/>
      <c r="CK34" s="378"/>
      <c r="CL34" s="378"/>
      <c r="CM34" s="378"/>
      <c r="CN34" s="378"/>
      <c r="CO34" s="378"/>
      <c r="CP34" s="378"/>
      <c r="CQ34" s="378"/>
      <c r="CR34" s="378"/>
      <c r="CS34" s="378"/>
      <c r="CT34" s="378"/>
    </row>
    <row r="35" spans="1:98" x14ac:dyDescent="0.25">
      <c r="A35" s="378"/>
      <c r="B35" s="378"/>
      <c r="C35" s="378"/>
      <c r="D35" s="378"/>
      <c r="E35" s="378"/>
      <c r="F35" s="378"/>
      <c r="G35" s="378"/>
      <c r="H35" s="378"/>
      <c r="I35" s="378"/>
      <c r="J35" s="378"/>
      <c r="K35" s="378"/>
      <c r="L35" s="378"/>
      <c r="M35" s="378"/>
      <c r="N35" s="378"/>
      <c r="O35" s="378"/>
      <c r="P35" s="378"/>
      <c r="Q35" s="378"/>
      <c r="R35" s="378"/>
      <c r="S35" s="378"/>
      <c r="T35" s="378"/>
      <c r="U35" s="378"/>
      <c r="V35" s="378"/>
      <c r="W35" s="378"/>
      <c r="X35" s="378"/>
      <c r="Y35" s="378"/>
      <c r="Z35" s="378"/>
      <c r="AA35" s="378"/>
      <c r="AB35" s="378"/>
      <c r="AC35" s="378"/>
      <c r="AD35" s="378"/>
      <c r="AE35" s="378"/>
      <c r="AF35" s="378"/>
      <c r="AG35" s="378"/>
      <c r="AH35" s="378"/>
      <c r="AI35" s="378"/>
      <c r="AJ35" s="378"/>
      <c r="AK35" s="378"/>
      <c r="AL35" s="378"/>
      <c r="AM35" s="378"/>
      <c r="AN35" s="378"/>
      <c r="AO35" s="378"/>
      <c r="AP35" s="378"/>
      <c r="AQ35" s="378"/>
      <c r="AR35" s="378"/>
      <c r="AS35" s="378"/>
      <c r="AT35" s="378"/>
      <c r="AU35" s="378"/>
      <c r="AV35" s="378"/>
      <c r="AW35" s="378"/>
      <c r="AX35" s="378"/>
      <c r="AY35" s="378"/>
      <c r="AZ35" s="378"/>
      <c r="BA35" s="378"/>
      <c r="BB35" s="378"/>
      <c r="BC35" s="378"/>
      <c r="BD35" s="378"/>
      <c r="BE35" s="378"/>
      <c r="BF35" s="378"/>
      <c r="BG35" s="378"/>
      <c r="BH35" s="378"/>
      <c r="BI35" s="378"/>
      <c r="BJ35" s="378"/>
      <c r="BK35" s="378"/>
      <c r="BL35" s="378"/>
      <c r="BM35" s="378"/>
      <c r="BN35" s="378"/>
      <c r="BO35" s="378"/>
      <c r="BP35" s="378"/>
      <c r="BQ35" s="378"/>
      <c r="BR35" s="378"/>
      <c r="BS35" s="378"/>
      <c r="BT35" s="378"/>
      <c r="BU35" s="378"/>
      <c r="BV35" s="378"/>
      <c r="BW35" s="378"/>
      <c r="BX35" s="378"/>
      <c r="BY35" s="378"/>
      <c r="BZ35" s="378"/>
      <c r="CA35" s="378"/>
      <c r="CB35" s="378"/>
      <c r="CC35" s="378"/>
      <c r="CD35" s="378"/>
      <c r="CE35" s="378"/>
      <c r="CF35" s="378"/>
      <c r="CG35" s="378"/>
      <c r="CH35" s="378"/>
      <c r="CI35" s="378"/>
      <c r="CJ35" s="378"/>
      <c r="CK35" s="378"/>
      <c r="CL35" s="378"/>
      <c r="CM35" s="378"/>
      <c r="CN35" s="378"/>
      <c r="CO35" s="378"/>
      <c r="CP35" s="378"/>
      <c r="CQ35" s="378"/>
      <c r="CR35" s="378"/>
      <c r="CS35" s="378"/>
      <c r="CT35" s="378"/>
    </row>
    <row r="36" spans="1:98" x14ac:dyDescent="0.25">
      <c r="A36" s="378"/>
      <c r="B36" s="378"/>
      <c r="C36" s="378"/>
      <c r="D36" s="378"/>
      <c r="E36" s="378"/>
      <c r="F36" s="378"/>
      <c r="G36" s="378"/>
      <c r="H36" s="378"/>
      <c r="I36" s="378"/>
      <c r="J36" s="378"/>
      <c r="K36" s="378"/>
      <c r="L36" s="378"/>
      <c r="M36" s="378"/>
      <c r="N36" s="378"/>
      <c r="O36" s="378"/>
      <c r="P36" s="378"/>
      <c r="Q36" s="378"/>
      <c r="R36" s="378"/>
      <c r="S36" s="378"/>
      <c r="T36" s="378"/>
      <c r="U36" s="378"/>
      <c r="V36" s="378"/>
      <c r="W36" s="378"/>
      <c r="X36" s="378"/>
      <c r="Y36" s="378"/>
      <c r="Z36" s="378"/>
      <c r="AA36" s="378"/>
      <c r="AB36" s="378"/>
      <c r="AC36" s="378"/>
      <c r="AD36" s="378"/>
      <c r="AE36" s="378"/>
      <c r="AF36" s="378"/>
      <c r="AG36" s="378"/>
      <c r="AH36" s="378"/>
      <c r="AI36" s="378"/>
      <c r="AJ36" s="378"/>
      <c r="AK36" s="378"/>
      <c r="AL36" s="378"/>
      <c r="AM36" s="378"/>
      <c r="AN36" s="378"/>
      <c r="AO36" s="378"/>
      <c r="AP36" s="378"/>
      <c r="AQ36" s="378"/>
      <c r="AR36" s="378"/>
      <c r="AS36" s="378"/>
      <c r="AT36" s="378"/>
      <c r="AU36" s="378"/>
      <c r="AV36" s="378"/>
      <c r="AW36" s="378"/>
      <c r="AX36" s="378"/>
      <c r="AY36" s="378"/>
      <c r="AZ36" s="378"/>
      <c r="BA36" s="378"/>
      <c r="BB36" s="378"/>
      <c r="BC36" s="378"/>
      <c r="BD36" s="378"/>
      <c r="BE36" s="378"/>
      <c r="BF36" s="378"/>
      <c r="BG36" s="378"/>
      <c r="BH36" s="378"/>
      <c r="BI36" s="378"/>
      <c r="BJ36" s="378"/>
      <c r="BK36" s="378"/>
      <c r="BL36" s="378"/>
      <c r="BM36" s="378"/>
      <c r="BN36" s="378"/>
      <c r="BO36" s="378"/>
      <c r="BP36" s="378"/>
      <c r="BQ36" s="378"/>
      <c r="BR36" s="378"/>
      <c r="BS36" s="378"/>
      <c r="BT36" s="378"/>
      <c r="BU36" s="378"/>
      <c r="BV36" s="378"/>
      <c r="BW36" s="378"/>
      <c r="BX36" s="378"/>
      <c r="BY36" s="378"/>
      <c r="BZ36" s="378"/>
      <c r="CA36" s="378"/>
      <c r="CB36" s="378"/>
      <c r="CC36" s="378"/>
      <c r="CD36" s="378"/>
      <c r="CE36" s="378"/>
      <c r="CF36" s="378"/>
      <c r="CG36" s="378"/>
      <c r="CH36" s="378"/>
      <c r="CI36" s="378"/>
      <c r="CJ36" s="378"/>
      <c r="CK36" s="378"/>
      <c r="CL36" s="378"/>
      <c r="CM36" s="378"/>
      <c r="CN36" s="378"/>
      <c r="CO36" s="378"/>
      <c r="CP36" s="378"/>
      <c r="CQ36" s="378"/>
      <c r="CR36" s="378"/>
      <c r="CS36" s="378"/>
      <c r="CT36" s="378"/>
    </row>
    <row r="37" spans="1:98" x14ac:dyDescent="0.25">
      <c r="A37" s="378"/>
      <c r="B37" s="378"/>
      <c r="C37" s="378"/>
      <c r="D37" s="378"/>
      <c r="E37" s="378"/>
      <c r="F37" s="378"/>
      <c r="G37" s="378"/>
      <c r="H37" s="378"/>
      <c r="I37" s="378"/>
      <c r="J37" s="378"/>
      <c r="K37" s="378"/>
      <c r="L37" s="378"/>
      <c r="M37" s="378"/>
      <c r="N37" s="378"/>
      <c r="O37" s="378"/>
      <c r="P37" s="378"/>
      <c r="Q37" s="378"/>
      <c r="R37" s="378"/>
      <c r="S37" s="378"/>
      <c r="T37" s="378"/>
      <c r="U37" s="378"/>
      <c r="V37" s="378"/>
      <c r="W37" s="378"/>
      <c r="X37" s="378"/>
      <c r="Y37" s="378"/>
      <c r="Z37" s="378"/>
      <c r="AA37" s="378"/>
      <c r="AB37" s="378"/>
      <c r="AC37" s="378"/>
      <c r="AD37" s="378"/>
      <c r="AE37" s="378"/>
      <c r="AF37" s="378"/>
      <c r="AG37" s="378"/>
      <c r="AH37" s="378"/>
      <c r="AI37" s="378"/>
      <c r="AJ37" s="378"/>
      <c r="AK37" s="378"/>
      <c r="AL37" s="378"/>
      <c r="AM37" s="378"/>
      <c r="AN37" s="378"/>
      <c r="AO37" s="378"/>
      <c r="AP37" s="378"/>
      <c r="AQ37" s="378"/>
      <c r="AR37" s="378"/>
      <c r="AS37" s="378"/>
      <c r="AT37" s="378"/>
      <c r="AU37" s="378"/>
      <c r="AV37" s="378"/>
      <c r="AW37" s="378"/>
      <c r="AX37" s="378"/>
      <c r="AY37" s="378"/>
      <c r="AZ37" s="378"/>
      <c r="BA37" s="378"/>
      <c r="BB37" s="378"/>
      <c r="BC37" s="378"/>
      <c r="BD37" s="378"/>
      <c r="BE37" s="378"/>
      <c r="BF37" s="378"/>
      <c r="BG37" s="378"/>
      <c r="BH37" s="378"/>
      <c r="BI37" s="378"/>
      <c r="BJ37" s="378"/>
      <c r="BK37" s="378"/>
      <c r="BL37" s="378"/>
      <c r="BM37" s="378"/>
      <c r="BN37" s="378"/>
      <c r="BO37" s="378"/>
      <c r="BP37" s="378"/>
      <c r="BQ37" s="378"/>
      <c r="BR37" s="378"/>
      <c r="BS37" s="378"/>
      <c r="BT37" s="378"/>
      <c r="BU37" s="378"/>
      <c r="BV37" s="378"/>
      <c r="BW37" s="378"/>
      <c r="BX37" s="378"/>
      <c r="BY37" s="378"/>
      <c r="BZ37" s="378"/>
      <c r="CA37" s="378"/>
      <c r="CB37" s="378"/>
      <c r="CC37" s="378"/>
      <c r="CD37" s="378"/>
      <c r="CE37" s="378"/>
      <c r="CF37" s="378"/>
      <c r="CG37" s="378"/>
      <c r="CH37" s="378"/>
      <c r="CI37" s="378"/>
      <c r="CJ37" s="378"/>
      <c r="CK37" s="378"/>
      <c r="CL37" s="378"/>
      <c r="CM37" s="378"/>
      <c r="CN37" s="378"/>
      <c r="CO37" s="378"/>
      <c r="CP37" s="378"/>
      <c r="CQ37" s="378"/>
      <c r="CR37" s="378"/>
      <c r="CS37" s="378"/>
      <c r="CT37" s="378"/>
    </row>
    <row r="38" spans="1:98" x14ac:dyDescent="0.25">
      <c r="A38" s="378"/>
      <c r="B38" s="378"/>
      <c r="C38" s="378"/>
      <c r="D38" s="378"/>
      <c r="E38" s="378"/>
      <c r="F38" s="378"/>
      <c r="G38" s="378"/>
      <c r="H38" s="378"/>
      <c r="I38" s="378"/>
      <c r="J38" s="378"/>
      <c r="K38" s="378"/>
      <c r="L38" s="378"/>
      <c r="M38" s="378"/>
      <c r="N38" s="378"/>
      <c r="O38" s="378"/>
      <c r="P38" s="378"/>
      <c r="Q38" s="378"/>
      <c r="R38" s="378"/>
      <c r="S38" s="378"/>
      <c r="T38" s="378"/>
      <c r="U38" s="378"/>
      <c r="V38" s="378"/>
      <c r="W38" s="378"/>
      <c r="X38" s="378"/>
      <c r="Y38" s="378"/>
      <c r="Z38" s="378"/>
      <c r="AA38" s="378"/>
      <c r="AB38" s="378"/>
      <c r="AC38" s="378"/>
      <c r="AD38" s="378"/>
      <c r="AE38" s="378"/>
      <c r="AF38" s="378"/>
      <c r="AG38" s="378"/>
      <c r="AH38" s="378"/>
      <c r="AI38" s="378"/>
      <c r="AJ38" s="378"/>
      <c r="AK38" s="378"/>
      <c r="AL38" s="378"/>
      <c r="AM38" s="378"/>
      <c r="AN38" s="378"/>
      <c r="AO38" s="378"/>
      <c r="AP38" s="378"/>
      <c r="AQ38" s="378"/>
      <c r="AR38" s="378"/>
      <c r="AS38" s="378"/>
      <c r="AT38" s="378"/>
      <c r="AU38" s="378"/>
      <c r="AV38" s="378"/>
      <c r="AW38" s="378"/>
      <c r="AX38" s="378"/>
      <c r="AY38" s="378"/>
      <c r="AZ38" s="378"/>
      <c r="BA38" s="378"/>
      <c r="BB38" s="378"/>
      <c r="BC38" s="378"/>
      <c r="BD38" s="378"/>
      <c r="BE38" s="378"/>
      <c r="BF38" s="378"/>
      <c r="BG38" s="378"/>
      <c r="BH38" s="378"/>
      <c r="BI38" s="378"/>
      <c r="BJ38" s="378"/>
      <c r="BK38" s="378"/>
      <c r="BL38" s="378"/>
      <c r="BM38" s="378"/>
      <c r="BN38" s="378"/>
      <c r="BO38" s="378"/>
      <c r="BP38" s="378"/>
      <c r="BQ38" s="378"/>
      <c r="BR38" s="378"/>
      <c r="BS38" s="378"/>
      <c r="BT38" s="378"/>
      <c r="BU38" s="378"/>
      <c r="BV38" s="378"/>
      <c r="BW38" s="378"/>
      <c r="BX38" s="378"/>
      <c r="BY38" s="378"/>
      <c r="BZ38" s="378"/>
      <c r="CA38" s="378"/>
      <c r="CB38" s="378"/>
      <c r="CC38" s="378"/>
      <c r="CD38" s="378"/>
      <c r="CE38" s="378"/>
      <c r="CF38" s="378"/>
      <c r="CG38" s="378"/>
      <c r="CH38" s="378"/>
      <c r="CI38" s="378"/>
      <c r="CJ38" s="378"/>
      <c r="CK38" s="378"/>
      <c r="CL38" s="378"/>
      <c r="CM38" s="378"/>
      <c r="CN38" s="378"/>
      <c r="CO38" s="378"/>
      <c r="CP38" s="378"/>
      <c r="CQ38" s="378"/>
      <c r="CR38" s="378"/>
      <c r="CS38" s="378"/>
      <c r="CT38" s="378"/>
    </row>
    <row r="39" spans="1:98" x14ac:dyDescent="0.25">
      <c r="A39" s="378"/>
      <c r="B39" s="378"/>
      <c r="C39" s="378"/>
      <c r="D39" s="378"/>
      <c r="E39" s="378"/>
      <c r="F39" s="378"/>
      <c r="G39" s="378"/>
      <c r="H39" s="378"/>
      <c r="I39" s="378"/>
      <c r="J39" s="378"/>
      <c r="K39" s="378"/>
      <c r="L39" s="378"/>
      <c r="M39" s="378"/>
      <c r="N39" s="378"/>
      <c r="O39" s="378"/>
      <c r="P39" s="378"/>
      <c r="Q39" s="378"/>
      <c r="R39" s="378"/>
      <c r="S39" s="378"/>
      <c r="T39" s="378"/>
      <c r="U39" s="378"/>
      <c r="V39" s="378"/>
      <c r="W39" s="378"/>
      <c r="X39" s="378"/>
      <c r="Y39" s="378"/>
      <c r="Z39" s="378"/>
      <c r="AA39" s="378"/>
      <c r="AB39" s="378"/>
      <c r="AC39" s="378"/>
      <c r="AD39" s="378"/>
      <c r="AE39" s="378"/>
      <c r="AF39" s="378"/>
      <c r="AG39" s="378"/>
      <c r="AH39" s="378"/>
      <c r="AI39" s="378"/>
      <c r="AJ39" s="378"/>
      <c r="AK39" s="378"/>
      <c r="AL39" s="378"/>
      <c r="AM39" s="378"/>
      <c r="AN39" s="378"/>
      <c r="AO39" s="378"/>
      <c r="AP39" s="378"/>
      <c r="AQ39" s="378"/>
      <c r="AR39" s="378"/>
      <c r="AS39" s="378"/>
      <c r="AT39" s="378"/>
      <c r="AU39" s="378"/>
      <c r="AV39" s="378"/>
      <c r="AW39" s="378"/>
      <c r="AX39" s="378"/>
      <c r="AY39" s="378"/>
      <c r="AZ39" s="378"/>
      <c r="BA39" s="378"/>
      <c r="BB39" s="378"/>
      <c r="BC39" s="378"/>
      <c r="BD39" s="378"/>
      <c r="BE39" s="378"/>
      <c r="BF39" s="378"/>
      <c r="BG39" s="378"/>
      <c r="BH39" s="378"/>
      <c r="BI39" s="378"/>
      <c r="BJ39" s="378"/>
      <c r="BK39" s="378"/>
      <c r="BL39" s="378"/>
      <c r="BM39" s="378"/>
      <c r="BN39" s="378"/>
      <c r="BO39" s="378"/>
      <c r="BP39" s="378"/>
      <c r="BQ39" s="378"/>
      <c r="BR39" s="378"/>
      <c r="BS39" s="378"/>
      <c r="BT39" s="378"/>
      <c r="BU39" s="378"/>
      <c r="BV39" s="378"/>
      <c r="BW39" s="378"/>
      <c r="BX39" s="378"/>
      <c r="BY39" s="378"/>
      <c r="BZ39" s="378"/>
      <c r="CA39" s="378"/>
      <c r="CB39" s="378"/>
      <c r="CC39" s="378"/>
      <c r="CD39" s="378"/>
      <c r="CE39" s="378"/>
      <c r="CF39" s="378"/>
      <c r="CG39" s="378"/>
      <c r="CH39" s="378"/>
      <c r="CI39" s="378"/>
      <c r="CJ39" s="378"/>
      <c r="CK39" s="378"/>
      <c r="CL39" s="378"/>
      <c r="CM39" s="378"/>
      <c r="CN39" s="378"/>
      <c r="CO39" s="378"/>
      <c r="CP39" s="378"/>
      <c r="CQ39" s="378"/>
      <c r="CR39" s="378"/>
      <c r="CS39" s="378"/>
      <c r="CT39" s="378"/>
    </row>
    <row r="40" spans="1:98" x14ac:dyDescent="0.25">
      <c r="A40" s="378"/>
      <c r="B40" s="378"/>
      <c r="C40" s="378"/>
      <c r="D40" s="378"/>
      <c r="E40" s="378"/>
      <c r="F40" s="378"/>
      <c r="G40" s="378"/>
      <c r="H40" s="378"/>
      <c r="I40" s="378"/>
      <c r="J40" s="378"/>
      <c r="K40" s="378"/>
      <c r="L40" s="378"/>
      <c r="M40" s="378"/>
      <c r="N40" s="378"/>
      <c r="O40" s="378"/>
      <c r="P40" s="378"/>
      <c r="Q40" s="378"/>
      <c r="R40" s="378"/>
      <c r="S40" s="378"/>
      <c r="T40" s="378"/>
      <c r="U40" s="378"/>
      <c r="V40" s="378"/>
      <c r="W40" s="378"/>
      <c r="X40" s="378"/>
      <c r="Y40" s="378"/>
      <c r="Z40" s="378"/>
      <c r="AA40" s="378"/>
      <c r="AB40" s="378"/>
      <c r="AC40" s="378"/>
      <c r="AD40" s="378"/>
      <c r="AE40" s="378"/>
      <c r="AF40" s="378"/>
      <c r="AG40" s="378"/>
      <c r="AH40" s="378"/>
      <c r="AI40" s="378"/>
      <c r="AJ40" s="378"/>
      <c r="AK40" s="378"/>
      <c r="AL40" s="378"/>
      <c r="AM40" s="378"/>
      <c r="AN40" s="378"/>
      <c r="AO40" s="378"/>
      <c r="AP40" s="378"/>
      <c r="AQ40" s="378"/>
      <c r="AR40" s="378"/>
      <c r="AS40" s="378"/>
      <c r="AT40" s="378"/>
      <c r="AU40" s="378"/>
      <c r="AV40" s="378"/>
      <c r="AW40" s="378"/>
      <c r="AX40" s="378"/>
      <c r="AY40" s="378"/>
      <c r="AZ40" s="378"/>
      <c r="BA40" s="378"/>
      <c r="BB40" s="378"/>
      <c r="BC40" s="378"/>
      <c r="BD40" s="378"/>
      <c r="BE40" s="378"/>
      <c r="BF40" s="378"/>
      <c r="BG40" s="378"/>
      <c r="BH40" s="378"/>
      <c r="BI40" s="378"/>
      <c r="BJ40" s="378"/>
      <c r="BK40" s="378"/>
      <c r="BL40" s="378"/>
      <c r="BM40" s="378"/>
      <c r="BN40" s="378"/>
      <c r="BO40" s="378"/>
      <c r="BP40" s="378"/>
      <c r="BQ40" s="378"/>
      <c r="BR40" s="378"/>
      <c r="BS40" s="378"/>
      <c r="BT40" s="378"/>
      <c r="BU40" s="378"/>
      <c r="BV40" s="378"/>
      <c r="BW40" s="378"/>
      <c r="BX40" s="378"/>
      <c r="BY40" s="378"/>
      <c r="BZ40" s="378"/>
      <c r="CA40" s="378"/>
      <c r="CB40" s="378"/>
      <c r="CC40" s="378"/>
      <c r="CD40" s="378"/>
      <c r="CE40" s="378"/>
      <c r="CF40" s="378"/>
      <c r="CG40" s="378"/>
      <c r="CH40" s="378"/>
      <c r="CI40" s="378"/>
      <c r="CJ40" s="378"/>
      <c r="CK40" s="378"/>
      <c r="CL40" s="378"/>
      <c r="CM40" s="378"/>
      <c r="CN40" s="378"/>
      <c r="CO40" s="378"/>
      <c r="CP40" s="378"/>
      <c r="CQ40" s="378"/>
      <c r="CR40" s="378"/>
      <c r="CS40" s="378"/>
      <c r="CT40" s="378"/>
    </row>
    <row r="41" spans="1:98" x14ac:dyDescent="0.25">
      <c r="A41" s="378"/>
      <c r="B41" s="378"/>
      <c r="C41" s="378"/>
      <c r="D41" s="378"/>
      <c r="E41" s="378"/>
      <c r="F41" s="378"/>
      <c r="G41" s="378"/>
      <c r="H41" s="378"/>
      <c r="I41" s="378"/>
      <c r="J41" s="378"/>
      <c r="K41" s="378"/>
      <c r="L41" s="378"/>
      <c r="M41" s="378"/>
      <c r="N41" s="378"/>
      <c r="O41" s="378"/>
      <c r="P41" s="378"/>
      <c r="Q41" s="378"/>
      <c r="R41" s="378"/>
      <c r="S41" s="378"/>
      <c r="T41" s="378"/>
      <c r="U41" s="378"/>
      <c r="V41" s="378"/>
      <c r="W41" s="378"/>
      <c r="X41" s="378"/>
      <c r="Y41" s="378"/>
      <c r="Z41" s="378"/>
      <c r="AA41" s="378"/>
      <c r="AB41" s="378"/>
      <c r="AC41" s="378"/>
      <c r="AD41" s="378"/>
      <c r="AE41" s="378"/>
      <c r="AF41" s="378"/>
      <c r="AG41" s="378"/>
      <c r="AH41" s="378"/>
      <c r="AI41" s="378"/>
      <c r="AJ41" s="378"/>
      <c r="AK41" s="378"/>
      <c r="AL41" s="378"/>
      <c r="AM41" s="378"/>
      <c r="AN41" s="378"/>
      <c r="AO41" s="378"/>
      <c r="AP41" s="378"/>
      <c r="AQ41" s="378"/>
      <c r="AR41" s="378"/>
      <c r="AS41" s="378"/>
      <c r="AT41" s="378"/>
      <c r="AU41" s="378"/>
      <c r="AV41" s="378"/>
      <c r="AW41" s="378"/>
      <c r="AX41" s="378"/>
      <c r="AY41" s="378"/>
      <c r="AZ41" s="378"/>
      <c r="BA41" s="378"/>
      <c r="BB41" s="378"/>
      <c r="BC41" s="378"/>
      <c r="BD41" s="378"/>
      <c r="BE41" s="378"/>
      <c r="BF41" s="378"/>
      <c r="BG41" s="378"/>
      <c r="BH41" s="378"/>
      <c r="BI41" s="378"/>
      <c r="BJ41" s="378"/>
      <c r="BK41" s="378"/>
      <c r="BL41" s="378"/>
      <c r="BM41" s="378"/>
      <c r="BN41" s="378"/>
      <c r="BO41" s="378"/>
      <c r="BP41" s="378"/>
      <c r="BQ41" s="378"/>
      <c r="BR41" s="378"/>
      <c r="BS41" s="378"/>
      <c r="BT41" s="378"/>
      <c r="BU41" s="378"/>
      <c r="BV41" s="378"/>
      <c r="BW41" s="378"/>
      <c r="BX41" s="378"/>
      <c r="BY41" s="378"/>
      <c r="BZ41" s="378"/>
      <c r="CA41" s="378"/>
      <c r="CB41" s="378"/>
      <c r="CC41" s="378"/>
      <c r="CD41" s="378"/>
      <c r="CE41" s="378"/>
      <c r="CF41" s="378"/>
      <c r="CG41" s="378"/>
      <c r="CH41" s="378"/>
      <c r="CI41" s="378"/>
      <c r="CJ41" s="378"/>
      <c r="CK41" s="378"/>
      <c r="CL41" s="378"/>
      <c r="CM41" s="378"/>
      <c r="CN41" s="378"/>
      <c r="CO41" s="378"/>
      <c r="CP41" s="378"/>
      <c r="CQ41" s="378"/>
      <c r="CR41" s="378"/>
      <c r="CS41" s="378"/>
      <c r="CT41" s="378"/>
    </row>
    <row r="42" spans="1:98" x14ac:dyDescent="0.25">
      <c r="A42" s="378"/>
      <c r="B42" s="378"/>
      <c r="C42" s="378"/>
      <c r="D42" s="378"/>
      <c r="E42" s="378"/>
      <c r="F42" s="378"/>
      <c r="G42" s="378"/>
      <c r="H42" s="378"/>
      <c r="I42" s="378"/>
      <c r="J42" s="378"/>
      <c r="K42" s="378"/>
      <c r="L42" s="378"/>
      <c r="M42" s="378"/>
      <c r="N42" s="378"/>
      <c r="O42" s="378"/>
      <c r="P42" s="378"/>
      <c r="Q42" s="378"/>
      <c r="R42" s="378"/>
      <c r="S42" s="378"/>
      <c r="T42" s="378"/>
      <c r="U42" s="378"/>
      <c r="V42" s="378"/>
      <c r="W42" s="378"/>
      <c r="X42" s="378"/>
      <c r="Y42" s="378"/>
      <c r="Z42" s="378"/>
      <c r="AA42" s="378"/>
      <c r="AB42" s="378"/>
      <c r="AC42" s="378"/>
      <c r="AD42" s="378"/>
      <c r="AE42" s="378"/>
      <c r="AF42" s="378"/>
      <c r="AG42" s="378"/>
      <c r="AH42" s="378"/>
      <c r="AI42" s="378"/>
      <c r="AJ42" s="378"/>
      <c r="AK42" s="378"/>
      <c r="AL42" s="378"/>
      <c r="AM42" s="378"/>
      <c r="AN42" s="378"/>
      <c r="AO42" s="378"/>
      <c r="AP42" s="378"/>
      <c r="AQ42" s="378"/>
      <c r="AR42" s="378"/>
      <c r="AS42" s="378"/>
      <c r="AT42" s="378"/>
      <c r="AU42" s="378"/>
      <c r="AV42" s="378"/>
      <c r="AW42" s="378"/>
      <c r="AX42" s="378"/>
      <c r="AY42" s="378"/>
      <c r="AZ42" s="378"/>
      <c r="BA42" s="378"/>
      <c r="BB42" s="378"/>
      <c r="BC42" s="378"/>
      <c r="BD42" s="378"/>
      <c r="BE42" s="378"/>
      <c r="BF42" s="378"/>
      <c r="BG42" s="378"/>
      <c r="BH42" s="378"/>
      <c r="BI42" s="378"/>
      <c r="BJ42" s="378"/>
      <c r="BK42" s="378"/>
      <c r="BL42" s="378"/>
      <c r="BM42" s="378"/>
      <c r="BN42" s="378"/>
      <c r="BO42" s="378"/>
      <c r="BP42" s="378"/>
      <c r="BQ42" s="378"/>
      <c r="BR42" s="378"/>
      <c r="BS42" s="378"/>
      <c r="BT42" s="378"/>
      <c r="BU42" s="378"/>
      <c r="BV42" s="378"/>
      <c r="BW42" s="378"/>
      <c r="BX42" s="378"/>
      <c r="BY42" s="378"/>
      <c r="BZ42" s="378"/>
      <c r="CA42" s="378"/>
      <c r="CB42" s="378"/>
      <c r="CC42" s="378"/>
      <c r="CD42" s="378"/>
      <c r="CE42" s="378"/>
      <c r="CF42" s="378"/>
      <c r="CG42" s="378"/>
      <c r="CH42" s="378"/>
      <c r="CI42" s="378"/>
      <c r="CJ42" s="378"/>
      <c r="CK42" s="378"/>
      <c r="CL42" s="378"/>
      <c r="CM42" s="378"/>
      <c r="CN42" s="378"/>
      <c r="CO42" s="378"/>
      <c r="CP42" s="378"/>
      <c r="CQ42" s="378"/>
      <c r="CR42" s="378"/>
      <c r="CS42" s="378"/>
      <c r="CT42" s="378"/>
    </row>
    <row r="43" spans="1:98" x14ac:dyDescent="0.25">
      <c r="A43" s="378"/>
      <c r="B43" s="378"/>
      <c r="C43" s="378"/>
      <c r="D43" s="378"/>
      <c r="E43" s="378"/>
      <c r="F43" s="378"/>
      <c r="G43" s="378"/>
      <c r="H43" s="378"/>
      <c r="I43" s="378"/>
      <c r="J43" s="378"/>
      <c r="K43" s="378"/>
      <c r="L43" s="378"/>
      <c r="M43" s="378"/>
      <c r="N43" s="378"/>
      <c r="O43" s="378"/>
      <c r="P43" s="378"/>
      <c r="Q43" s="378"/>
      <c r="R43" s="378"/>
      <c r="S43" s="378"/>
      <c r="T43" s="378"/>
      <c r="U43" s="378"/>
      <c r="V43" s="378"/>
      <c r="W43" s="378"/>
      <c r="X43" s="378"/>
      <c r="Y43" s="378"/>
      <c r="Z43" s="378"/>
      <c r="AA43" s="378"/>
      <c r="AB43" s="378"/>
      <c r="AC43" s="378"/>
      <c r="AD43" s="378"/>
      <c r="AE43" s="378"/>
      <c r="AF43" s="378"/>
      <c r="AG43" s="378"/>
      <c r="AH43" s="378"/>
      <c r="AI43" s="378"/>
      <c r="AJ43" s="378"/>
      <c r="AK43" s="378"/>
      <c r="AL43" s="378"/>
      <c r="AM43" s="378"/>
      <c r="AN43" s="378"/>
      <c r="AO43" s="378"/>
      <c r="AP43" s="378"/>
      <c r="AQ43" s="378"/>
      <c r="AR43" s="378"/>
      <c r="AS43" s="378"/>
      <c r="AT43" s="378"/>
      <c r="AU43" s="378"/>
      <c r="AV43" s="378"/>
      <c r="AW43" s="378"/>
      <c r="AX43" s="378"/>
      <c r="AY43" s="378"/>
      <c r="AZ43" s="378"/>
      <c r="BA43" s="378"/>
      <c r="BB43" s="378"/>
      <c r="BC43" s="378"/>
      <c r="BD43" s="378"/>
      <c r="BE43" s="378"/>
      <c r="BF43" s="378"/>
      <c r="BG43" s="378"/>
      <c r="BH43" s="378"/>
      <c r="BI43" s="378"/>
      <c r="BJ43" s="378"/>
      <c r="BK43" s="378"/>
      <c r="BL43" s="378"/>
      <c r="BM43" s="378"/>
      <c r="BN43" s="378"/>
      <c r="BO43" s="378"/>
      <c r="BP43" s="378"/>
      <c r="BQ43" s="378"/>
      <c r="BR43" s="378"/>
      <c r="BS43" s="378"/>
      <c r="BT43" s="378"/>
      <c r="BU43" s="378"/>
      <c r="BV43" s="378"/>
      <c r="BW43" s="378"/>
      <c r="BX43" s="378"/>
      <c r="BY43" s="378"/>
      <c r="BZ43" s="378"/>
      <c r="CA43" s="378"/>
      <c r="CB43" s="378"/>
      <c r="CC43" s="378"/>
      <c r="CD43" s="378"/>
      <c r="CE43" s="378"/>
      <c r="CF43" s="378"/>
      <c r="CG43" s="378"/>
      <c r="CH43" s="378"/>
      <c r="CI43" s="378"/>
      <c r="CJ43" s="378"/>
      <c r="CK43" s="378"/>
      <c r="CL43" s="378"/>
      <c r="CM43" s="378"/>
      <c r="CN43" s="378"/>
      <c r="CO43" s="378"/>
      <c r="CP43" s="378"/>
      <c r="CQ43" s="378"/>
      <c r="CR43" s="378"/>
      <c r="CS43" s="378"/>
      <c r="CT43" s="378"/>
    </row>
    <row r="44" spans="1:98" x14ac:dyDescent="0.25">
      <c r="A44" s="378"/>
      <c r="B44" s="378"/>
      <c r="C44" s="378"/>
      <c r="D44" s="378"/>
      <c r="E44" s="378"/>
      <c r="F44" s="378"/>
      <c r="G44" s="378"/>
      <c r="H44" s="378"/>
      <c r="I44" s="378"/>
      <c r="J44" s="378"/>
      <c r="K44" s="378"/>
      <c r="L44" s="378"/>
      <c r="M44" s="378"/>
      <c r="N44" s="378"/>
      <c r="O44" s="378"/>
      <c r="P44" s="378"/>
      <c r="Q44" s="378"/>
      <c r="R44" s="378"/>
      <c r="S44" s="378"/>
      <c r="T44" s="378"/>
      <c r="U44" s="378"/>
      <c r="V44" s="378"/>
      <c r="W44" s="378"/>
      <c r="X44" s="378"/>
      <c r="Y44" s="378"/>
      <c r="Z44" s="378"/>
      <c r="AA44" s="378"/>
      <c r="AB44" s="378"/>
      <c r="AC44" s="378"/>
      <c r="AD44" s="378"/>
      <c r="AE44" s="378"/>
      <c r="AF44" s="378"/>
      <c r="AG44" s="378"/>
      <c r="AH44" s="378"/>
      <c r="AI44" s="378"/>
      <c r="AJ44" s="378"/>
      <c r="AK44" s="378"/>
      <c r="AL44" s="378"/>
      <c r="AM44" s="378"/>
      <c r="AN44" s="378"/>
      <c r="AO44" s="378"/>
      <c r="AP44" s="378"/>
      <c r="AQ44" s="378"/>
      <c r="AR44" s="378"/>
      <c r="AS44" s="378"/>
      <c r="AT44" s="378"/>
      <c r="AU44" s="378"/>
      <c r="AV44" s="378"/>
      <c r="AW44" s="378"/>
      <c r="AX44" s="378"/>
      <c r="AY44" s="378"/>
      <c r="AZ44" s="378"/>
      <c r="BA44" s="378"/>
      <c r="BB44" s="378"/>
      <c r="BC44" s="378"/>
      <c r="BD44" s="378"/>
      <c r="BE44" s="378"/>
      <c r="BF44" s="378"/>
      <c r="BG44" s="378"/>
      <c r="BH44" s="378"/>
      <c r="BI44" s="378"/>
      <c r="BJ44" s="378"/>
      <c r="BK44" s="378"/>
      <c r="BL44" s="378"/>
      <c r="BM44" s="378"/>
      <c r="BN44" s="378"/>
      <c r="BO44" s="378"/>
      <c r="BP44" s="378"/>
      <c r="BQ44" s="378"/>
      <c r="BR44" s="378"/>
      <c r="BS44" s="378"/>
      <c r="BT44" s="378"/>
      <c r="BU44" s="378"/>
      <c r="BV44" s="378"/>
      <c r="BW44" s="378"/>
      <c r="BX44" s="378"/>
      <c r="BY44" s="378"/>
      <c r="BZ44" s="378"/>
      <c r="CA44" s="378"/>
      <c r="CB44" s="378"/>
      <c r="CC44" s="378"/>
      <c r="CD44" s="378"/>
      <c r="CE44" s="378"/>
      <c r="CF44" s="378"/>
      <c r="CG44" s="378"/>
      <c r="CH44" s="378"/>
      <c r="CI44" s="378"/>
      <c r="CJ44" s="378"/>
      <c r="CK44" s="378"/>
      <c r="CL44" s="378"/>
      <c r="CM44" s="378"/>
      <c r="CN44" s="378"/>
      <c r="CO44" s="378"/>
      <c r="CP44" s="378"/>
      <c r="CQ44" s="378"/>
      <c r="CR44" s="378"/>
      <c r="CS44" s="378"/>
      <c r="CT44" s="378"/>
    </row>
    <row r="45" spans="1:98" x14ac:dyDescent="0.25">
      <c r="A45" s="378"/>
      <c r="B45" s="378"/>
      <c r="C45" s="378"/>
      <c r="D45" s="378"/>
      <c r="E45" s="378"/>
      <c r="F45" s="378"/>
      <c r="G45" s="378"/>
      <c r="H45" s="378"/>
      <c r="I45" s="378"/>
      <c r="J45" s="378"/>
      <c r="K45" s="378"/>
      <c r="L45" s="378"/>
      <c r="M45" s="378"/>
      <c r="N45" s="378"/>
      <c r="O45" s="378"/>
      <c r="P45" s="378"/>
      <c r="Q45" s="378"/>
      <c r="R45" s="378"/>
      <c r="S45" s="378"/>
      <c r="T45" s="378"/>
      <c r="U45" s="378"/>
      <c r="V45" s="378"/>
      <c r="W45" s="378"/>
      <c r="X45" s="378"/>
      <c r="Y45" s="378"/>
      <c r="Z45" s="378"/>
      <c r="AA45" s="378"/>
      <c r="AB45" s="378"/>
      <c r="AC45" s="378"/>
      <c r="AD45" s="378"/>
      <c r="AE45" s="378"/>
      <c r="AF45" s="378"/>
      <c r="AG45" s="378"/>
      <c r="AH45" s="378"/>
      <c r="AI45" s="378"/>
      <c r="AJ45" s="378"/>
      <c r="AK45" s="378"/>
      <c r="AL45" s="378"/>
      <c r="AM45" s="378"/>
      <c r="AN45" s="378"/>
      <c r="AO45" s="378"/>
      <c r="AP45" s="378"/>
      <c r="AQ45" s="378"/>
      <c r="AR45" s="378"/>
      <c r="AS45" s="378"/>
      <c r="AT45" s="378"/>
      <c r="AU45" s="378"/>
      <c r="AV45" s="378"/>
      <c r="AW45" s="378"/>
      <c r="AX45" s="378"/>
      <c r="AY45" s="378"/>
      <c r="AZ45" s="378"/>
      <c r="BA45" s="378"/>
      <c r="BB45" s="378"/>
      <c r="BC45" s="378"/>
      <c r="BD45" s="378"/>
      <c r="BE45" s="378"/>
      <c r="BF45" s="378"/>
      <c r="BG45" s="378"/>
      <c r="BH45" s="378"/>
      <c r="BI45" s="378"/>
      <c r="BJ45" s="378"/>
      <c r="BK45" s="378"/>
      <c r="BL45" s="378"/>
      <c r="BM45" s="378"/>
      <c r="BN45" s="378"/>
      <c r="BO45" s="378"/>
      <c r="BP45" s="378"/>
      <c r="BQ45" s="378"/>
      <c r="BR45" s="378"/>
      <c r="BS45" s="378"/>
      <c r="BT45" s="378"/>
      <c r="BU45" s="378"/>
      <c r="BV45" s="378"/>
      <c r="BW45" s="378"/>
      <c r="BX45" s="378"/>
      <c r="BY45" s="378"/>
      <c r="BZ45" s="378"/>
      <c r="CA45" s="378"/>
      <c r="CB45" s="378"/>
      <c r="CC45" s="378"/>
      <c r="CD45" s="378"/>
      <c r="CE45" s="378"/>
      <c r="CF45" s="378"/>
      <c r="CG45" s="378"/>
      <c r="CH45" s="378"/>
      <c r="CI45" s="378"/>
      <c r="CJ45" s="378"/>
      <c r="CK45" s="378"/>
      <c r="CL45" s="378"/>
      <c r="CM45" s="378"/>
      <c r="CN45" s="378"/>
      <c r="CO45" s="378"/>
      <c r="CP45" s="378"/>
      <c r="CQ45" s="378"/>
      <c r="CR45" s="378"/>
      <c r="CS45" s="378"/>
      <c r="CT45" s="378"/>
    </row>
    <row r="46" spans="1:98" x14ac:dyDescent="0.25">
      <c r="A46" s="378"/>
      <c r="B46" s="378"/>
      <c r="C46" s="378"/>
      <c r="D46" s="378"/>
      <c r="E46" s="378"/>
      <c r="F46" s="378"/>
      <c r="G46" s="378"/>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c r="AM46" s="378"/>
      <c r="AN46" s="378"/>
      <c r="AO46" s="378"/>
      <c r="AP46" s="378"/>
      <c r="AQ46" s="378"/>
      <c r="AR46" s="378"/>
      <c r="AS46" s="378"/>
      <c r="AT46" s="378"/>
      <c r="AU46" s="378"/>
      <c r="AV46" s="378"/>
      <c r="AW46" s="378"/>
      <c r="AX46" s="378"/>
      <c r="AY46" s="378"/>
      <c r="AZ46" s="378"/>
      <c r="BA46" s="378"/>
      <c r="BB46" s="378"/>
      <c r="BC46" s="378"/>
      <c r="BD46" s="378"/>
      <c r="BE46" s="378"/>
      <c r="BF46" s="378"/>
      <c r="BG46" s="378"/>
      <c r="BH46" s="378"/>
      <c r="BI46" s="378"/>
      <c r="BJ46" s="378"/>
      <c r="BK46" s="378"/>
      <c r="BL46" s="378"/>
      <c r="BM46" s="378"/>
      <c r="BN46" s="378"/>
      <c r="BO46" s="378"/>
      <c r="BP46" s="378"/>
      <c r="BQ46" s="378"/>
      <c r="BR46" s="378"/>
      <c r="BS46" s="378"/>
      <c r="BT46" s="378"/>
      <c r="BU46" s="378"/>
      <c r="BV46" s="378"/>
      <c r="BW46" s="378"/>
      <c r="BX46" s="378"/>
      <c r="BY46" s="378"/>
      <c r="BZ46" s="378"/>
      <c r="CA46" s="378"/>
      <c r="CB46" s="378"/>
      <c r="CC46" s="378"/>
      <c r="CD46" s="378"/>
      <c r="CE46" s="378"/>
      <c r="CF46" s="378"/>
      <c r="CG46" s="378"/>
      <c r="CH46" s="378"/>
      <c r="CI46" s="378"/>
      <c r="CJ46" s="378"/>
      <c r="CK46" s="378"/>
      <c r="CL46" s="378"/>
      <c r="CM46" s="378"/>
      <c r="CN46" s="378"/>
      <c r="CO46" s="378"/>
      <c r="CP46" s="378"/>
      <c r="CQ46" s="378"/>
      <c r="CR46" s="378"/>
      <c r="CS46" s="378"/>
      <c r="CT46" s="378"/>
    </row>
    <row r="47" spans="1:98" x14ac:dyDescent="0.25">
      <c r="A47" s="378"/>
      <c r="B47" s="378"/>
      <c r="C47" s="378"/>
      <c r="D47" s="378"/>
      <c r="E47" s="378"/>
      <c r="F47" s="378"/>
      <c r="G47" s="378"/>
      <c r="H47" s="378"/>
      <c r="I47" s="378"/>
      <c r="J47" s="378"/>
      <c r="K47" s="378"/>
      <c r="L47" s="378"/>
      <c r="M47" s="378"/>
      <c r="N47" s="378"/>
      <c r="O47" s="378"/>
      <c r="P47" s="378"/>
      <c r="Q47" s="378"/>
      <c r="R47" s="378"/>
      <c r="S47" s="378"/>
      <c r="T47" s="378"/>
      <c r="U47" s="378"/>
      <c r="V47" s="378"/>
      <c r="W47" s="378"/>
      <c r="X47" s="378"/>
      <c r="Y47" s="378"/>
      <c r="Z47" s="378"/>
      <c r="AA47" s="378"/>
      <c r="AB47" s="378"/>
      <c r="AC47" s="378"/>
      <c r="AD47" s="378"/>
      <c r="AE47" s="378"/>
      <c r="AF47" s="378"/>
      <c r="AG47" s="378"/>
      <c r="AH47" s="378"/>
      <c r="AI47" s="378"/>
      <c r="AJ47" s="378"/>
      <c r="AK47" s="378"/>
      <c r="AL47" s="378"/>
      <c r="AM47" s="378"/>
      <c r="AN47" s="378"/>
      <c r="AO47" s="378"/>
      <c r="AP47" s="378"/>
      <c r="AQ47" s="378"/>
      <c r="AR47" s="378"/>
      <c r="AS47" s="378"/>
      <c r="AT47" s="378"/>
      <c r="AU47" s="378"/>
      <c r="AV47" s="378"/>
      <c r="AW47" s="378"/>
      <c r="AX47" s="378"/>
      <c r="AY47" s="378"/>
      <c r="AZ47" s="378"/>
      <c r="BA47" s="378"/>
      <c r="BB47" s="378"/>
      <c r="BC47" s="378"/>
      <c r="BD47" s="378"/>
      <c r="BE47" s="378"/>
      <c r="BF47" s="378"/>
      <c r="BG47" s="378"/>
      <c r="BH47" s="378"/>
      <c r="BI47" s="378"/>
      <c r="BJ47" s="378"/>
      <c r="BK47" s="378"/>
      <c r="BL47" s="378"/>
      <c r="BM47" s="378"/>
      <c r="BN47" s="378"/>
      <c r="BO47" s="378"/>
      <c r="BP47" s="378"/>
      <c r="BQ47" s="378"/>
      <c r="BR47" s="378"/>
      <c r="BS47" s="378"/>
      <c r="BT47" s="378"/>
      <c r="BU47" s="378"/>
      <c r="BV47" s="378"/>
      <c r="BW47" s="378"/>
      <c r="BX47" s="378"/>
      <c r="BY47" s="378"/>
      <c r="BZ47" s="378"/>
      <c r="CA47" s="378"/>
      <c r="CB47" s="378"/>
      <c r="CC47" s="378"/>
      <c r="CD47" s="378"/>
      <c r="CE47" s="378"/>
      <c r="CF47" s="378"/>
      <c r="CG47" s="378"/>
      <c r="CH47" s="378"/>
      <c r="CI47" s="378"/>
      <c r="CJ47" s="378"/>
      <c r="CK47" s="378"/>
      <c r="CL47" s="378"/>
      <c r="CM47" s="378"/>
      <c r="CN47" s="378"/>
      <c r="CO47" s="378"/>
      <c r="CP47" s="378"/>
      <c r="CQ47" s="378"/>
      <c r="CR47" s="378"/>
      <c r="CS47" s="378"/>
      <c r="CT47" s="378"/>
    </row>
    <row r="48" spans="1:98" x14ac:dyDescent="0.25">
      <c r="A48" s="378"/>
      <c r="B48" s="378"/>
      <c r="C48" s="378"/>
      <c r="D48" s="378"/>
      <c r="E48" s="378"/>
      <c r="F48" s="378"/>
      <c r="G48" s="378"/>
      <c r="H48" s="378"/>
      <c r="I48" s="378"/>
      <c r="J48" s="378"/>
      <c r="K48" s="378"/>
      <c r="L48" s="378"/>
      <c r="M48" s="378"/>
      <c r="N48" s="378"/>
      <c r="O48" s="378"/>
      <c r="P48" s="378"/>
      <c r="Q48" s="378"/>
      <c r="R48" s="378"/>
      <c r="S48" s="378"/>
      <c r="T48" s="378"/>
      <c r="U48" s="378"/>
      <c r="V48" s="378"/>
      <c r="W48" s="378"/>
      <c r="X48" s="378"/>
      <c r="Y48" s="378"/>
      <c r="Z48" s="378"/>
      <c r="AA48" s="378"/>
      <c r="AB48" s="378"/>
      <c r="AC48" s="378"/>
      <c r="AD48" s="378"/>
      <c r="AE48" s="378"/>
      <c r="AF48" s="378"/>
      <c r="AG48" s="378"/>
      <c r="AH48" s="378"/>
      <c r="AI48" s="378"/>
      <c r="AJ48" s="378"/>
      <c r="AK48" s="378"/>
      <c r="AL48" s="378"/>
      <c r="AM48" s="378"/>
      <c r="AN48" s="378"/>
      <c r="AO48" s="378"/>
      <c r="AP48" s="378"/>
      <c r="AQ48" s="378"/>
      <c r="AR48" s="378"/>
      <c r="AS48" s="378"/>
      <c r="AT48" s="378"/>
      <c r="AU48" s="378"/>
      <c r="AV48" s="378"/>
      <c r="AW48" s="378"/>
      <c r="AX48" s="378"/>
      <c r="AY48" s="378"/>
      <c r="AZ48" s="378"/>
      <c r="BA48" s="378"/>
      <c r="BB48" s="378"/>
      <c r="BC48" s="378"/>
      <c r="BD48" s="378"/>
      <c r="BE48" s="378"/>
      <c r="BF48" s="378"/>
      <c r="BG48" s="378"/>
      <c r="BH48" s="378"/>
      <c r="BI48" s="378"/>
      <c r="BJ48" s="378"/>
      <c r="BK48" s="378"/>
      <c r="BL48" s="378"/>
      <c r="BM48" s="378"/>
      <c r="BN48" s="378"/>
      <c r="BO48" s="378"/>
      <c r="BP48" s="378"/>
      <c r="BQ48" s="378"/>
      <c r="BR48" s="378"/>
      <c r="BS48" s="378"/>
      <c r="BT48" s="378"/>
      <c r="BU48" s="378"/>
      <c r="BV48" s="378"/>
      <c r="BW48" s="378"/>
      <c r="BX48" s="378"/>
      <c r="BY48" s="378"/>
      <c r="BZ48" s="378"/>
      <c r="CA48" s="378"/>
      <c r="CB48" s="378"/>
      <c r="CC48" s="378"/>
      <c r="CD48" s="378"/>
      <c r="CE48" s="378"/>
      <c r="CF48" s="378"/>
      <c r="CG48" s="378"/>
      <c r="CH48" s="378"/>
      <c r="CI48" s="378"/>
      <c r="CJ48" s="378"/>
      <c r="CK48" s="378"/>
      <c r="CL48" s="378"/>
      <c r="CM48" s="378"/>
      <c r="CN48" s="378"/>
      <c r="CO48" s="378"/>
      <c r="CP48" s="378"/>
      <c r="CQ48" s="378"/>
      <c r="CR48" s="378"/>
      <c r="CS48" s="378"/>
      <c r="CT48" s="378"/>
    </row>
    <row r="49" spans="1:98" x14ac:dyDescent="0.25">
      <c r="A49" s="378"/>
      <c r="B49" s="378"/>
      <c r="C49" s="378"/>
      <c r="D49" s="378"/>
      <c r="E49" s="378"/>
      <c r="F49" s="378"/>
      <c r="G49" s="378"/>
      <c r="H49" s="378"/>
      <c r="I49" s="378"/>
      <c r="J49" s="378"/>
      <c r="K49" s="378"/>
      <c r="L49" s="378"/>
      <c r="M49" s="378"/>
      <c r="N49" s="378"/>
      <c r="O49" s="378"/>
      <c r="P49" s="378"/>
      <c r="Q49" s="378"/>
      <c r="R49" s="378"/>
      <c r="S49" s="378"/>
      <c r="T49" s="378"/>
      <c r="U49" s="378"/>
      <c r="V49" s="378"/>
      <c r="W49" s="378"/>
      <c r="X49" s="378"/>
      <c r="Y49" s="378"/>
      <c r="Z49" s="378"/>
      <c r="AA49" s="378"/>
      <c r="AB49" s="378"/>
      <c r="AC49" s="378"/>
      <c r="AD49" s="378"/>
      <c r="AE49" s="378"/>
      <c r="AF49" s="378"/>
      <c r="AG49" s="378"/>
      <c r="AH49" s="378"/>
      <c r="AI49" s="378"/>
      <c r="AJ49" s="378"/>
      <c r="AK49" s="378"/>
      <c r="AL49" s="378"/>
      <c r="AM49" s="378"/>
      <c r="AN49" s="378"/>
      <c r="AO49" s="378"/>
      <c r="AP49" s="378"/>
      <c r="AQ49" s="378"/>
      <c r="AR49" s="378"/>
      <c r="AS49" s="378"/>
      <c r="AT49" s="378"/>
      <c r="AU49" s="378"/>
      <c r="AV49" s="378"/>
      <c r="AW49" s="378"/>
      <c r="AX49" s="378"/>
      <c r="AY49" s="378"/>
      <c r="AZ49" s="378"/>
      <c r="BA49" s="378"/>
      <c r="BB49" s="378"/>
      <c r="BC49" s="378"/>
      <c r="BD49" s="378"/>
      <c r="BE49" s="378"/>
      <c r="BF49" s="378"/>
      <c r="BG49" s="378"/>
      <c r="BH49" s="378"/>
      <c r="BI49" s="378"/>
      <c r="BJ49" s="378"/>
      <c r="BK49" s="378"/>
      <c r="BL49" s="378"/>
      <c r="BM49" s="378"/>
      <c r="BN49" s="378"/>
      <c r="BO49" s="378"/>
      <c r="BP49" s="378"/>
      <c r="BQ49" s="378"/>
      <c r="BR49" s="378"/>
      <c r="BS49" s="378"/>
      <c r="BT49" s="378"/>
      <c r="BU49" s="378"/>
      <c r="BV49" s="378"/>
      <c r="BW49" s="378"/>
      <c r="BX49" s="378"/>
      <c r="BY49" s="378"/>
      <c r="BZ49" s="378"/>
      <c r="CA49" s="378"/>
      <c r="CB49" s="378"/>
      <c r="CC49" s="378"/>
      <c r="CD49" s="378"/>
      <c r="CE49" s="378"/>
      <c r="CF49" s="378"/>
      <c r="CG49" s="378"/>
      <c r="CH49" s="378"/>
      <c r="CI49" s="378"/>
      <c r="CJ49" s="378"/>
      <c r="CK49" s="378"/>
      <c r="CL49" s="378"/>
      <c r="CM49" s="378"/>
      <c r="CN49" s="378"/>
      <c r="CO49" s="378"/>
      <c r="CP49" s="378"/>
      <c r="CQ49" s="378"/>
      <c r="CR49" s="378"/>
      <c r="CS49" s="378"/>
      <c r="CT49" s="378"/>
    </row>
    <row r="50" spans="1:98" x14ac:dyDescent="0.25">
      <c r="A50" s="378"/>
      <c r="B50" s="378"/>
      <c r="C50" s="378"/>
      <c r="D50" s="378"/>
      <c r="E50" s="378"/>
      <c r="F50" s="378"/>
      <c r="G50" s="378"/>
      <c r="H50" s="378"/>
      <c r="I50" s="378"/>
      <c r="J50" s="378"/>
      <c r="K50" s="378"/>
      <c r="L50" s="378"/>
      <c r="M50" s="378"/>
      <c r="N50" s="378"/>
      <c r="O50" s="378"/>
      <c r="P50" s="378"/>
      <c r="Q50" s="378"/>
      <c r="R50" s="378"/>
      <c r="S50" s="378"/>
      <c r="T50" s="378"/>
      <c r="U50" s="378"/>
      <c r="V50" s="378"/>
      <c r="W50" s="378"/>
      <c r="X50" s="378"/>
      <c r="Y50" s="378"/>
      <c r="Z50" s="378"/>
      <c r="AA50" s="378"/>
      <c r="AB50" s="378"/>
      <c r="AC50" s="378"/>
      <c r="AD50" s="378"/>
      <c r="AE50" s="378"/>
      <c r="AF50" s="378"/>
      <c r="AG50" s="378"/>
      <c r="AH50" s="378"/>
      <c r="AI50" s="378"/>
      <c r="AJ50" s="378"/>
      <c r="AK50" s="378"/>
      <c r="AL50" s="378"/>
      <c r="AM50" s="378"/>
      <c r="AN50" s="378"/>
      <c r="AO50" s="378"/>
      <c r="AP50" s="378"/>
      <c r="AQ50" s="378"/>
      <c r="AR50" s="378"/>
      <c r="AS50" s="378"/>
      <c r="AT50" s="378"/>
      <c r="AU50" s="378"/>
      <c r="AV50" s="378"/>
      <c r="AW50" s="378"/>
      <c r="AX50" s="378"/>
      <c r="AY50" s="378"/>
      <c r="AZ50" s="378"/>
      <c r="BA50" s="378"/>
      <c r="BB50" s="378"/>
      <c r="BC50" s="378"/>
      <c r="BD50" s="378"/>
      <c r="BE50" s="378"/>
      <c r="BF50" s="378"/>
      <c r="BG50" s="378"/>
      <c r="BH50" s="378"/>
      <c r="BI50" s="378"/>
      <c r="BJ50" s="378"/>
      <c r="BK50" s="378"/>
      <c r="BL50" s="378"/>
      <c r="BM50" s="378"/>
      <c r="BN50" s="378"/>
      <c r="BO50" s="378"/>
      <c r="BP50" s="378"/>
      <c r="BQ50" s="378"/>
      <c r="BR50" s="378"/>
      <c r="BS50" s="378"/>
      <c r="BT50" s="378"/>
      <c r="BU50" s="378"/>
      <c r="BV50" s="378"/>
      <c r="BW50" s="378"/>
      <c r="BX50" s="378"/>
      <c r="BY50" s="378"/>
      <c r="BZ50" s="378"/>
      <c r="CA50" s="378"/>
      <c r="CB50" s="378"/>
      <c r="CC50" s="378"/>
      <c r="CD50" s="378"/>
      <c r="CE50" s="378"/>
      <c r="CF50" s="378"/>
      <c r="CG50" s="378"/>
      <c r="CH50" s="378"/>
      <c r="CI50" s="378"/>
      <c r="CJ50" s="378"/>
      <c r="CK50" s="378"/>
      <c r="CL50" s="378"/>
      <c r="CM50" s="378"/>
      <c r="CN50" s="378"/>
      <c r="CO50" s="378"/>
      <c r="CP50" s="378"/>
      <c r="CQ50" s="378"/>
      <c r="CR50" s="378"/>
      <c r="CS50" s="378"/>
      <c r="CT50" s="378"/>
    </row>
    <row r="51" spans="1:98" x14ac:dyDescent="0.25">
      <c r="A51" s="378"/>
      <c r="B51" s="378"/>
      <c r="C51" s="378"/>
      <c r="D51" s="378"/>
      <c r="E51" s="378"/>
      <c r="F51" s="378"/>
      <c r="G51" s="378"/>
      <c r="H51" s="378"/>
      <c r="I51" s="378"/>
      <c r="J51" s="378"/>
      <c r="K51" s="378"/>
      <c r="L51" s="378"/>
      <c r="M51" s="378"/>
      <c r="N51" s="378"/>
      <c r="O51" s="378"/>
      <c r="P51" s="378"/>
      <c r="Q51" s="378"/>
      <c r="R51" s="378"/>
      <c r="S51" s="378"/>
      <c r="T51" s="378"/>
      <c r="U51" s="378"/>
      <c r="V51" s="378"/>
      <c r="W51" s="378"/>
      <c r="X51" s="378"/>
      <c r="Y51" s="378"/>
      <c r="Z51" s="378"/>
      <c r="AA51" s="378"/>
      <c r="AB51" s="378"/>
      <c r="AC51" s="378"/>
      <c r="AD51" s="378"/>
      <c r="AE51" s="378"/>
      <c r="AF51" s="378"/>
      <c r="AG51" s="378"/>
      <c r="AH51" s="378"/>
      <c r="AI51" s="378"/>
      <c r="AJ51" s="378"/>
      <c r="AK51" s="378"/>
      <c r="AL51" s="378"/>
      <c r="AM51" s="378"/>
      <c r="AN51" s="378"/>
      <c r="AO51" s="378"/>
      <c r="AP51" s="378"/>
      <c r="AQ51" s="378"/>
      <c r="AR51" s="378"/>
      <c r="AS51" s="378"/>
      <c r="AT51" s="378"/>
      <c r="AU51" s="378"/>
      <c r="AV51" s="378"/>
      <c r="AW51" s="378"/>
      <c r="AX51" s="378"/>
      <c r="AY51" s="378"/>
      <c r="AZ51" s="378"/>
      <c r="BA51" s="378"/>
      <c r="BB51" s="378"/>
      <c r="BC51" s="378"/>
      <c r="BD51" s="378"/>
      <c r="BE51" s="378"/>
      <c r="BF51" s="378"/>
      <c r="BG51" s="378"/>
      <c r="BH51" s="378"/>
      <c r="BI51" s="378"/>
      <c r="BJ51" s="378"/>
      <c r="BK51" s="378"/>
      <c r="BL51" s="378"/>
      <c r="BM51" s="378"/>
      <c r="BN51" s="378"/>
      <c r="BO51" s="378"/>
      <c r="BP51" s="378"/>
      <c r="BQ51" s="378"/>
      <c r="BR51" s="378"/>
      <c r="BS51" s="378"/>
      <c r="BT51" s="378"/>
      <c r="BU51" s="378"/>
      <c r="BV51" s="378"/>
      <c r="BW51" s="378"/>
      <c r="BX51" s="378"/>
      <c r="BY51" s="378"/>
      <c r="BZ51" s="378"/>
      <c r="CA51" s="378"/>
      <c r="CB51" s="378"/>
      <c r="CC51" s="378"/>
      <c r="CD51" s="378"/>
      <c r="CE51" s="378"/>
      <c r="CF51" s="378"/>
      <c r="CG51" s="378"/>
      <c r="CH51" s="378"/>
      <c r="CI51" s="378"/>
      <c r="CJ51" s="378"/>
      <c r="CK51" s="378"/>
      <c r="CL51" s="378"/>
      <c r="CM51" s="378"/>
      <c r="CN51" s="378"/>
      <c r="CO51" s="378"/>
      <c r="CP51" s="378"/>
      <c r="CQ51" s="378"/>
      <c r="CR51" s="378"/>
      <c r="CS51" s="378"/>
      <c r="CT51" s="378"/>
    </row>
    <row r="52" spans="1:98" x14ac:dyDescent="0.25">
      <c r="A52" s="378"/>
      <c r="B52" s="378"/>
      <c r="C52" s="378"/>
      <c r="D52" s="378"/>
      <c r="E52" s="378"/>
      <c r="F52" s="378"/>
      <c r="G52" s="378"/>
      <c r="H52" s="378"/>
      <c r="I52" s="378"/>
      <c r="J52" s="378"/>
      <c r="K52" s="378"/>
      <c r="L52" s="378"/>
      <c r="M52" s="378"/>
      <c r="N52" s="378"/>
      <c r="O52" s="378"/>
      <c r="P52" s="378"/>
      <c r="Q52" s="378"/>
      <c r="R52" s="378"/>
      <c r="S52" s="378"/>
      <c r="T52" s="378"/>
      <c r="U52" s="378"/>
      <c r="V52" s="378"/>
      <c r="W52" s="378"/>
      <c r="X52" s="378"/>
      <c r="Y52" s="378"/>
      <c r="Z52" s="378"/>
      <c r="AA52" s="378"/>
      <c r="AB52" s="378"/>
      <c r="AC52" s="378"/>
      <c r="AD52" s="378"/>
      <c r="AE52" s="378"/>
      <c r="AF52" s="378"/>
      <c r="AG52" s="378"/>
      <c r="AH52" s="378"/>
      <c r="AI52" s="378"/>
      <c r="AJ52" s="378"/>
      <c r="AK52" s="378"/>
      <c r="AL52" s="378"/>
      <c r="AM52" s="378"/>
      <c r="AN52" s="378"/>
      <c r="AO52" s="378"/>
      <c r="AP52" s="378"/>
      <c r="AQ52" s="378"/>
      <c r="AR52" s="378"/>
      <c r="AS52" s="378"/>
      <c r="AT52" s="378"/>
      <c r="AU52" s="378"/>
      <c r="AV52" s="378"/>
      <c r="AW52" s="378"/>
      <c r="AX52" s="378"/>
      <c r="AY52" s="378"/>
      <c r="AZ52" s="378"/>
      <c r="BA52" s="378"/>
      <c r="BB52" s="378"/>
      <c r="BC52" s="378"/>
      <c r="BD52" s="378"/>
      <c r="BE52" s="378"/>
      <c r="BF52" s="378"/>
      <c r="BG52" s="378"/>
      <c r="BH52" s="378"/>
      <c r="BI52" s="378"/>
      <c r="BJ52" s="378"/>
      <c r="BK52" s="378"/>
      <c r="BL52" s="378"/>
      <c r="BM52" s="378"/>
      <c r="BN52" s="378"/>
      <c r="BO52" s="378"/>
      <c r="BP52" s="378"/>
      <c r="BQ52" s="378"/>
      <c r="BR52" s="378"/>
      <c r="BS52" s="378"/>
      <c r="BT52" s="378"/>
      <c r="BU52" s="378"/>
      <c r="BV52" s="378"/>
      <c r="BW52" s="378"/>
      <c r="BX52" s="378"/>
      <c r="BY52" s="378"/>
      <c r="BZ52" s="378"/>
      <c r="CA52" s="378"/>
      <c r="CB52" s="378"/>
      <c r="CC52" s="378"/>
      <c r="CD52" s="378"/>
      <c r="CE52" s="378"/>
      <c r="CF52" s="378"/>
      <c r="CG52" s="378"/>
      <c r="CH52" s="378"/>
      <c r="CI52" s="378"/>
      <c r="CJ52" s="378"/>
      <c r="CK52" s="378"/>
      <c r="CL52" s="378"/>
      <c r="CM52" s="378"/>
      <c r="CN52" s="378"/>
      <c r="CO52" s="378"/>
      <c r="CP52" s="378"/>
      <c r="CQ52" s="378"/>
      <c r="CR52" s="378"/>
      <c r="CS52" s="378"/>
      <c r="CT52" s="378"/>
    </row>
    <row r="53" spans="1:98" x14ac:dyDescent="0.25">
      <c r="A53" s="378"/>
      <c r="B53" s="378"/>
      <c r="C53" s="378"/>
      <c r="D53" s="378"/>
      <c r="E53" s="378"/>
      <c r="F53" s="378"/>
      <c r="G53" s="378"/>
      <c r="H53" s="378"/>
      <c r="I53" s="378"/>
      <c r="J53" s="378"/>
      <c r="K53" s="378"/>
      <c r="L53" s="378"/>
      <c r="M53" s="378"/>
      <c r="N53" s="378"/>
      <c r="O53" s="378"/>
      <c r="P53" s="378"/>
      <c r="Q53" s="378"/>
      <c r="R53" s="378"/>
      <c r="S53" s="378"/>
      <c r="T53" s="378"/>
      <c r="U53" s="378"/>
      <c r="V53" s="378"/>
      <c r="W53" s="378"/>
      <c r="X53" s="378"/>
      <c r="Y53" s="378"/>
      <c r="Z53" s="378"/>
      <c r="AA53" s="378"/>
      <c r="AB53" s="378"/>
      <c r="AC53" s="378"/>
      <c r="AD53" s="378"/>
      <c r="AE53" s="378"/>
      <c r="AF53" s="378"/>
      <c r="AG53" s="378"/>
      <c r="AH53" s="378"/>
      <c r="AI53" s="378"/>
      <c r="AJ53" s="378"/>
      <c r="AK53" s="378"/>
      <c r="AL53" s="378"/>
      <c r="AM53" s="378"/>
      <c r="AN53" s="378"/>
      <c r="AO53" s="378"/>
      <c r="AP53" s="378"/>
      <c r="AQ53" s="378"/>
      <c r="AR53" s="378"/>
      <c r="AS53" s="378"/>
      <c r="AT53" s="378"/>
      <c r="AU53" s="378"/>
      <c r="AV53" s="378"/>
      <c r="AW53" s="378"/>
      <c r="AX53" s="378"/>
      <c r="AY53" s="378"/>
      <c r="AZ53" s="378"/>
      <c r="BA53" s="378"/>
      <c r="BB53" s="378"/>
      <c r="BC53" s="378"/>
      <c r="BD53" s="378"/>
      <c r="BE53" s="378"/>
      <c r="BF53" s="378"/>
      <c r="BG53" s="378"/>
      <c r="BH53" s="378"/>
      <c r="BI53" s="378"/>
      <c r="BJ53" s="378"/>
      <c r="BK53" s="378"/>
      <c r="BL53" s="378"/>
      <c r="BM53" s="378"/>
      <c r="BN53" s="378"/>
      <c r="BO53" s="378"/>
      <c r="BP53" s="378"/>
      <c r="BQ53" s="378"/>
      <c r="BR53" s="378"/>
      <c r="BS53" s="378"/>
      <c r="BT53" s="378"/>
      <c r="BU53" s="378"/>
      <c r="BV53" s="378"/>
      <c r="BW53" s="378"/>
      <c r="BX53" s="378"/>
      <c r="BY53" s="378"/>
      <c r="BZ53" s="378"/>
      <c r="CA53" s="378"/>
      <c r="CB53" s="378"/>
      <c r="CC53" s="378"/>
      <c r="CD53" s="378"/>
      <c r="CE53" s="378"/>
      <c r="CF53" s="378"/>
      <c r="CG53" s="378"/>
      <c r="CH53" s="378"/>
      <c r="CI53" s="378"/>
      <c r="CJ53" s="378"/>
      <c r="CK53" s="378"/>
      <c r="CL53" s="378"/>
      <c r="CM53" s="378"/>
      <c r="CN53" s="378"/>
      <c r="CO53" s="378"/>
      <c r="CP53" s="378"/>
      <c r="CQ53" s="378"/>
      <c r="CR53" s="378"/>
      <c r="CS53" s="378"/>
      <c r="CT53" s="378"/>
    </row>
    <row r="54" spans="1:98" x14ac:dyDescent="0.25">
      <c r="A54" s="378"/>
      <c r="B54" s="378"/>
      <c r="C54" s="378"/>
      <c r="D54" s="378"/>
      <c r="E54" s="378"/>
      <c r="F54" s="378"/>
      <c r="G54" s="378"/>
      <c r="H54" s="378"/>
      <c r="I54" s="378"/>
      <c r="J54" s="378"/>
      <c r="K54" s="378"/>
      <c r="L54" s="378"/>
      <c r="M54" s="378"/>
      <c r="N54" s="378"/>
      <c r="O54" s="378"/>
      <c r="P54" s="378"/>
      <c r="Q54" s="378"/>
      <c r="R54" s="378"/>
      <c r="S54" s="378"/>
      <c r="T54" s="378"/>
      <c r="U54" s="378"/>
      <c r="V54" s="378"/>
      <c r="W54" s="378"/>
      <c r="X54" s="378"/>
      <c r="Y54" s="378"/>
      <c r="Z54" s="378"/>
      <c r="AA54" s="378"/>
      <c r="AB54" s="378"/>
      <c r="AC54" s="378"/>
      <c r="AD54" s="378"/>
      <c r="AE54" s="378"/>
      <c r="AF54" s="378"/>
      <c r="AG54" s="378"/>
      <c r="AH54" s="378"/>
      <c r="AI54" s="378"/>
      <c r="AJ54" s="378"/>
      <c r="AK54" s="378"/>
      <c r="AL54" s="378"/>
      <c r="AM54" s="378"/>
      <c r="AN54" s="378"/>
      <c r="AO54" s="378"/>
      <c r="AP54" s="378"/>
      <c r="AQ54" s="378"/>
      <c r="AR54" s="378"/>
      <c r="AS54" s="378"/>
      <c r="AT54" s="378"/>
      <c r="AU54" s="378"/>
      <c r="AV54" s="378"/>
      <c r="AW54" s="378"/>
      <c r="AX54" s="378"/>
      <c r="AY54" s="378"/>
      <c r="AZ54" s="378"/>
      <c r="BA54" s="378"/>
      <c r="BB54" s="378"/>
      <c r="BC54" s="378"/>
      <c r="BD54" s="378"/>
      <c r="BE54" s="378"/>
      <c r="BF54" s="378"/>
      <c r="BG54" s="378"/>
      <c r="BH54" s="378"/>
      <c r="BI54" s="378"/>
      <c r="BJ54" s="378"/>
      <c r="BK54" s="378"/>
      <c r="BL54" s="378"/>
      <c r="BM54" s="378"/>
      <c r="BN54" s="378"/>
      <c r="BO54" s="378"/>
      <c r="BP54" s="378"/>
      <c r="BQ54" s="378"/>
      <c r="BR54" s="378"/>
      <c r="BS54" s="378"/>
      <c r="BT54" s="378"/>
      <c r="BU54" s="378"/>
      <c r="BV54" s="378"/>
      <c r="BW54" s="378"/>
      <c r="BX54" s="378"/>
      <c r="BY54" s="378"/>
      <c r="BZ54" s="378"/>
      <c r="CA54" s="378"/>
      <c r="CB54" s="378"/>
      <c r="CC54" s="378"/>
      <c r="CD54" s="378"/>
      <c r="CE54" s="378"/>
      <c r="CF54" s="378"/>
      <c r="CG54" s="378"/>
      <c r="CH54" s="378"/>
      <c r="CI54" s="378"/>
      <c r="CJ54" s="378"/>
      <c r="CK54" s="378"/>
      <c r="CL54" s="378"/>
      <c r="CM54" s="378"/>
      <c r="CN54" s="378"/>
      <c r="CO54" s="378"/>
      <c r="CP54" s="378"/>
      <c r="CQ54" s="378"/>
      <c r="CR54" s="378"/>
      <c r="CS54" s="378"/>
      <c r="CT54" s="378"/>
    </row>
    <row r="55" spans="1:98" x14ac:dyDescent="0.25">
      <c r="A55" s="378"/>
      <c r="B55" s="378"/>
      <c r="C55" s="378"/>
      <c r="D55" s="378"/>
      <c r="E55" s="378"/>
      <c r="F55" s="378"/>
      <c r="G55" s="378"/>
      <c r="H55" s="378"/>
      <c r="I55" s="378"/>
      <c r="J55" s="378"/>
      <c r="K55" s="378"/>
      <c r="L55" s="378"/>
      <c r="M55" s="378"/>
      <c r="N55" s="378"/>
      <c r="O55" s="378"/>
      <c r="P55" s="378"/>
      <c r="Q55" s="378"/>
      <c r="R55" s="378"/>
      <c r="S55" s="378"/>
      <c r="T55" s="378"/>
      <c r="U55" s="378"/>
      <c r="V55" s="378"/>
      <c r="W55" s="378"/>
      <c r="X55" s="378"/>
      <c r="Y55" s="378"/>
      <c r="Z55" s="378"/>
      <c r="AA55" s="378"/>
      <c r="AB55" s="378"/>
      <c r="AC55" s="378"/>
      <c r="AD55" s="378"/>
      <c r="AE55" s="378"/>
      <c r="AF55" s="378"/>
      <c r="AG55" s="378"/>
      <c r="AH55" s="378"/>
      <c r="AI55" s="378"/>
      <c r="AJ55" s="378"/>
      <c r="AK55" s="378"/>
      <c r="AL55" s="378"/>
      <c r="AM55" s="378"/>
      <c r="AN55" s="378"/>
      <c r="AO55" s="378"/>
      <c r="AP55" s="378"/>
      <c r="AQ55" s="378"/>
      <c r="AR55" s="378"/>
      <c r="AS55" s="378"/>
      <c r="AT55" s="378"/>
      <c r="AU55" s="378"/>
      <c r="AV55" s="378"/>
      <c r="AW55" s="378"/>
      <c r="AX55" s="378"/>
      <c r="AY55" s="378"/>
      <c r="AZ55" s="378"/>
      <c r="BA55" s="378"/>
      <c r="BB55" s="378"/>
      <c r="BC55" s="378"/>
      <c r="BD55" s="378"/>
      <c r="BE55" s="378"/>
      <c r="BF55" s="378"/>
      <c r="BG55" s="378"/>
      <c r="BH55" s="378"/>
      <c r="BI55" s="378"/>
      <c r="BJ55" s="378"/>
      <c r="BK55" s="378"/>
      <c r="BL55" s="378"/>
      <c r="BM55" s="378"/>
      <c r="BN55" s="378"/>
      <c r="BO55" s="378"/>
      <c r="BP55" s="378"/>
      <c r="BQ55" s="378"/>
      <c r="BR55" s="378"/>
      <c r="BS55" s="378"/>
      <c r="BT55" s="378"/>
      <c r="BU55" s="378"/>
      <c r="BV55" s="378"/>
      <c r="BW55" s="378"/>
      <c r="BX55" s="378"/>
      <c r="BY55" s="378"/>
      <c r="BZ55" s="378"/>
      <c r="CA55" s="378"/>
      <c r="CB55" s="378"/>
      <c r="CC55" s="378"/>
      <c r="CD55" s="378"/>
      <c r="CE55" s="378"/>
      <c r="CF55" s="378"/>
      <c r="CG55" s="378"/>
      <c r="CH55" s="378"/>
      <c r="CI55" s="378"/>
      <c r="CJ55" s="378"/>
      <c r="CK55" s="378"/>
      <c r="CL55" s="378"/>
      <c r="CM55" s="378"/>
      <c r="CN55" s="378"/>
      <c r="CO55" s="378"/>
      <c r="CP55" s="378"/>
      <c r="CQ55" s="378"/>
      <c r="CR55" s="378"/>
      <c r="CS55" s="378"/>
      <c r="CT55" s="378"/>
    </row>
    <row r="56" spans="1:98" x14ac:dyDescent="0.25">
      <c r="A56" s="378"/>
      <c r="B56" s="378"/>
      <c r="C56" s="378"/>
      <c r="D56" s="378"/>
      <c r="E56" s="378"/>
      <c r="F56" s="378"/>
      <c r="G56" s="378"/>
      <c r="H56" s="378"/>
      <c r="I56" s="378"/>
      <c r="J56" s="378"/>
      <c r="K56" s="378"/>
      <c r="L56" s="378"/>
      <c r="M56" s="378"/>
      <c r="N56" s="378"/>
      <c r="O56" s="378"/>
      <c r="P56" s="378"/>
      <c r="Q56" s="378"/>
      <c r="R56" s="378"/>
      <c r="S56" s="378"/>
      <c r="T56" s="378"/>
      <c r="U56" s="378"/>
      <c r="V56" s="378"/>
      <c r="W56" s="378"/>
      <c r="X56" s="378"/>
      <c r="Y56" s="378"/>
      <c r="Z56" s="378"/>
      <c r="AA56" s="378"/>
      <c r="AB56" s="378"/>
      <c r="AC56" s="378"/>
      <c r="AD56" s="378"/>
      <c r="AE56" s="378"/>
      <c r="AF56" s="378"/>
      <c r="AG56" s="378"/>
      <c r="AH56" s="378"/>
      <c r="AI56" s="378"/>
      <c r="AJ56" s="378"/>
      <c r="AK56" s="378"/>
      <c r="AL56" s="378"/>
      <c r="AM56" s="378"/>
      <c r="AN56" s="378"/>
      <c r="AO56" s="378"/>
      <c r="AP56" s="378"/>
      <c r="AQ56" s="378"/>
      <c r="AR56" s="378"/>
      <c r="AS56" s="378"/>
      <c r="AT56" s="378"/>
      <c r="AU56" s="378"/>
      <c r="AV56" s="378"/>
      <c r="AW56" s="378"/>
      <c r="AX56" s="378"/>
      <c r="AY56" s="378"/>
      <c r="AZ56" s="378"/>
      <c r="BA56" s="378"/>
      <c r="BB56" s="378"/>
      <c r="BC56" s="378"/>
      <c r="BD56" s="378"/>
      <c r="BE56" s="378"/>
      <c r="BF56" s="378"/>
      <c r="BG56" s="378"/>
      <c r="BH56" s="378"/>
      <c r="BI56" s="378"/>
      <c r="BJ56" s="378"/>
      <c r="BK56" s="378"/>
      <c r="BL56" s="378"/>
      <c r="BM56" s="378"/>
      <c r="BN56" s="378"/>
      <c r="BO56" s="378"/>
      <c r="BP56" s="378"/>
      <c r="BQ56" s="378"/>
      <c r="BR56" s="378"/>
      <c r="BS56" s="378"/>
      <c r="BT56" s="378"/>
      <c r="BU56" s="378"/>
      <c r="BV56" s="378"/>
      <c r="BW56" s="378"/>
      <c r="BX56" s="378"/>
      <c r="BY56" s="378"/>
      <c r="BZ56" s="378"/>
      <c r="CA56" s="378"/>
      <c r="CB56" s="378"/>
      <c r="CC56" s="378"/>
      <c r="CD56" s="378"/>
      <c r="CE56" s="378"/>
      <c r="CF56" s="378"/>
      <c r="CG56" s="378"/>
      <c r="CH56" s="378"/>
      <c r="CI56" s="378"/>
      <c r="CJ56" s="378"/>
      <c r="CK56" s="378"/>
      <c r="CL56" s="378"/>
      <c r="CM56" s="378"/>
      <c r="CN56" s="378"/>
      <c r="CO56" s="378"/>
      <c r="CP56" s="378"/>
      <c r="CQ56" s="378"/>
      <c r="CR56" s="378"/>
      <c r="CS56" s="378"/>
      <c r="CT56" s="378"/>
    </row>
    <row r="57" spans="1:98" x14ac:dyDescent="0.25">
      <c r="A57" s="378"/>
      <c r="B57" s="378"/>
      <c r="C57" s="378"/>
      <c r="D57" s="378"/>
      <c r="E57" s="378"/>
      <c r="F57" s="378"/>
      <c r="G57" s="378"/>
      <c r="H57" s="378"/>
      <c r="I57" s="378"/>
      <c r="J57" s="378"/>
      <c r="K57" s="378"/>
      <c r="L57" s="378"/>
      <c r="M57" s="378"/>
      <c r="N57" s="378"/>
      <c r="O57" s="378"/>
      <c r="P57" s="378"/>
      <c r="Q57" s="378"/>
      <c r="R57" s="378"/>
      <c r="S57" s="378"/>
      <c r="T57" s="378"/>
      <c r="U57" s="378"/>
      <c r="V57" s="378"/>
      <c r="W57" s="378"/>
      <c r="X57" s="378"/>
      <c r="Y57" s="378"/>
      <c r="Z57" s="378"/>
      <c r="AA57" s="378"/>
      <c r="AB57" s="378"/>
      <c r="AC57" s="378"/>
      <c r="AD57" s="378"/>
      <c r="AE57" s="378"/>
      <c r="AF57" s="378"/>
      <c r="AG57" s="378"/>
      <c r="AH57" s="378"/>
      <c r="AI57" s="378"/>
      <c r="AJ57" s="378"/>
      <c r="AK57" s="378"/>
      <c r="AL57" s="378"/>
      <c r="AM57" s="378"/>
      <c r="AN57" s="378"/>
      <c r="AO57" s="378"/>
      <c r="AP57" s="378"/>
      <c r="AQ57" s="378"/>
      <c r="AR57" s="378"/>
      <c r="AS57" s="378"/>
      <c r="AT57" s="378"/>
      <c r="AU57" s="378"/>
      <c r="AV57" s="378"/>
      <c r="AW57" s="378"/>
      <c r="AX57" s="378"/>
      <c r="AY57" s="378"/>
      <c r="AZ57" s="378"/>
      <c r="BA57" s="378"/>
      <c r="BB57" s="378"/>
      <c r="BC57" s="378"/>
      <c r="BD57" s="378"/>
      <c r="BE57" s="378"/>
      <c r="BF57" s="378"/>
      <c r="BG57" s="378"/>
      <c r="BH57" s="378"/>
      <c r="BI57" s="378"/>
      <c r="BJ57" s="378"/>
      <c r="BK57" s="378"/>
      <c r="BL57" s="378"/>
      <c r="BM57" s="378"/>
      <c r="BN57" s="378"/>
      <c r="BO57" s="378"/>
      <c r="BP57" s="378"/>
      <c r="BQ57" s="378"/>
      <c r="BR57" s="378"/>
      <c r="BS57" s="378"/>
      <c r="BT57" s="378"/>
      <c r="BU57" s="378"/>
      <c r="BV57" s="378"/>
      <c r="BW57" s="378"/>
      <c r="BX57" s="378"/>
      <c r="BY57" s="378"/>
      <c r="BZ57" s="378"/>
      <c r="CA57" s="378"/>
      <c r="CB57" s="378"/>
      <c r="CC57" s="378"/>
      <c r="CD57" s="378"/>
      <c r="CE57" s="378"/>
      <c r="CF57" s="378"/>
      <c r="CG57" s="378"/>
      <c r="CH57" s="378"/>
      <c r="CI57" s="378"/>
      <c r="CJ57" s="378"/>
      <c r="CK57" s="378"/>
      <c r="CL57" s="378"/>
      <c r="CM57" s="378"/>
      <c r="CN57" s="378"/>
      <c r="CO57" s="378"/>
      <c r="CP57" s="378"/>
      <c r="CQ57" s="378"/>
      <c r="CR57" s="378"/>
      <c r="CS57" s="378"/>
      <c r="CT57" s="378"/>
    </row>
    <row r="58" spans="1:98" x14ac:dyDescent="0.25">
      <c r="A58" s="378"/>
      <c r="B58" s="378"/>
      <c r="C58" s="378"/>
      <c r="D58" s="378"/>
      <c r="E58" s="378"/>
      <c r="F58" s="378"/>
      <c r="G58" s="378"/>
      <c r="H58" s="378"/>
      <c r="I58" s="378"/>
      <c r="J58" s="378"/>
      <c r="K58" s="378"/>
      <c r="L58" s="378"/>
      <c r="M58" s="378"/>
      <c r="N58" s="378"/>
      <c r="O58" s="378"/>
      <c r="P58" s="378"/>
      <c r="Q58" s="378"/>
      <c r="R58" s="378"/>
      <c r="S58" s="378"/>
      <c r="T58" s="378"/>
      <c r="U58" s="378"/>
      <c r="V58" s="378"/>
      <c r="W58" s="378"/>
      <c r="X58" s="378"/>
      <c r="Y58" s="378"/>
      <c r="Z58" s="378"/>
      <c r="AA58" s="378"/>
      <c r="AB58" s="378"/>
      <c r="AC58" s="378"/>
      <c r="AD58" s="378"/>
      <c r="AE58" s="378"/>
      <c r="AF58" s="378"/>
      <c r="AG58" s="378"/>
      <c r="AH58" s="378"/>
      <c r="AI58" s="378"/>
      <c r="AJ58" s="378"/>
      <c r="AK58" s="378"/>
      <c r="AL58" s="378"/>
      <c r="AM58" s="378"/>
      <c r="AN58" s="378"/>
      <c r="AO58" s="378"/>
      <c r="AP58" s="378"/>
      <c r="AQ58" s="378"/>
      <c r="AR58" s="378"/>
      <c r="AS58" s="378"/>
      <c r="AT58" s="378"/>
      <c r="AU58" s="378"/>
      <c r="AV58" s="378"/>
      <c r="AW58" s="378"/>
      <c r="AX58" s="378"/>
      <c r="AY58" s="378"/>
      <c r="AZ58" s="378"/>
      <c r="BA58" s="378"/>
      <c r="BB58" s="378"/>
      <c r="BC58" s="378"/>
      <c r="BD58" s="378"/>
      <c r="BE58" s="378"/>
      <c r="BF58" s="378"/>
      <c r="BG58" s="378"/>
      <c r="BH58" s="378"/>
      <c r="BI58" s="378"/>
      <c r="BJ58" s="378"/>
      <c r="BK58" s="378"/>
      <c r="BL58" s="378"/>
      <c r="BM58" s="378"/>
      <c r="BN58" s="378"/>
      <c r="BO58" s="378"/>
      <c r="BP58" s="378"/>
      <c r="BQ58" s="378"/>
      <c r="BR58" s="378"/>
      <c r="BS58" s="378"/>
      <c r="BT58" s="378"/>
      <c r="BU58" s="378"/>
      <c r="BV58" s="378"/>
      <c r="BW58" s="378"/>
      <c r="BX58" s="378"/>
      <c r="BY58" s="378"/>
      <c r="BZ58" s="378"/>
      <c r="CA58" s="378"/>
      <c r="CB58" s="378"/>
      <c r="CC58" s="378"/>
      <c r="CD58" s="378"/>
      <c r="CE58" s="378"/>
      <c r="CF58" s="378"/>
      <c r="CG58" s="378"/>
      <c r="CH58" s="378"/>
      <c r="CI58" s="378"/>
      <c r="CJ58" s="378"/>
      <c r="CK58" s="378"/>
      <c r="CL58" s="378"/>
      <c r="CM58" s="378"/>
      <c r="CN58" s="378"/>
      <c r="CO58" s="378"/>
      <c r="CP58" s="378"/>
      <c r="CQ58" s="378"/>
      <c r="CR58" s="378"/>
      <c r="CS58" s="378"/>
      <c r="CT58" s="378"/>
    </row>
    <row r="59" spans="1:98" x14ac:dyDescent="0.25">
      <c r="A59" s="378"/>
      <c r="B59" s="378"/>
      <c r="C59" s="378"/>
      <c r="D59" s="378"/>
      <c r="E59" s="378"/>
      <c r="F59" s="378"/>
      <c r="G59" s="378"/>
      <c r="H59" s="378"/>
      <c r="I59" s="378"/>
      <c r="J59" s="378"/>
      <c r="K59" s="378"/>
      <c r="L59" s="378"/>
      <c r="M59" s="378"/>
      <c r="N59" s="378"/>
      <c r="O59" s="378"/>
      <c r="P59" s="378"/>
      <c r="Q59" s="378"/>
      <c r="R59" s="378"/>
      <c r="S59" s="378"/>
      <c r="T59" s="378"/>
      <c r="U59" s="378"/>
      <c r="V59" s="378"/>
      <c r="W59" s="378"/>
      <c r="X59" s="378"/>
      <c r="Y59" s="378"/>
      <c r="Z59" s="378"/>
      <c r="AA59" s="378"/>
      <c r="AB59" s="378"/>
      <c r="AC59" s="378"/>
      <c r="AD59" s="378"/>
      <c r="AE59" s="378"/>
      <c r="AF59" s="378"/>
      <c r="AG59" s="378"/>
      <c r="AH59" s="378"/>
      <c r="AI59" s="378"/>
      <c r="AJ59" s="378"/>
      <c r="AK59" s="378"/>
      <c r="AL59" s="378"/>
      <c r="AM59" s="378"/>
      <c r="AN59" s="378"/>
      <c r="AO59" s="378"/>
      <c r="AP59" s="378"/>
      <c r="AQ59" s="378"/>
      <c r="AR59" s="378"/>
      <c r="AS59" s="378"/>
      <c r="AT59" s="378"/>
      <c r="AU59" s="378"/>
      <c r="AV59" s="378"/>
      <c r="AW59" s="378"/>
      <c r="AX59" s="378"/>
      <c r="AY59" s="378"/>
      <c r="AZ59" s="378"/>
      <c r="BA59" s="378"/>
      <c r="BB59" s="378"/>
      <c r="BC59" s="378"/>
      <c r="BD59" s="378"/>
      <c r="BE59" s="378"/>
      <c r="BF59" s="378"/>
      <c r="BG59" s="378"/>
      <c r="BH59" s="378"/>
      <c r="BI59" s="378"/>
      <c r="BJ59" s="378"/>
      <c r="BK59" s="378"/>
      <c r="BL59" s="378"/>
      <c r="BM59" s="378"/>
      <c r="BN59" s="378"/>
      <c r="BO59" s="378"/>
      <c r="BP59" s="378"/>
      <c r="BQ59" s="378"/>
      <c r="BR59" s="378"/>
      <c r="BS59" s="378"/>
      <c r="BT59" s="378"/>
      <c r="BU59" s="378"/>
      <c r="BV59" s="378"/>
      <c r="BW59" s="378"/>
      <c r="BX59" s="378"/>
      <c r="BY59" s="378"/>
      <c r="BZ59" s="378"/>
      <c r="CA59" s="378"/>
      <c r="CB59" s="378"/>
      <c r="CC59" s="378"/>
      <c r="CD59" s="378"/>
      <c r="CE59" s="378"/>
      <c r="CF59" s="378"/>
      <c r="CG59" s="378"/>
      <c r="CH59" s="378"/>
      <c r="CI59" s="378"/>
      <c r="CJ59" s="378"/>
      <c r="CK59" s="378"/>
      <c r="CL59" s="378"/>
      <c r="CM59" s="378"/>
      <c r="CN59" s="378"/>
      <c r="CO59" s="378"/>
      <c r="CP59" s="378"/>
      <c r="CQ59" s="378"/>
      <c r="CR59" s="378"/>
      <c r="CS59" s="378"/>
      <c r="CT59" s="378"/>
    </row>
    <row r="60" spans="1:98" x14ac:dyDescent="0.25">
      <c r="A60" s="378"/>
      <c r="B60" s="378"/>
      <c r="C60" s="378"/>
      <c r="D60" s="378"/>
      <c r="E60" s="378"/>
      <c r="F60" s="378"/>
      <c r="G60" s="378"/>
      <c r="H60" s="378"/>
      <c r="I60" s="378"/>
      <c r="J60" s="378"/>
      <c r="K60" s="378"/>
      <c r="L60" s="378"/>
      <c r="M60" s="378"/>
      <c r="N60" s="378"/>
      <c r="O60" s="378"/>
      <c r="P60" s="378"/>
      <c r="Q60" s="378"/>
      <c r="R60" s="378"/>
      <c r="S60" s="378"/>
      <c r="T60" s="378"/>
      <c r="U60" s="378"/>
      <c r="V60" s="378"/>
      <c r="W60" s="378"/>
      <c r="X60" s="378"/>
      <c r="Y60" s="378"/>
      <c r="Z60" s="378"/>
      <c r="AA60" s="378"/>
      <c r="AB60" s="378"/>
      <c r="AC60" s="378"/>
      <c r="AD60" s="378"/>
      <c r="AE60" s="378"/>
      <c r="AF60" s="378"/>
      <c r="AG60" s="378"/>
      <c r="AH60" s="378"/>
      <c r="AI60" s="378"/>
      <c r="AJ60" s="378"/>
      <c r="AK60" s="378"/>
      <c r="AL60" s="378"/>
      <c r="AM60" s="378"/>
      <c r="AN60" s="378"/>
      <c r="AO60" s="378"/>
      <c r="AP60" s="378"/>
      <c r="AQ60" s="378"/>
      <c r="AR60" s="378"/>
      <c r="AS60" s="378"/>
      <c r="AT60" s="378"/>
      <c r="AU60" s="378"/>
      <c r="AV60" s="378"/>
      <c r="AW60" s="378"/>
      <c r="AX60" s="378"/>
      <c r="AY60" s="378"/>
      <c r="AZ60" s="378"/>
      <c r="BA60" s="378"/>
      <c r="BB60" s="378"/>
      <c r="BC60" s="378"/>
      <c r="BD60" s="378"/>
      <c r="BE60" s="378"/>
      <c r="BF60" s="378"/>
      <c r="BG60" s="378"/>
      <c r="BH60" s="378"/>
      <c r="BI60" s="378"/>
      <c r="BJ60" s="378"/>
      <c r="BK60" s="378"/>
      <c r="BL60" s="378"/>
      <c r="BM60" s="378"/>
      <c r="BN60" s="378"/>
      <c r="BO60" s="378"/>
      <c r="BP60" s="378"/>
      <c r="BQ60" s="378"/>
      <c r="BR60" s="378"/>
      <c r="BS60" s="378"/>
      <c r="BT60" s="378"/>
      <c r="BU60" s="378"/>
      <c r="BV60" s="378"/>
      <c r="BW60" s="378"/>
      <c r="BX60" s="378"/>
      <c r="BY60" s="378"/>
      <c r="BZ60" s="378"/>
      <c r="CA60" s="378"/>
      <c r="CB60" s="378"/>
      <c r="CC60" s="378"/>
      <c r="CD60" s="378"/>
      <c r="CE60" s="378"/>
      <c r="CF60" s="378"/>
      <c r="CG60" s="378"/>
      <c r="CH60" s="378"/>
      <c r="CI60" s="378"/>
      <c r="CJ60" s="378"/>
      <c r="CK60" s="378"/>
      <c r="CL60" s="378"/>
      <c r="CM60" s="378"/>
      <c r="CN60" s="378"/>
      <c r="CO60" s="378"/>
      <c r="CP60" s="378"/>
      <c r="CQ60" s="378"/>
      <c r="CR60" s="378"/>
      <c r="CS60" s="378"/>
      <c r="CT60" s="378"/>
    </row>
    <row r="61" spans="1:98" x14ac:dyDescent="0.25">
      <c r="A61" s="378"/>
      <c r="B61" s="378"/>
      <c r="C61" s="378"/>
      <c r="D61" s="378"/>
      <c r="E61" s="378"/>
      <c r="F61" s="378"/>
      <c r="G61" s="378"/>
      <c r="H61" s="378"/>
      <c r="I61" s="378"/>
      <c r="J61" s="378"/>
      <c r="K61" s="378"/>
      <c r="L61" s="378"/>
      <c r="M61" s="378"/>
      <c r="N61" s="378"/>
      <c r="O61" s="378"/>
      <c r="P61" s="378"/>
      <c r="Q61" s="378"/>
      <c r="R61" s="378"/>
      <c r="S61" s="378"/>
      <c r="T61" s="378"/>
      <c r="U61" s="378"/>
      <c r="V61" s="378"/>
      <c r="W61" s="378"/>
      <c r="X61" s="378"/>
      <c r="Y61" s="378"/>
      <c r="Z61" s="378"/>
      <c r="AA61" s="378"/>
      <c r="AB61" s="378"/>
      <c r="AC61" s="378"/>
      <c r="AD61" s="378"/>
      <c r="AE61" s="378"/>
      <c r="AF61" s="378"/>
      <c r="AG61" s="378"/>
      <c r="AH61" s="378"/>
      <c r="AI61" s="378"/>
      <c r="AJ61" s="378"/>
      <c r="AK61" s="378"/>
      <c r="AL61" s="378"/>
      <c r="AM61" s="378"/>
      <c r="AN61" s="378"/>
      <c r="AO61" s="378"/>
      <c r="AP61" s="378"/>
      <c r="AQ61" s="378"/>
      <c r="AR61" s="378"/>
      <c r="AS61" s="378"/>
      <c r="AT61" s="378"/>
      <c r="AU61" s="378"/>
      <c r="AV61" s="378"/>
      <c r="AW61" s="378"/>
      <c r="AX61" s="378"/>
      <c r="AY61" s="378"/>
      <c r="AZ61" s="378"/>
      <c r="BA61" s="378"/>
      <c r="BB61" s="378"/>
      <c r="BC61" s="378"/>
      <c r="BD61" s="378"/>
      <c r="BE61" s="378"/>
      <c r="BF61" s="378"/>
      <c r="BG61" s="378"/>
      <c r="BH61" s="378"/>
      <c r="BI61" s="378"/>
      <c r="BJ61" s="378"/>
      <c r="BK61" s="378"/>
      <c r="BL61" s="378"/>
      <c r="BM61" s="378"/>
      <c r="BN61" s="378"/>
      <c r="BO61" s="378"/>
      <c r="BP61" s="378"/>
      <c r="BQ61" s="378"/>
      <c r="BR61" s="378"/>
      <c r="BS61" s="378"/>
      <c r="BT61" s="378"/>
      <c r="BU61" s="378"/>
      <c r="BV61" s="378"/>
      <c r="BW61" s="378"/>
      <c r="BX61" s="378"/>
      <c r="BY61" s="378"/>
      <c r="BZ61" s="378"/>
      <c r="CA61" s="378"/>
      <c r="CB61" s="378"/>
      <c r="CC61" s="378"/>
      <c r="CD61" s="378"/>
      <c r="CE61" s="378"/>
      <c r="CF61" s="378"/>
      <c r="CG61" s="378"/>
      <c r="CH61" s="378"/>
      <c r="CI61" s="378"/>
      <c r="CJ61" s="378"/>
      <c r="CK61" s="378"/>
      <c r="CL61" s="378"/>
      <c r="CM61" s="378"/>
      <c r="CN61" s="378"/>
      <c r="CO61" s="378"/>
      <c r="CP61" s="378"/>
      <c r="CQ61" s="378"/>
      <c r="CR61" s="378"/>
      <c r="CS61" s="378"/>
      <c r="CT61" s="378"/>
    </row>
    <row r="62" spans="1:98" x14ac:dyDescent="0.25">
      <c r="A62" s="378"/>
      <c r="B62" s="378"/>
      <c r="C62" s="378"/>
      <c r="D62" s="378"/>
      <c r="E62" s="378"/>
      <c r="F62" s="378"/>
      <c r="G62" s="378"/>
      <c r="H62" s="378"/>
      <c r="I62" s="378"/>
      <c r="J62" s="378"/>
      <c r="K62" s="378"/>
      <c r="L62" s="378"/>
      <c r="M62" s="378"/>
      <c r="N62" s="378"/>
      <c r="O62" s="378"/>
      <c r="P62" s="378"/>
      <c r="Q62" s="378"/>
      <c r="R62" s="378"/>
      <c r="S62" s="378"/>
      <c r="T62" s="378"/>
      <c r="U62" s="378"/>
      <c r="V62" s="378"/>
      <c r="W62" s="378"/>
      <c r="X62" s="378"/>
      <c r="Y62" s="378"/>
      <c r="Z62" s="378"/>
      <c r="AA62" s="378"/>
      <c r="AB62" s="378"/>
      <c r="AC62" s="378"/>
      <c r="AD62" s="378"/>
      <c r="AE62" s="378"/>
      <c r="AF62" s="378"/>
      <c r="AG62" s="378"/>
      <c r="AH62" s="378"/>
      <c r="AI62" s="378"/>
      <c r="AJ62" s="378"/>
      <c r="AK62" s="378"/>
      <c r="AL62" s="378"/>
      <c r="AM62" s="378"/>
      <c r="AN62" s="378"/>
      <c r="AO62" s="378"/>
      <c r="AP62" s="378"/>
      <c r="AQ62" s="378"/>
      <c r="AR62" s="378"/>
      <c r="AS62" s="378"/>
      <c r="AT62" s="378"/>
      <c r="AU62" s="378"/>
      <c r="AV62" s="378"/>
      <c r="AW62" s="378"/>
      <c r="AX62" s="378"/>
      <c r="AY62" s="378"/>
      <c r="AZ62" s="378"/>
      <c r="BA62" s="378"/>
      <c r="BB62" s="378"/>
      <c r="BC62" s="378"/>
      <c r="BD62" s="378"/>
      <c r="BE62" s="378"/>
      <c r="BF62" s="378"/>
      <c r="BG62" s="378"/>
      <c r="BH62" s="378"/>
      <c r="BI62" s="378"/>
      <c r="BJ62" s="378"/>
      <c r="BK62" s="378"/>
      <c r="BL62" s="378"/>
      <c r="BM62" s="378"/>
      <c r="BN62" s="378"/>
      <c r="BO62" s="378"/>
      <c r="BP62" s="378"/>
      <c r="BQ62" s="378"/>
      <c r="BR62" s="378"/>
      <c r="BS62" s="378"/>
      <c r="BT62" s="378"/>
      <c r="BU62" s="378"/>
      <c r="BV62" s="378"/>
      <c r="BW62" s="378"/>
      <c r="BX62" s="378"/>
      <c r="BY62" s="378"/>
      <c r="BZ62" s="378"/>
      <c r="CA62" s="378"/>
      <c r="CB62" s="378"/>
      <c r="CC62" s="378"/>
      <c r="CD62" s="378"/>
      <c r="CE62" s="378"/>
      <c r="CF62" s="378"/>
      <c r="CG62" s="378"/>
      <c r="CH62" s="378"/>
      <c r="CI62" s="378"/>
      <c r="CJ62" s="378"/>
      <c r="CK62" s="378"/>
      <c r="CL62" s="378"/>
      <c r="CM62" s="378"/>
      <c r="CN62" s="378"/>
      <c r="CO62" s="378"/>
      <c r="CP62" s="378"/>
      <c r="CQ62" s="378"/>
      <c r="CR62" s="378"/>
      <c r="CS62" s="378"/>
      <c r="CT62" s="378"/>
    </row>
    <row r="63" spans="1:98" x14ac:dyDescent="0.25">
      <c r="A63" s="378"/>
      <c r="B63" s="378"/>
      <c r="C63" s="378"/>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c r="AJ63" s="378"/>
      <c r="AK63" s="378"/>
      <c r="AL63" s="378"/>
      <c r="AM63" s="378"/>
      <c r="AN63" s="378"/>
      <c r="AO63" s="378"/>
      <c r="AP63" s="378"/>
      <c r="AQ63" s="378"/>
      <c r="AR63" s="378"/>
      <c r="AS63" s="378"/>
      <c r="AT63" s="378"/>
      <c r="AU63" s="378"/>
      <c r="AV63" s="378"/>
      <c r="AW63" s="378"/>
      <c r="AX63" s="378"/>
      <c r="AY63" s="378"/>
      <c r="AZ63" s="378"/>
      <c r="BA63" s="378"/>
      <c r="BB63" s="378"/>
      <c r="BC63" s="378"/>
      <c r="BD63" s="378"/>
      <c r="BE63" s="378"/>
      <c r="BF63" s="378"/>
      <c r="BG63" s="378"/>
      <c r="BH63" s="378"/>
      <c r="BI63" s="378"/>
      <c r="BJ63" s="378"/>
      <c r="BK63" s="378"/>
      <c r="BL63" s="378"/>
      <c r="BM63" s="378"/>
      <c r="BN63" s="378"/>
      <c r="BO63" s="378"/>
      <c r="BP63" s="378"/>
      <c r="BQ63" s="378"/>
      <c r="BR63" s="378"/>
      <c r="BS63" s="378"/>
      <c r="BT63" s="378"/>
      <c r="BU63" s="378"/>
      <c r="BV63" s="378"/>
      <c r="BW63" s="378"/>
      <c r="BX63" s="378"/>
      <c r="BY63" s="378"/>
      <c r="BZ63" s="378"/>
      <c r="CA63" s="378"/>
      <c r="CB63" s="378"/>
      <c r="CC63" s="378"/>
      <c r="CD63" s="378"/>
      <c r="CE63" s="378"/>
      <c r="CF63" s="378"/>
      <c r="CG63" s="378"/>
      <c r="CH63" s="378"/>
      <c r="CI63" s="378"/>
      <c r="CJ63" s="378"/>
      <c r="CK63" s="378"/>
      <c r="CL63" s="378"/>
      <c r="CM63" s="378"/>
      <c r="CN63" s="378"/>
      <c r="CO63" s="378"/>
      <c r="CP63" s="378"/>
      <c r="CQ63" s="378"/>
      <c r="CR63" s="378"/>
      <c r="CS63" s="378"/>
      <c r="CT63" s="378"/>
    </row>
    <row r="64" spans="1:98" x14ac:dyDescent="0.25">
      <c r="A64" s="378"/>
      <c r="B64" s="378"/>
      <c r="C64" s="378"/>
      <c r="D64" s="378"/>
      <c r="E64" s="378"/>
      <c r="F64" s="378"/>
      <c r="G64" s="378"/>
      <c r="H64" s="378"/>
      <c r="I64" s="378"/>
      <c r="J64" s="378"/>
      <c r="K64" s="378"/>
      <c r="L64" s="378"/>
      <c r="M64" s="378"/>
      <c r="N64" s="378"/>
      <c r="O64" s="378"/>
      <c r="P64" s="378"/>
      <c r="Q64" s="378"/>
      <c r="R64" s="378"/>
      <c r="S64" s="378"/>
      <c r="T64" s="378"/>
      <c r="U64" s="378"/>
      <c r="V64" s="378"/>
      <c r="W64" s="378"/>
      <c r="X64" s="378"/>
      <c r="Y64" s="378"/>
      <c r="Z64" s="378"/>
      <c r="AA64" s="378"/>
      <c r="AB64" s="378"/>
      <c r="AC64" s="378"/>
      <c r="AD64" s="378"/>
      <c r="AE64" s="378"/>
      <c r="AF64" s="378"/>
      <c r="AG64" s="378"/>
      <c r="AH64" s="378"/>
      <c r="AI64" s="378"/>
      <c r="AJ64" s="378"/>
      <c r="AK64" s="378"/>
      <c r="AL64" s="378"/>
      <c r="AM64" s="378"/>
      <c r="AN64" s="378"/>
      <c r="AO64" s="378"/>
      <c r="AP64" s="378"/>
      <c r="AQ64" s="378"/>
      <c r="AR64" s="378"/>
      <c r="AS64" s="378"/>
      <c r="AT64" s="378"/>
      <c r="AU64" s="378"/>
      <c r="AV64" s="378"/>
      <c r="AW64" s="378"/>
      <c r="AX64" s="378"/>
      <c r="AY64" s="378"/>
      <c r="AZ64" s="378"/>
      <c r="BA64" s="378"/>
      <c r="BB64" s="378"/>
      <c r="BC64" s="378"/>
      <c r="BD64" s="378"/>
      <c r="BE64" s="378"/>
      <c r="BF64" s="378"/>
      <c r="BG64" s="378"/>
      <c r="BH64" s="378"/>
      <c r="BI64" s="378"/>
      <c r="BJ64" s="378"/>
      <c r="BK64" s="378"/>
      <c r="BL64" s="378"/>
      <c r="BM64" s="378"/>
      <c r="BN64" s="378"/>
      <c r="BO64" s="378"/>
      <c r="BP64" s="378"/>
      <c r="BQ64" s="378"/>
      <c r="BR64" s="378"/>
      <c r="BS64" s="378"/>
      <c r="BT64" s="378"/>
      <c r="BU64" s="378"/>
      <c r="BV64" s="378"/>
      <c r="BW64" s="378"/>
      <c r="BX64" s="378"/>
      <c r="BY64" s="378"/>
      <c r="BZ64" s="378"/>
      <c r="CA64" s="378"/>
      <c r="CB64" s="378"/>
      <c r="CC64" s="378"/>
      <c r="CD64" s="378"/>
      <c r="CE64" s="378"/>
      <c r="CF64" s="378"/>
      <c r="CG64" s="378"/>
      <c r="CH64" s="378"/>
      <c r="CI64" s="378"/>
      <c r="CJ64" s="378"/>
      <c r="CK64" s="378"/>
      <c r="CL64" s="378"/>
      <c r="CM64" s="378"/>
      <c r="CN64" s="378"/>
      <c r="CO64" s="378"/>
      <c r="CP64" s="378"/>
      <c r="CQ64" s="378"/>
      <c r="CR64" s="378"/>
      <c r="CS64" s="378"/>
      <c r="CT64" s="378"/>
    </row>
    <row r="65" spans="1:98" x14ac:dyDescent="0.25">
      <c r="A65" s="378"/>
      <c r="B65" s="378"/>
      <c r="C65" s="378"/>
      <c r="D65" s="378"/>
      <c r="E65" s="378"/>
      <c r="F65" s="378"/>
      <c r="G65" s="378"/>
      <c r="H65" s="378"/>
      <c r="I65" s="378"/>
      <c r="J65" s="378"/>
      <c r="K65" s="378"/>
      <c r="L65" s="378"/>
      <c r="M65" s="378"/>
      <c r="N65" s="378"/>
      <c r="O65" s="378"/>
      <c r="P65" s="378"/>
      <c r="Q65" s="378"/>
      <c r="R65" s="378"/>
      <c r="S65" s="378"/>
      <c r="T65" s="378"/>
      <c r="U65" s="378"/>
      <c r="V65" s="378"/>
      <c r="W65" s="378"/>
      <c r="X65" s="378"/>
      <c r="Y65" s="378"/>
      <c r="Z65" s="378"/>
      <c r="AA65" s="378"/>
      <c r="AB65" s="378"/>
      <c r="AC65" s="378"/>
      <c r="AD65" s="378"/>
      <c r="AE65" s="378"/>
      <c r="AF65" s="378"/>
      <c r="AG65" s="378"/>
      <c r="AH65" s="378"/>
      <c r="AI65" s="378"/>
      <c r="AJ65" s="378"/>
      <c r="AK65" s="378"/>
      <c r="AL65" s="378"/>
      <c r="AM65" s="378"/>
      <c r="AN65" s="378"/>
      <c r="AO65" s="378"/>
      <c r="AP65" s="378"/>
      <c r="AQ65" s="378"/>
      <c r="AR65" s="378"/>
      <c r="AS65" s="378"/>
      <c r="AT65" s="378"/>
      <c r="AU65" s="378"/>
      <c r="AV65" s="378"/>
      <c r="AW65" s="378"/>
      <c r="AX65" s="378"/>
      <c r="AY65" s="378"/>
      <c r="AZ65" s="378"/>
      <c r="BA65" s="378"/>
      <c r="BB65" s="378"/>
      <c r="BC65" s="378"/>
      <c r="BD65" s="378"/>
      <c r="BE65" s="378"/>
      <c r="BF65" s="378"/>
      <c r="BG65" s="378"/>
      <c r="BH65" s="378"/>
      <c r="BI65" s="378"/>
      <c r="BJ65" s="378"/>
      <c r="BK65" s="378"/>
      <c r="BL65" s="378"/>
      <c r="BM65" s="378"/>
      <c r="BN65" s="378"/>
      <c r="BO65" s="378"/>
      <c r="BP65" s="378"/>
      <c r="BQ65" s="378"/>
      <c r="BR65" s="378"/>
      <c r="BS65" s="378"/>
      <c r="BT65" s="378"/>
      <c r="BU65" s="378"/>
      <c r="BV65" s="378"/>
      <c r="BW65" s="378"/>
      <c r="BX65" s="378"/>
      <c r="BY65" s="378"/>
      <c r="BZ65" s="378"/>
      <c r="CA65" s="378"/>
      <c r="CB65" s="378"/>
      <c r="CC65" s="378"/>
      <c r="CD65" s="378"/>
      <c r="CE65" s="378"/>
      <c r="CF65" s="378"/>
      <c r="CG65" s="378"/>
      <c r="CH65" s="378"/>
      <c r="CI65" s="378"/>
      <c r="CJ65" s="378"/>
      <c r="CK65" s="378"/>
      <c r="CL65" s="378"/>
      <c r="CM65" s="378"/>
      <c r="CN65" s="378"/>
      <c r="CO65" s="378"/>
      <c r="CP65" s="378"/>
      <c r="CQ65" s="378"/>
      <c r="CR65" s="378"/>
      <c r="CS65" s="378"/>
      <c r="CT65" s="378"/>
    </row>
    <row r="66" spans="1:98" x14ac:dyDescent="0.25">
      <c r="A66" s="378"/>
      <c r="B66" s="378"/>
      <c r="C66" s="378"/>
      <c r="D66" s="378"/>
      <c r="E66" s="378"/>
      <c r="F66" s="378"/>
      <c r="G66" s="378"/>
      <c r="H66" s="378"/>
      <c r="I66" s="378"/>
      <c r="J66" s="378"/>
      <c r="K66" s="378"/>
      <c r="L66" s="378"/>
      <c r="M66" s="378"/>
      <c r="N66" s="378"/>
      <c r="O66" s="378"/>
      <c r="P66" s="378"/>
      <c r="Q66" s="378"/>
      <c r="R66" s="378"/>
      <c r="S66" s="378"/>
      <c r="T66" s="378"/>
      <c r="U66" s="378"/>
      <c r="V66" s="378"/>
      <c r="W66" s="378"/>
      <c r="X66" s="378"/>
      <c r="Y66" s="378"/>
      <c r="Z66" s="378"/>
      <c r="AA66" s="378"/>
      <c r="AB66" s="378"/>
      <c r="AC66" s="378"/>
      <c r="AD66" s="378"/>
      <c r="AE66" s="378"/>
      <c r="AF66" s="378"/>
      <c r="AG66" s="378"/>
      <c r="AH66" s="378"/>
      <c r="AI66" s="378"/>
      <c r="AJ66" s="378"/>
      <c r="AK66" s="378"/>
      <c r="AL66" s="378"/>
      <c r="AM66" s="378"/>
      <c r="AN66" s="378"/>
      <c r="AO66" s="378"/>
      <c r="AP66" s="378"/>
      <c r="AQ66" s="378"/>
      <c r="AR66" s="378"/>
      <c r="AS66" s="378"/>
      <c r="AT66" s="378"/>
      <c r="AU66" s="378"/>
      <c r="AV66" s="378"/>
      <c r="AW66" s="378"/>
      <c r="AX66" s="378"/>
      <c r="AY66" s="378"/>
      <c r="AZ66" s="378"/>
      <c r="BA66" s="378"/>
      <c r="BB66" s="378"/>
      <c r="BC66" s="378"/>
      <c r="BD66" s="378"/>
      <c r="BE66" s="378"/>
      <c r="BF66" s="378"/>
      <c r="BG66" s="378"/>
      <c r="BH66" s="378"/>
      <c r="BI66" s="378"/>
      <c r="BJ66" s="378"/>
      <c r="BK66" s="378"/>
      <c r="BL66" s="378"/>
      <c r="BM66" s="378"/>
      <c r="BN66" s="378"/>
      <c r="BO66" s="378"/>
      <c r="BP66" s="378"/>
      <c r="BQ66" s="378"/>
      <c r="BR66" s="378"/>
      <c r="BS66" s="378"/>
      <c r="BT66" s="378"/>
      <c r="BU66" s="378"/>
      <c r="BV66" s="378"/>
      <c r="BW66" s="378"/>
      <c r="BX66" s="378"/>
      <c r="BY66" s="378"/>
      <c r="BZ66" s="378"/>
      <c r="CA66" s="378"/>
      <c r="CB66" s="378"/>
      <c r="CC66" s="378"/>
      <c r="CD66" s="378"/>
      <c r="CE66" s="378"/>
      <c r="CF66" s="378"/>
      <c r="CG66" s="378"/>
      <c r="CH66" s="378"/>
      <c r="CI66" s="378"/>
      <c r="CJ66" s="378"/>
      <c r="CK66" s="378"/>
      <c r="CL66" s="378"/>
      <c r="CM66" s="378"/>
      <c r="CN66" s="378"/>
      <c r="CO66" s="378"/>
      <c r="CP66" s="378"/>
      <c r="CQ66" s="378"/>
      <c r="CR66" s="378"/>
      <c r="CS66" s="378"/>
      <c r="CT66" s="378"/>
    </row>
    <row r="67" spans="1:98" x14ac:dyDescent="0.25">
      <c r="A67" s="378"/>
      <c r="B67" s="378"/>
      <c r="C67" s="378"/>
      <c r="D67" s="378"/>
      <c r="E67" s="378"/>
      <c r="F67" s="378"/>
      <c r="G67" s="378"/>
      <c r="H67" s="378"/>
      <c r="I67" s="378"/>
      <c r="J67" s="378"/>
      <c r="K67" s="378"/>
      <c r="L67" s="378"/>
      <c r="M67" s="378"/>
      <c r="N67" s="378"/>
      <c r="O67" s="378"/>
      <c r="P67" s="378"/>
      <c r="Q67" s="378"/>
      <c r="R67" s="378"/>
      <c r="S67" s="378"/>
      <c r="T67" s="378"/>
      <c r="U67" s="378"/>
      <c r="V67" s="378"/>
      <c r="W67" s="378"/>
      <c r="X67" s="378"/>
      <c r="Y67" s="378"/>
      <c r="Z67" s="378"/>
      <c r="AA67" s="378"/>
      <c r="AB67" s="378"/>
      <c r="AC67" s="378"/>
      <c r="AD67" s="378"/>
      <c r="AE67" s="378"/>
      <c r="AF67" s="378"/>
      <c r="AG67" s="378"/>
      <c r="AH67" s="378"/>
      <c r="AI67" s="378"/>
      <c r="AJ67" s="378"/>
      <c r="AK67" s="378"/>
      <c r="AL67" s="378"/>
      <c r="AM67" s="378"/>
      <c r="AN67" s="378"/>
      <c r="AO67" s="378"/>
      <c r="AP67" s="378"/>
      <c r="AQ67" s="378"/>
      <c r="AR67" s="378"/>
      <c r="AS67" s="378"/>
      <c r="AT67" s="378"/>
      <c r="AU67" s="378"/>
      <c r="AV67" s="378"/>
      <c r="AW67" s="378"/>
      <c r="AX67" s="378"/>
      <c r="AY67" s="378"/>
      <c r="AZ67" s="378"/>
      <c r="BA67" s="378"/>
      <c r="BB67" s="378"/>
      <c r="BC67" s="378"/>
      <c r="BD67" s="378"/>
      <c r="BE67" s="378"/>
      <c r="BF67" s="378"/>
      <c r="BG67" s="378"/>
      <c r="BH67" s="378"/>
      <c r="BI67" s="378"/>
      <c r="BJ67" s="378"/>
      <c r="BK67" s="378"/>
      <c r="BL67" s="378"/>
      <c r="BM67" s="378"/>
      <c r="BN67" s="378"/>
      <c r="BO67" s="378"/>
      <c r="BP67" s="378"/>
      <c r="BQ67" s="378"/>
      <c r="BR67" s="378"/>
      <c r="BS67" s="378"/>
      <c r="BT67" s="378"/>
      <c r="BU67" s="378"/>
      <c r="BV67" s="378"/>
      <c r="BW67" s="378"/>
      <c r="BX67" s="378"/>
      <c r="BY67" s="378"/>
      <c r="BZ67" s="378"/>
      <c r="CA67" s="378"/>
      <c r="CB67" s="378"/>
      <c r="CC67" s="378"/>
      <c r="CD67" s="378"/>
      <c r="CE67" s="378"/>
      <c r="CF67" s="378"/>
      <c r="CG67" s="378"/>
      <c r="CH67" s="378"/>
      <c r="CI67" s="378"/>
      <c r="CJ67" s="378"/>
      <c r="CK67" s="378"/>
      <c r="CL67" s="378"/>
      <c r="CM67" s="378"/>
      <c r="CN67" s="378"/>
      <c r="CO67" s="378"/>
      <c r="CP67" s="378"/>
      <c r="CQ67" s="378"/>
      <c r="CR67" s="378"/>
      <c r="CS67" s="378"/>
      <c r="CT67" s="378"/>
    </row>
    <row r="68" spans="1:98" x14ac:dyDescent="0.25">
      <c r="A68" s="378"/>
      <c r="B68" s="378"/>
      <c r="C68" s="378"/>
      <c r="D68" s="378"/>
      <c r="E68" s="378"/>
      <c r="F68" s="378"/>
      <c r="G68" s="378"/>
      <c r="H68" s="378"/>
      <c r="I68" s="378"/>
      <c r="J68" s="378"/>
      <c r="K68" s="378"/>
      <c r="L68" s="378"/>
      <c r="M68" s="378"/>
      <c r="N68" s="378"/>
      <c r="O68" s="378"/>
      <c r="P68" s="378"/>
      <c r="Q68" s="378"/>
      <c r="R68" s="378"/>
      <c r="S68" s="378"/>
      <c r="T68" s="378"/>
      <c r="U68" s="378"/>
      <c r="V68" s="378"/>
      <c r="W68" s="378"/>
      <c r="X68" s="378"/>
      <c r="Y68" s="378"/>
      <c r="Z68" s="378"/>
      <c r="AA68" s="378"/>
      <c r="AB68" s="378"/>
      <c r="AC68" s="378"/>
      <c r="AD68" s="378"/>
      <c r="AE68" s="378"/>
      <c r="AF68" s="378"/>
      <c r="AG68" s="378"/>
      <c r="AH68" s="378"/>
      <c r="AI68" s="378"/>
      <c r="AJ68" s="378"/>
      <c r="AK68" s="378"/>
      <c r="AL68" s="378"/>
      <c r="AM68" s="378"/>
      <c r="AN68" s="378"/>
      <c r="AO68" s="378"/>
      <c r="AP68" s="378"/>
      <c r="AQ68" s="378"/>
      <c r="AR68" s="378"/>
      <c r="AS68" s="378"/>
      <c r="AT68" s="378"/>
      <c r="AU68" s="378"/>
      <c r="AV68" s="378"/>
      <c r="AW68" s="378"/>
      <c r="AX68" s="378"/>
      <c r="AY68" s="378"/>
      <c r="AZ68" s="378"/>
      <c r="BA68" s="378"/>
      <c r="BB68" s="378"/>
      <c r="BC68" s="378"/>
      <c r="BD68" s="378"/>
      <c r="BE68" s="378"/>
      <c r="BF68" s="378"/>
      <c r="BG68" s="378"/>
      <c r="BH68" s="378"/>
      <c r="BI68" s="378"/>
      <c r="BJ68" s="378"/>
      <c r="BK68" s="378"/>
      <c r="BL68" s="378"/>
      <c r="BM68" s="378"/>
      <c r="BN68" s="378"/>
      <c r="BO68" s="378"/>
      <c r="BP68" s="378"/>
      <c r="BQ68" s="378"/>
      <c r="BR68" s="378"/>
      <c r="BS68" s="378"/>
      <c r="BT68" s="378"/>
      <c r="BU68" s="378"/>
      <c r="BV68" s="378"/>
      <c r="BW68" s="378"/>
      <c r="BX68" s="378"/>
      <c r="BY68" s="378"/>
      <c r="BZ68" s="378"/>
      <c r="CA68" s="378"/>
      <c r="CB68" s="378"/>
      <c r="CC68" s="378"/>
      <c r="CD68" s="378"/>
      <c r="CE68" s="378"/>
      <c r="CF68" s="378"/>
      <c r="CG68" s="378"/>
      <c r="CH68" s="378"/>
      <c r="CI68" s="378"/>
      <c r="CJ68" s="378"/>
      <c r="CK68" s="378"/>
      <c r="CL68" s="378"/>
      <c r="CM68" s="378"/>
      <c r="CN68" s="378"/>
      <c r="CO68" s="378"/>
      <c r="CP68" s="378"/>
      <c r="CQ68" s="378"/>
      <c r="CR68" s="378"/>
      <c r="CS68" s="378"/>
      <c r="CT68" s="378"/>
    </row>
    <row r="69" spans="1:98" x14ac:dyDescent="0.25">
      <c r="A69" s="378"/>
      <c r="B69" s="378"/>
      <c r="C69" s="378"/>
      <c r="D69" s="378"/>
      <c r="E69" s="378"/>
      <c r="F69" s="378"/>
      <c r="G69" s="378"/>
      <c r="H69" s="378"/>
      <c r="I69" s="378"/>
      <c r="J69" s="378"/>
      <c r="K69" s="378"/>
      <c r="L69" s="378"/>
      <c r="M69" s="378"/>
      <c r="N69" s="378"/>
      <c r="O69" s="378"/>
      <c r="P69" s="378"/>
      <c r="Q69" s="378"/>
      <c r="R69" s="378"/>
      <c r="S69" s="378"/>
      <c r="T69" s="378"/>
      <c r="U69" s="378"/>
      <c r="V69" s="378"/>
      <c r="W69" s="378"/>
      <c r="X69" s="378"/>
      <c r="Y69" s="378"/>
      <c r="Z69" s="378"/>
      <c r="AA69" s="378"/>
      <c r="AB69" s="378"/>
      <c r="AC69" s="378"/>
      <c r="AD69" s="378"/>
      <c r="AE69" s="378"/>
      <c r="AF69" s="378"/>
      <c r="AG69" s="378"/>
      <c r="AH69" s="378"/>
      <c r="AI69" s="378"/>
      <c r="AJ69" s="378"/>
      <c r="AK69" s="378"/>
      <c r="AL69" s="378"/>
      <c r="AM69" s="378"/>
      <c r="AN69" s="378"/>
      <c r="AO69" s="378"/>
      <c r="AP69" s="378"/>
      <c r="AQ69" s="378"/>
      <c r="AR69" s="378"/>
      <c r="AS69" s="378"/>
      <c r="AT69" s="378"/>
      <c r="AU69" s="378"/>
      <c r="AV69" s="378"/>
      <c r="AW69" s="378"/>
      <c r="AX69" s="378"/>
      <c r="AY69" s="378"/>
      <c r="AZ69" s="378"/>
      <c r="BA69" s="378"/>
      <c r="BB69" s="378"/>
      <c r="BC69" s="378"/>
      <c r="BD69" s="378"/>
      <c r="BE69" s="378"/>
      <c r="BF69" s="378"/>
      <c r="BG69" s="378"/>
      <c r="BH69" s="378"/>
      <c r="BI69" s="378"/>
      <c r="BJ69" s="378"/>
      <c r="BK69" s="378"/>
      <c r="BL69" s="378"/>
      <c r="BM69" s="378"/>
      <c r="BN69" s="378"/>
      <c r="BO69" s="378"/>
      <c r="BP69" s="378"/>
      <c r="BQ69" s="378"/>
      <c r="BR69" s="378"/>
      <c r="BS69" s="378"/>
      <c r="BT69" s="378"/>
      <c r="BU69" s="378"/>
      <c r="BV69" s="378"/>
      <c r="BW69" s="378"/>
      <c r="BX69" s="378"/>
      <c r="BY69" s="378"/>
      <c r="BZ69" s="378"/>
      <c r="CA69" s="378"/>
      <c r="CB69" s="378"/>
      <c r="CC69" s="378"/>
      <c r="CD69" s="378"/>
      <c r="CE69" s="378"/>
      <c r="CF69" s="378"/>
      <c r="CG69" s="378"/>
      <c r="CH69" s="378"/>
      <c r="CI69" s="378"/>
      <c r="CJ69" s="378"/>
      <c r="CK69" s="378"/>
      <c r="CL69" s="378"/>
      <c r="CM69" s="378"/>
      <c r="CN69" s="378"/>
      <c r="CO69" s="378"/>
      <c r="CP69" s="378"/>
      <c r="CQ69" s="378"/>
      <c r="CR69" s="378"/>
      <c r="CS69" s="378"/>
      <c r="CT69" s="378"/>
    </row>
    <row r="70" spans="1:98" x14ac:dyDescent="0.25">
      <c r="A70" s="378"/>
      <c r="B70" s="378"/>
      <c r="C70" s="378"/>
      <c r="D70" s="378"/>
      <c r="E70" s="378"/>
      <c r="F70" s="378"/>
      <c r="G70" s="378"/>
      <c r="H70" s="378"/>
      <c r="I70" s="378"/>
      <c r="J70" s="378"/>
      <c r="K70" s="378"/>
      <c r="L70" s="378"/>
      <c r="M70" s="378"/>
      <c r="N70" s="378"/>
      <c r="O70" s="378"/>
      <c r="P70" s="378"/>
      <c r="Q70" s="378"/>
      <c r="R70" s="378"/>
      <c r="S70" s="378"/>
      <c r="T70" s="378"/>
      <c r="U70" s="378"/>
      <c r="V70" s="378"/>
      <c r="W70" s="378"/>
      <c r="X70" s="378"/>
      <c r="Y70" s="378"/>
      <c r="Z70" s="378"/>
      <c r="AA70" s="378"/>
      <c r="AB70" s="378"/>
      <c r="AC70" s="378"/>
      <c r="AD70" s="378"/>
      <c r="AE70" s="378"/>
      <c r="AF70" s="378"/>
      <c r="AG70" s="378"/>
      <c r="AH70" s="378"/>
      <c r="AI70" s="378"/>
      <c r="AJ70" s="378"/>
      <c r="AK70" s="378"/>
      <c r="AL70" s="378"/>
      <c r="AM70" s="378"/>
      <c r="AN70" s="378"/>
      <c r="AO70" s="378"/>
      <c r="AP70" s="378"/>
      <c r="AQ70" s="378"/>
      <c r="AR70" s="378"/>
      <c r="AS70" s="378"/>
      <c r="AT70" s="378"/>
      <c r="AU70" s="378"/>
      <c r="AV70" s="378"/>
      <c r="AW70" s="378"/>
      <c r="AX70" s="378"/>
      <c r="AY70" s="378"/>
      <c r="AZ70" s="378"/>
      <c r="BA70" s="378"/>
      <c r="BB70" s="378"/>
      <c r="BC70" s="378"/>
      <c r="BD70" s="378"/>
      <c r="BE70" s="378"/>
      <c r="BF70" s="378"/>
      <c r="BG70" s="378"/>
      <c r="BH70" s="378"/>
      <c r="BI70" s="378"/>
      <c r="BJ70" s="378"/>
      <c r="BK70" s="378"/>
      <c r="BL70" s="378"/>
      <c r="BM70" s="378"/>
      <c r="BN70" s="378"/>
      <c r="BO70" s="378"/>
      <c r="BP70" s="378"/>
      <c r="BQ70" s="378"/>
      <c r="BR70" s="378"/>
      <c r="BS70" s="378"/>
      <c r="BT70" s="378"/>
      <c r="BU70" s="378"/>
      <c r="BV70" s="378"/>
      <c r="BW70" s="378"/>
      <c r="BX70" s="378"/>
      <c r="BY70" s="378"/>
      <c r="BZ70" s="378"/>
      <c r="CA70" s="378"/>
      <c r="CB70" s="378"/>
      <c r="CC70" s="378"/>
      <c r="CD70" s="378"/>
      <c r="CE70" s="378"/>
      <c r="CF70" s="378"/>
      <c r="CG70" s="378"/>
      <c r="CH70" s="378"/>
      <c r="CI70" s="378"/>
      <c r="CJ70" s="378"/>
      <c r="CK70" s="378"/>
      <c r="CL70" s="378"/>
      <c r="CM70" s="378"/>
      <c r="CN70" s="378"/>
      <c r="CO70" s="378"/>
      <c r="CP70" s="378"/>
      <c r="CQ70" s="378"/>
      <c r="CR70" s="378"/>
      <c r="CS70" s="378"/>
      <c r="CT70" s="378"/>
    </row>
    <row r="71" spans="1:98" x14ac:dyDescent="0.25">
      <c r="A71" s="378"/>
      <c r="B71" s="378"/>
      <c r="C71" s="378"/>
      <c r="D71" s="378"/>
      <c r="E71" s="378"/>
      <c r="F71" s="378"/>
      <c r="G71" s="378"/>
      <c r="H71" s="378"/>
      <c r="I71" s="378"/>
      <c r="J71" s="378"/>
      <c r="K71" s="378"/>
      <c r="L71" s="378"/>
      <c r="M71" s="378"/>
      <c r="N71" s="378"/>
      <c r="O71" s="378"/>
      <c r="P71" s="378"/>
      <c r="Q71" s="378"/>
      <c r="R71" s="378"/>
      <c r="S71" s="378"/>
      <c r="T71" s="378"/>
      <c r="U71" s="378"/>
      <c r="V71" s="378"/>
      <c r="W71" s="378"/>
      <c r="X71" s="378"/>
      <c r="Y71" s="378"/>
      <c r="Z71" s="378"/>
      <c r="AA71" s="378"/>
      <c r="AB71" s="378"/>
      <c r="AC71" s="378"/>
      <c r="AD71" s="378"/>
      <c r="AE71" s="378"/>
      <c r="AF71" s="378"/>
      <c r="AG71" s="378"/>
      <c r="AH71" s="378"/>
      <c r="AI71" s="378"/>
      <c r="AJ71" s="378"/>
      <c r="AK71" s="378"/>
      <c r="AL71" s="378"/>
      <c r="AM71" s="378"/>
      <c r="AN71" s="378"/>
      <c r="AO71" s="378"/>
      <c r="AP71" s="378"/>
      <c r="AQ71" s="378"/>
      <c r="AR71" s="378"/>
      <c r="AS71" s="378"/>
      <c r="AT71" s="378"/>
      <c r="AU71" s="378"/>
      <c r="AV71" s="378"/>
      <c r="AW71" s="378"/>
      <c r="AX71" s="378"/>
      <c r="AY71" s="378"/>
      <c r="AZ71" s="378"/>
      <c r="BA71" s="378"/>
      <c r="BB71" s="378"/>
      <c r="BC71" s="378"/>
      <c r="BD71" s="378"/>
      <c r="BE71" s="378"/>
      <c r="BF71" s="378"/>
      <c r="BG71" s="378"/>
      <c r="BH71" s="378"/>
      <c r="BI71" s="378"/>
      <c r="BJ71" s="378"/>
      <c r="BK71" s="378"/>
      <c r="BL71" s="378"/>
      <c r="BM71" s="378"/>
      <c r="BN71" s="378"/>
      <c r="BO71" s="378"/>
      <c r="BP71" s="378"/>
      <c r="BQ71" s="378"/>
      <c r="BR71" s="378"/>
      <c r="BS71" s="378"/>
      <c r="BT71" s="378"/>
      <c r="BU71" s="378"/>
      <c r="BV71" s="378"/>
      <c r="BW71" s="378"/>
      <c r="BX71" s="378"/>
      <c r="BY71" s="378"/>
      <c r="BZ71" s="378"/>
      <c r="CA71" s="378"/>
      <c r="CB71" s="378"/>
      <c r="CC71" s="378"/>
      <c r="CD71" s="378"/>
      <c r="CE71" s="378"/>
      <c r="CF71" s="378"/>
      <c r="CG71" s="378"/>
      <c r="CH71" s="378"/>
      <c r="CI71" s="378"/>
      <c r="CJ71" s="378"/>
      <c r="CK71" s="378"/>
      <c r="CL71" s="378"/>
      <c r="CM71" s="378"/>
      <c r="CN71" s="378"/>
      <c r="CO71" s="378"/>
      <c r="CP71" s="378"/>
      <c r="CQ71" s="378"/>
      <c r="CR71" s="378"/>
      <c r="CS71" s="378"/>
      <c r="CT71" s="378"/>
    </row>
    <row r="72" spans="1:98" x14ac:dyDescent="0.25">
      <c r="A72" s="378"/>
      <c r="B72" s="378"/>
      <c r="C72" s="378"/>
      <c r="D72" s="378"/>
      <c r="E72" s="378"/>
      <c r="F72" s="378"/>
      <c r="G72" s="378"/>
      <c r="H72" s="378"/>
      <c r="I72" s="378"/>
      <c r="J72" s="378"/>
      <c r="K72" s="378"/>
      <c r="L72" s="378"/>
      <c r="M72" s="378"/>
      <c r="N72" s="378"/>
      <c r="O72" s="378"/>
      <c r="P72" s="378"/>
      <c r="Q72" s="378"/>
      <c r="R72" s="378"/>
      <c r="S72" s="378"/>
      <c r="T72" s="378"/>
      <c r="U72" s="378"/>
      <c r="V72" s="378"/>
      <c r="W72" s="378"/>
      <c r="X72" s="378"/>
      <c r="Y72" s="378"/>
      <c r="Z72" s="378"/>
      <c r="AA72" s="378"/>
      <c r="AB72" s="378"/>
      <c r="AC72" s="378"/>
      <c r="AD72" s="378"/>
      <c r="AE72" s="378"/>
      <c r="AF72" s="378"/>
      <c r="AG72" s="378"/>
      <c r="AH72" s="378"/>
      <c r="AI72" s="378"/>
      <c r="AJ72" s="378"/>
      <c r="AK72" s="378"/>
      <c r="AL72" s="378"/>
      <c r="AM72" s="378"/>
      <c r="AN72" s="378"/>
      <c r="AO72" s="378"/>
      <c r="AP72" s="378"/>
      <c r="AQ72" s="378"/>
      <c r="AR72" s="378"/>
      <c r="AS72" s="378"/>
      <c r="AT72" s="378"/>
      <c r="AU72" s="378"/>
      <c r="AV72" s="378"/>
      <c r="AW72" s="378"/>
      <c r="AX72" s="378"/>
      <c r="AY72" s="378"/>
      <c r="AZ72" s="378"/>
      <c r="BA72" s="378"/>
      <c r="BB72" s="378"/>
      <c r="BC72" s="378"/>
      <c r="BD72" s="378"/>
      <c r="BE72" s="378"/>
      <c r="BF72" s="378"/>
      <c r="BG72" s="378"/>
      <c r="BH72" s="378"/>
      <c r="BI72" s="378"/>
      <c r="BJ72" s="378"/>
      <c r="BK72" s="378"/>
      <c r="BL72" s="378"/>
      <c r="BM72" s="378"/>
      <c r="BN72" s="378"/>
      <c r="BO72" s="378"/>
      <c r="BP72" s="378"/>
      <c r="BQ72" s="378"/>
      <c r="BR72" s="378"/>
      <c r="BS72" s="378"/>
      <c r="BT72" s="378"/>
      <c r="BU72" s="378"/>
      <c r="BV72" s="378"/>
      <c r="BW72" s="378"/>
      <c r="BX72" s="378"/>
      <c r="BY72" s="378"/>
      <c r="BZ72" s="378"/>
      <c r="CA72" s="378"/>
      <c r="CB72" s="378"/>
      <c r="CC72" s="378"/>
      <c r="CD72" s="378"/>
      <c r="CE72" s="378"/>
      <c r="CF72" s="378"/>
      <c r="CG72" s="378"/>
      <c r="CH72" s="378"/>
      <c r="CI72" s="378"/>
      <c r="CJ72" s="378"/>
      <c r="CK72" s="378"/>
      <c r="CL72" s="378"/>
      <c r="CM72" s="378"/>
      <c r="CN72" s="378"/>
      <c r="CO72" s="378"/>
      <c r="CP72" s="378"/>
      <c r="CQ72" s="378"/>
      <c r="CR72" s="378"/>
      <c r="CS72" s="378"/>
      <c r="CT72" s="378"/>
    </row>
    <row r="73" spans="1:98" x14ac:dyDescent="0.25">
      <c r="A73" s="378"/>
      <c r="B73" s="378"/>
      <c r="C73" s="378"/>
      <c r="D73" s="378"/>
      <c r="E73" s="378"/>
      <c r="F73" s="378"/>
      <c r="G73" s="378"/>
      <c r="H73" s="378"/>
      <c r="I73" s="378"/>
      <c r="J73" s="378"/>
      <c r="K73" s="378"/>
      <c r="L73" s="378"/>
      <c r="M73" s="378"/>
      <c r="N73" s="378"/>
      <c r="O73" s="378"/>
      <c r="P73" s="378"/>
      <c r="Q73" s="378"/>
      <c r="R73" s="378"/>
      <c r="S73" s="378"/>
      <c r="T73" s="378"/>
      <c r="U73" s="378"/>
      <c r="V73" s="378"/>
      <c r="W73" s="378"/>
      <c r="X73" s="378"/>
      <c r="Y73" s="378"/>
      <c r="Z73" s="378"/>
      <c r="AA73" s="378"/>
      <c r="AB73" s="378"/>
      <c r="AC73" s="378"/>
      <c r="AD73" s="378"/>
      <c r="AE73" s="378"/>
      <c r="AF73" s="378"/>
      <c r="AG73" s="378"/>
      <c r="AH73" s="378"/>
      <c r="AI73" s="378"/>
      <c r="AJ73" s="378"/>
      <c r="AK73" s="378"/>
      <c r="AL73" s="378"/>
      <c r="AM73" s="378"/>
      <c r="AN73" s="378"/>
      <c r="AO73" s="378"/>
      <c r="AP73" s="378"/>
      <c r="AQ73" s="378"/>
      <c r="AR73" s="378"/>
      <c r="AS73" s="378"/>
      <c r="AT73" s="378"/>
      <c r="AU73" s="378"/>
      <c r="AV73" s="378"/>
      <c r="AW73" s="378"/>
      <c r="AX73" s="378"/>
      <c r="AY73" s="378"/>
      <c r="AZ73" s="378"/>
      <c r="BA73" s="378"/>
      <c r="BB73" s="378"/>
      <c r="BC73" s="378"/>
      <c r="BD73" s="378"/>
      <c r="BE73" s="378"/>
      <c r="BF73" s="378"/>
      <c r="BG73" s="378"/>
      <c r="BH73" s="378"/>
      <c r="BI73" s="378"/>
      <c r="BJ73" s="378"/>
      <c r="BK73" s="378"/>
      <c r="BL73" s="378"/>
      <c r="BM73" s="378"/>
      <c r="BN73" s="378"/>
      <c r="BO73" s="378"/>
      <c r="BP73" s="378"/>
      <c r="BQ73" s="378"/>
      <c r="BR73" s="378"/>
      <c r="BS73" s="378"/>
      <c r="BT73" s="378"/>
      <c r="BU73" s="378"/>
      <c r="BV73" s="378"/>
      <c r="BW73" s="378"/>
      <c r="BX73" s="378"/>
      <c r="BY73" s="378"/>
      <c r="BZ73" s="378"/>
      <c r="CA73" s="378"/>
      <c r="CB73" s="378"/>
      <c r="CC73" s="378"/>
      <c r="CD73" s="378"/>
      <c r="CE73" s="378"/>
      <c r="CF73" s="378"/>
      <c r="CG73" s="378"/>
      <c r="CH73" s="378"/>
      <c r="CI73" s="378"/>
      <c r="CJ73" s="378"/>
      <c r="CK73" s="378"/>
      <c r="CL73" s="378"/>
      <c r="CM73" s="378"/>
      <c r="CN73" s="378"/>
      <c r="CO73" s="378"/>
      <c r="CP73" s="378"/>
      <c r="CQ73" s="378"/>
      <c r="CR73" s="378"/>
      <c r="CS73" s="378"/>
      <c r="CT73" s="378"/>
    </row>
    <row r="74" spans="1:98" x14ac:dyDescent="0.25">
      <c r="A74" s="378"/>
      <c r="B74" s="378"/>
      <c r="C74" s="378"/>
      <c r="D74" s="378"/>
      <c r="E74" s="378"/>
      <c r="F74" s="378"/>
      <c r="G74" s="378"/>
      <c r="H74" s="378"/>
      <c r="I74" s="378"/>
      <c r="J74" s="378"/>
      <c r="K74" s="378"/>
      <c r="L74" s="378"/>
      <c r="M74" s="378"/>
      <c r="N74" s="378"/>
      <c r="O74" s="378"/>
      <c r="P74" s="378"/>
      <c r="Q74" s="378"/>
      <c r="R74" s="378"/>
      <c r="S74" s="378"/>
      <c r="T74" s="378"/>
      <c r="U74" s="378"/>
      <c r="V74" s="378"/>
      <c r="W74" s="378"/>
      <c r="X74" s="378"/>
      <c r="Y74" s="378"/>
      <c r="Z74" s="378"/>
      <c r="AA74" s="378"/>
      <c r="AB74" s="378"/>
      <c r="AC74" s="378"/>
      <c r="AD74" s="378"/>
      <c r="AE74" s="378"/>
      <c r="AF74" s="378"/>
      <c r="AG74" s="378"/>
      <c r="AH74" s="378"/>
      <c r="AI74" s="378"/>
      <c r="AJ74" s="378"/>
      <c r="AK74" s="378"/>
      <c r="AL74" s="378"/>
      <c r="AM74" s="378"/>
      <c r="AN74" s="378"/>
      <c r="AO74" s="378"/>
      <c r="AP74" s="378"/>
      <c r="AQ74" s="378"/>
      <c r="AR74" s="378"/>
      <c r="AS74" s="378"/>
      <c r="AT74" s="378"/>
      <c r="AU74" s="378"/>
      <c r="AV74" s="378"/>
      <c r="AW74" s="378"/>
      <c r="AX74" s="378"/>
      <c r="AY74" s="378"/>
      <c r="AZ74" s="378"/>
      <c r="BA74" s="378"/>
      <c r="BB74" s="378"/>
      <c r="BC74" s="378"/>
      <c r="BD74" s="378"/>
      <c r="BE74" s="378"/>
      <c r="BF74" s="378"/>
      <c r="BG74" s="378"/>
      <c r="BH74" s="378"/>
      <c r="BI74" s="378"/>
      <c r="BJ74" s="378"/>
      <c r="BK74" s="378"/>
      <c r="BL74" s="378"/>
      <c r="BM74" s="378"/>
      <c r="BN74" s="378"/>
      <c r="BO74" s="378"/>
      <c r="BP74" s="378"/>
      <c r="BQ74" s="378"/>
      <c r="BR74" s="378"/>
      <c r="BS74" s="378"/>
      <c r="BT74" s="378"/>
      <c r="BU74" s="378"/>
      <c r="BV74" s="378"/>
      <c r="BW74" s="378"/>
      <c r="BX74" s="378"/>
      <c r="BY74" s="378"/>
      <c r="BZ74" s="378"/>
      <c r="CA74" s="378"/>
      <c r="CB74" s="378"/>
      <c r="CC74" s="378"/>
      <c r="CD74" s="378"/>
      <c r="CE74" s="378"/>
      <c r="CF74" s="378"/>
      <c r="CG74" s="378"/>
      <c r="CH74" s="378"/>
      <c r="CI74" s="378"/>
      <c r="CJ74" s="378"/>
      <c r="CK74" s="378"/>
      <c r="CL74" s="378"/>
      <c r="CM74" s="378"/>
      <c r="CN74" s="378"/>
      <c r="CO74" s="378"/>
      <c r="CP74" s="378"/>
      <c r="CQ74" s="378"/>
      <c r="CR74" s="378"/>
      <c r="CS74" s="378"/>
      <c r="CT74" s="378"/>
    </row>
    <row r="75" spans="1:98" x14ac:dyDescent="0.25">
      <c r="A75" s="378"/>
      <c r="B75" s="378"/>
      <c r="C75" s="378"/>
      <c r="D75" s="378"/>
      <c r="E75" s="378"/>
      <c r="F75" s="378"/>
      <c r="G75" s="378"/>
      <c r="H75" s="378"/>
      <c r="I75" s="378"/>
      <c r="J75" s="378"/>
      <c r="K75" s="378"/>
      <c r="L75" s="378"/>
      <c r="M75" s="378"/>
      <c r="N75" s="378"/>
      <c r="O75" s="378"/>
      <c r="P75" s="378"/>
      <c r="Q75" s="378"/>
      <c r="R75" s="378"/>
      <c r="S75" s="378"/>
      <c r="T75" s="378"/>
      <c r="U75" s="378"/>
      <c r="V75" s="378"/>
      <c r="W75" s="378"/>
      <c r="X75" s="378"/>
      <c r="Y75" s="378"/>
      <c r="Z75" s="378"/>
      <c r="AA75" s="378"/>
      <c r="AB75" s="378"/>
      <c r="AC75" s="378"/>
      <c r="AD75" s="378"/>
      <c r="AE75" s="378"/>
      <c r="AF75" s="378"/>
      <c r="AG75" s="378"/>
      <c r="AH75" s="378"/>
      <c r="AI75" s="378"/>
      <c r="AJ75" s="378"/>
      <c r="AK75" s="378"/>
      <c r="AL75" s="378"/>
      <c r="AM75" s="378"/>
      <c r="AN75" s="378"/>
      <c r="AO75" s="378"/>
      <c r="AP75" s="378"/>
      <c r="AQ75" s="378"/>
      <c r="AR75" s="378"/>
      <c r="AS75" s="378"/>
      <c r="AT75" s="378"/>
      <c r="AU75" s="378"/>
      <c r="AV75" s="378"/>
      <c r="AW75" s="378"/>
      <c r="AX75" s="378"/>
      <c r="AY75" s="378"/>
      <c r="AZ75" s="378"/>
      <c r="BA75" s="378"/>
      <c r="BB75" s="378"/>
      <c r="BC75" s="378"/>
      <c r="BD75" s="378"/>
      <c r="BE75" s="378"/>
      <c r="BF75" s="378"/>
      <c r="BG75" s="378"/>
      <c r="BH75" s="378"/>
      <c r="BI75" s="378"/>
      <c r="BJ75" s="378"/>
      <c r="BK75" s="378"/>
      <c r="BL75" s="378"/>
      <c r="BM75" s="378"/>
      <c r="BN75" s="378"/>
      <c r="BO75" s="378"/>
      <c r="BP75" s="378"/>
      <c r="BQ75" s="378"/>
      <c r="BR75" s="378"/>
      <c r="BS75" s="378"/>
      <c r="BT75" s="378"/>
      <c r="BU75" s="378"/>
      <c r="BV75" s="378"/>
      <c r="BW75" s="378"/>
      <c r="BX75" s="378"/>
      <c r="BY75" s="378"/>
      <c r="BZ75" s="378"/>
      <c r="CA75" s="378"/>
      <c r="CB75" s="378"/>
      <c r="CC75" s="378"/>
      <c r="CD75" s="378"/>
      <c r="CE75" s="378"/>
      <c r="CF75" s="378"/>
      <c r="CG75" s="378"/>
      <c r="CH75" s="378"/>
      <c r="CI75" s="378"/>
      <c r="CJ75" s="378"/>
      <c r="CK75" s="378"/>
      <c r="CL75" s="378"/>
      <c r="CM75" s="378"/>
      <c r="CN75" s="378"/>
      <c r="CO75" s="378"/>
      <c r="CP75" s="378"/>
      <c r="CQ75" s="378"/>
      <c r="CR75" s="378"/>
      <c r="CS75" s="378"/>
      <c r="CT75" s="378"/>
    </row>
    <row r="76" spans="1:98" x14ac:dyDescent="0.25">
      <c r="A76" s="378"/>
      <c r="B76" s="378"/>
      <c r="C76" s="378"/>
      <c r="D76" s="378"/>
      <c r="E76" s="378"/>
      <c r="F76" s="378"/>
      <c r="G76" s="378"/>
      <c r="H76" s="378"/>
      <c r="I76" s="378"/>
      <c r="J76" s="378"/>
      <c r="K76" s="378"/>
      <c r="L76" s="378"/>
      <c r="M76" s="378"/>
      <c r="N76" s="378"/>
      <c r="O76" s="378"/>
      <c r="P76" s="378"/>
      <c r="Q76" s="378"/>
      <c r="R76" s="378"/>
      <c r="S76" s="378"/>
      <c r="T76" s="378"/>
      <c r="U76" s="378"/>
      <c r="V76" s="378"/>
      <c r="W76" s="378"/>
      <c r="X76" s="378"/>
      <c r="Y76" s="378"/>
      <c r="Z76" s="378"/>
      <c r="AA76" s="378"/>
      <c r="AB76" s="378"/>
      <c r="AC76" s="378"/>
      <c r="AD76" s="378"/>
      <c r="AE76" s="378"/>
      <c r="AF76" s="378"/>
      <c r="AG76" s="378"/>
      <c r="AH76" s="378"/>
      <c r="AI76" s="378"/>
      <c r="AJ76" s="378"/>
      <c r="AK76" s="378"/>
      <c r="AL76" s="378"/>
      <c r="AM76" s="378"/>
      <c r="AN76" s="378"/>
      <c r="AO76" s="378"/>
      <c r="AP76" s="378"/>
      <c r="AQ76" s="378"/>
      <c r="AR76" s="378"/>
      <c r="AS76" s="378"/>
      <c r="AT76" s="378"/>
      <c r="AU76" s="378"/>
      <c r="AV76" s="378"/>
      <c r="AW76" s="378"/>
      <c r="AX76" s="378"/>
      <c r="AY76" s="378"/>
      <c r="AZ76" s="378"/>
      <c r="BA76" s="378"/>
      <c r="BB76" s="378"/>
      <c r="BC76" s="378"/>
      <c r="BD76" s="378"/>
      <c r="BE76" s="378"/>
      <c r="BF76" s="378"/>
      <c r="BG76" s="378"/>
      <c r="BH76" s="378"/>
      <c r="BI76" s="378"/>
      <c r="BJ76" s="378"/>
      <c r="BK76" s="378"/>
      <c r="BL76" s="378"/>
      <c r="BM76" s="378"/>
      <c r="BN76" s="378"/>
      <c r="BO76" s="378"/>
      <c r="BP76" s="378"/>
      <c r="BQ76" s="378"/>
      <c r="BR76" s="378"/>
      <c r="BS76" s="378"/>
      <c r="BT76" s="378"/>
      <c r="BU76" s="378"/>
      <c r="BV76" s="378"/>
      <c r="BW76" s="378"/>
      <c r="BX76" s="378"/>
      <c r="BY76" s="378"/>
      <c r="BZ76" s="378"/>
      <c r="CA76" s="378"/>
      <c r="CB76" s="378"/>
      <c r="CC76" s="378"/>
      <c r="CD76" s="378"/>
      <c r="CE76" s="378"/>
      <c r="CF76" s="378"/>
      <c r="CG76" s="378"/>
      <c r="CH76" s="378"/>
      <c r="CI76" s="378"/>
      <c r="CJ76" s="378"/>
      <c r="CK76" s="378"/>
      <c r="CL76" s="378"/>
      <c r="CM76" s="378"/>
      <c r="CN76" s="378"/>
      <c r="CO76" s="378"/>
      <c r="CP76" s="378"/>
      <c r="CQ76" s="378"/>
      <c r="CR76" s="378"/>
      <c r="CS76" s="378"/>
      <c r="CT76" s="378"/>
    </row>
    <row r="77" spans="1:98" x14ac:dyDescent="0.25">
      <c r="A77" s="378"/>
      <c r="B77" s="378"/>
      <c r="C77" s="378"/>
      <c r="D77" s="378"/>
      <c r="E77" s="378"/>
      <c r="F77" s="378"/>
      <c r="G77" s="378"/>
      <c r="H77" s="378"/>
      <c r="I77" s="378"/>
      <c r="J77" s="378"/>
      <c r="K77" s="378"/>
      <c r="L77" s="378"/>
      <c r="M77" s="378"/>
      <c r="N77" s="378"/>
      <c r="O77" s="378"/>
      <c r="P77" s="378"/>
      <c r="Q77" s="378"/>
      <c r="R77" s="378"/>
      <c r="S77" s="378"/>
      <c r="T77" s="378"/>
      <c r="U77" s="378"/>
      <c r="V77" s="378"/>
      <c r="W77" s="378"/>
      <c r="X77" s="378"/>
      <c r="Y77" s="378"/>
      <c r="Z77" s="378"/>
      <c r="AA77" s="378"/>
      <c r="AB77" s="378"/>
      <c r="AC77" s="378"/>
      <c r="AD77" s="378"/>
      <c r="AE77" s="378"/>
      <c r="AF77" s="378"/>
      <c r="AG77" s="378"/>
      <c r="AH77" s="378"/>
      <c r="AI77" s="378"/>
      <c r="AJ77" s="378"/>
      <c r="AK77" s="378"/>
      <c r="AL77" s="378"/>
      <c r="AM77" s="378"/>
      <c r="AN77" s="378"/>
      <c r="AO77" s="378"/>
      <c r="AP77" s="378"/>
      <c r="AQ77" s="378"/>
      <c r="AR77" s="378"/>
      <c r="AS77" s="378"/>
      <c r="AT77" s="378"/>
      <c r="AU77" s="378"/>
      <c r="AV77" s="378"/>
      <c r="AW77" s="378"/>
      <c r="AX77" s="378"/>
      <c r="AY77" s="378"/>
      <c r="AZ77" s="378"/>
      <c r="BA77" s="378"/>
      <c r="BB77" s="378"/>
      <c r="BC77" s="378"/>
      <c r="BD77" s="378"/>
      <c r="BE77" s="378"/>
      <c r="BF77" s="378"/>
      <c r="BG77" s="378"/>
      <c r="BH77" s="378"/>
      <c r="BI77" s="378"/>
      <c r="BJ77" s="378"/>
      <c r="BK77" s="378"/>
      <c r="BL77" s="378"/>
      <c r="BM77" s="378"/>
      <c r="BN77" s="378"/>
      <c r="BO77" s="378"/>
      <c r="BP77" s="378"/>
      <c r="BQ77" s="378"/>
      <c r="BR77" s="378"/>
      <c r="BS77" s="378"/>
      <c r="BT77" s="378"/>
      <c r="BU77" s="378"/>
      <c r="BV77" s="378"/>
      <c r="BW77" s="378"/>
      <c r="BX77" s="378"/>
      <c r="BY77" s="378"/>
      <c r="BZ77" s="378"/>
      <c r="CA77" s="378"/>
      <c r="CB77" s="378"/>
      <c r="CC77" s="378"/>
      <c r="CD77" s="378"/>
      <c r="CE77" s="378"/>
      <c r="CF77" s="378"/>
      <c r="CG77" s="378"/>
      <c r="CH77" s="378"/>
      <c r="CI77" s="378"/>
      <c r="CJ77" s="378"/>
      <c r="CK77" s="378"/>
      <c r="CL77" s="378"/>
      <c r="CM77" s="378"/>
      <c r="CN77" s="378"/>
      <c r="CO77" s="378"/>
      <c r="CP77" s="378"/>
      <c r="CQ77" s="378"/>
      <c r="CR77" s="378"/>
      <c r="CS77" s="378"/>
      <c r="CT77" s="378"/>
    </row>
    <row r="78" spans="1:98" x14ac:dyDescent="0.25">
      <c r="A78" s="378"/>
      <c r="B78" s="378"/>
      <c r="C78" s="378"/>
      <c r="D78" s="378"/>
      <c r="E78" s="378"/>
      <c r="F78" s="378"/>
      <c r="G78" s="378"/>
      <c r="H78" s="378"/>
      <c r="I78" s="378"/>
      <c r="J78" s="378"/>
      <c r="K78" s="378"/>
      <c r="L78" s="378"/>
      <c r="M78" s="378"/>
      <c r="N78" s="378"/>
      <c r="O78" s="378"/>
      <c r="P78" s="378"/>
      <c r="Q78" s="378"/>
      <c r="R78" s="378"/>
      <c r="S78" s="378"/>
      <c r="T78" s="378"/>
      <c r="U78" s="378"/>
      <c r="V78" s="378"/>
      <c r="W78" s="378"/>
      <c r="X78" s="378"/>
      <c r="Y78" s="378"/>
      <c r="Z78" s="378"/>
      <c r="AA78" s="378"/>
      <c r="AB78" s="378"/>
      <c r="AC78" s="378"/>
      <c r="AD78" s="378"/>
      <c r="AE78" s="378"/>
      <c r="AF78" s="378"/>
      <c r="AG78" s="378"/>
      <c r="AH78" s="378"/>
      <c r="AI78" s="378"/>
      <c r="AJ78" s="378"/>
      <c r="AK78" s="378"/>
      <c r="AL78" s="378"/>
      <c r="AM78" s="378"/>
      <c r="AN78" s="378"/>
      <c r="AO78" s="378"/>
      <c r="AP78" s="378"/>
      <c r="AQ78" s="378"/>
      <c r="AR78" s="378"/>
      <c r="AS78" s="378"/>
      <c r="AT78" s="378"/>
      <c r="AU78" s="378"/>
      <c r="AV78" s="378"/>
      <c r="AW78" s="378"/>
      <c r="AX78" s="378"/>
      <c r="AY78" s="378"/>
      <c r="AZ78" s="378"/>
      <c r="BA78" s="378"/>
      <c r="BB78" s="378"/>
      <c r="BC78" s="378"/>
      <c r="BD78" s="378"/>
      <c r="BE78" s="378"/>
      <c r="BF78" s="378"/>
      <c r="BG78" s="378"/>
      <c r="BH78" s="378"/>
      <c r="BI78" s="378"/>
      <c r="BJ78" s="378"/>
      <c r="BK78" s="378"/>
      <c r="BL78" s="378"/>
      <c r="BM78" s="378"/>
      <c r="BN78" s="378"/>
      <c r="BO78" s="378"/>
      <c r="BP78" s="378"/>
      <c r="BQ78" s="378"/>
      <c r="BR78" s="378"/>
      <c r="BS78" s="378"/>
      <c r="BT78" s="378"/>
      <c r="BU78" s="378"/>
      <c r="BV78" s="378"/>
      <c r="BW78" s="378"/>
      <c r="BX78" s="378"/>
      <c r="BY78" s="378"/>
      <c r="BZ78" s="378"/>
      <c r="CA78" s="378"/>
      <c r="CB78" s="378"/>
      <c r="CC78" s="378"/>
      <c r="CD78" s="378"/>
      <c r="CE78" s="378"/>
      <c r="CF78" s="378"/>
      <c r="CG78" s="378"/>
      <c r="CH78" s="378"/>
      <c r="CI78" s="378"/>
      <c r="CJ78" s="378"/>
      <c r="CK78" s="378"/>
      <c r="CL78" s="378"/>
      <c r="CM78" s="378"/>
      <c r="CN78" s="378"/>
      <c r="CO78" s="378"/>
      <c r="CP78" s="378"/>
      <c r="CQ78" s="378"/>
      <c r="CR78" s="378"/>
      <c r="CS78" s="378"/>
      <c r="CT78" s="378"/>
    </row>
    <row r="79" spans="1:98" x14ac:dyDescent="0.25">
      <c r="A79" s="378"/>
      <c r="B79" s="378"/>
      <c r="C79" s="378"/>
      <c r="D79" s="378"/>
      <c r="E79" s="378"/>
      <c r="F79" s="378"/>
      <c r="G79" s="378"/>
      <c r="H79" s="378"/>
      <c r="I79" s="378"/>
      <c r="J79" s="378"/>
      <c r="K79" s="378"/>
      <c r="L79" s="378"/>
      <c r="M79" s="378"/>
      <c r="N79" s="378"/>
      <c r="O79" s="378"/>
      <c r="P79" s="378"/>
      <c r="Q79" s="378"/>
      <c r="R79" s="378"/>
      <c r="S79" s="378"/>
      <c r="T79" s="378"/>
      <c r="U79" s="378"/>
      <c r="V79" s="378"/>
      <c r="W79" s="378"/>
      <c r="X79" s="378"/>
      <c r="Y79" s="378"/>
      <c r="Z79" s="378"/>
      <c r="AA79" s="378"/>
      <c r="AB79" s="378"/>
      <c r="AC79" s="378"/>
      <c r="AD79" s="378"/>
      <c r="AE79" s="378"/>
      <c r="AF79" s="378"/>
      <c r="AG79" s="378"/>
      <c r="AH79" s="378"/>
      <c r="AI79" s="378"/>
      <c r="AJ79" s="378"/>
      <c r="AK79" s="378"/>
      <c r="AL79" s="378"/>
      <c r="AM79" s="378"/>
      <c r="AN79" s="378"/>
      <c r="AO79" s="378"/>
      <c r="AP79" s="378"/>
      <c r="AQ79" s="378"/>
      <c r="AR79" s="378"/>
      <c r="AS79" s="378"/>
      <c r="AT79" s="378"/>
      <c r="AU79" s="378"/>
      <c r="AV79" s="378"/>
      <c r="AW79" s="378"/>
      <c r="AX79" s="378"/>
      <c r="AY79" s="378"/>
      <c r="AZ79" s="378"/>
      <c r="BA79" s="378"/>
      <c r="BB79" s="378"/>
      <c r="BC79" s="378"/>
      <c r="BD79" s="378"/>
      <c r="BE79" s="378"/>
      <c r="BF79" s="378"/>
      <c r="BG79" s="378"/>
      <c r="BH79" s="378"/>
      <c r="BI79" s="378"/>
      <c r="BJ79" s="378"/>
      <c r="BK79" s="378"/>
      <c r="BL79" s="378"/>
      <c r="BM79" s="378"/>
      <c r="BN79" s="378"/>
      <c r="BO79" s="378"/>
      <c r="BP79" s="378"/>
      <c r="BQ79" s="378"/>
      <c r="BR79" s="378"/>
      <c r="BS79" s="378"/>
      <c r="BT79" s="378"/>
      <c r="BU79" s="378"/>
      <c r="BV79" s="378"/>
      <c r="BW79" s="378"/>
      <c r="BX79" s="378"/>
      <c r="BY79" s="378"/>
      <c r="BZ79" s="378"/>
      <c r="CA79" s="378"/>
      <c r="CB79" s="378"/>
      <c r="CC79" s="378"/>
      <c r="CD79" s="378"/>
      <c r="CE79" s="378"/>
      <c r="CF79" s="378"/>
      <c r="CG79" s="378"/>
      <c r="CH79" s="378"/>
      <c r="CI79" s="378"/>
      <c r="CJ79" s="378"/>
      <c r="CK79" s="378"/>
      <c r="CL79" s="378"/>
      <c r="CM79" s="378"/>
      <c r="CN79" s="378"/>
      <c r="CO79" s="378"/>
      <c r="CP79" s="378"/>
      <c r="CQ79" s="378"/>
      <c r="CR79" s="378"/>
      <c r="CS79" s="378"/>
      <c r="CT79" s="378"/>
    </row>
    <row r="80" spans="1:98" x14ac:dyDescent="0.25">
      <c r="A80" s="378"/>
      <c r="B80" s="378"/>
      <c r="C80" s="378"/>
      <c r="D80" s="378"/>
      <c r="E80" s="378"/>
      <c r="F80" s="378"/>
      <c r="G80" s="378"/>
      <c r="H80" s="378"/>
      <c r="I80" s="378"/>
      <c r="J80" s="378"/>
      <c r="K80" s="378"/>
      <c r="L80" s="378"/>
      <c r="M80" s="378"/>
      <c r="N80" s="378"/>
      <c r="O80" s="378"/>
      <c r="P80" s="378"/>
      <c r="Q80" s="378"/>
      <c r="R80" s="378"/>
      <c r="S80" s="378"/>
      <c r="T80" s="378"/>
      <c r="U80" s="378"/>
      <c r="V80" s="378"/>
      <c r="W80" s="378"/>
      <c r="X80" s="378"/>
      <c r="Y80" s="378"/>
      <c r="Z80" s="378"/>
      <c r="AA80" s="378"/>
      <c r="AB80" s="378"/>
      <c r="AC80" s="378"/>
      <c r="AD80" s="378"/>
      <c r="AE80" s="378"/>
      <c r="AF80" s="378"/>
      <c r="AG80" s="378"/>
      <c r="AH80" s="378"/>
      <c r="AI80" s="378"/>
      <c r="AJ80" s="378"/>
      <c r="AK80" s="378"/>
      <c r="AL80" s="378"/>
      <c r="AM80" s="378"/>
      <c r="AN80" s="378"/>
      <c r="AO80" s="378"/>
      <c r="AP80" s="378"/>
      <c r="AQ80" s="378"/>
      <c r="AR80" s="378"/>
      <c r="AS80" s="378"/>
      <c r="AT80" s="378"/>
      <c r="AU80" s="378"/>
      <c r="AV80" s="378"/>
      <c r="AW80" s="378"/>
      <c r="AX80" s="378"/>
      <c r="AY80" s="378"/>
      <c r="AZ80" s="378"/>
      <c r="BA80" s="378"/>
      <c r="BB80" s="378"/>
      <c r="BC80" s="378"/>
      <c r="BD80" s="378"/>
      <c r="BE80" s="378"/>
      <c r="BF80" s="378"/>
      <c r="BG80" s="378"/>
      <c r="BH80" s="378"/>
      <c r="BI80" s="378"/>
      <c r="BJ80" s="378"/>
      <c r="BK80" s="378"/>
      <c r="BL80" s="378"/>
      <c r="BM80" s="378"/>
      <c r="BN80" s="378"/>
      <c r="BO80" s="378"/>
      <c r="BP80" s="378"/>
      <c r="BQ80" s="378"/>
      <c r="BR80" s="378"/>
      <c r="BS80" s="378"/>
      <c r="BT80" s="378"/>
      <c r="BU80" s="378"/>
      <c r="BV80" s="378"/>
      <c r="BW80" s="378"/>
      <c r="BX80" s="378"/>
      <c r="BY80" s="378"/>
      <c r="BZ80" s="378"/>
      <c r="CA80" s="378"/>
      <c r="CB80" s="378"/>
      <c r="CC80" s="378"/>
      <c r="CD80" s="378"/>
      <c r="CE80" s="378"/>
      <c r="CF80" s="378"/>
      <c r="CG80" s="378"/>
      <c r="CH80" s="378"/>
      <c r="CI80" s="378"/>
      <c r="CJ80" s="378"/>
      <c r="CK80" s="378"/>
      <c r="CL80" s="378"/>
      <c r="CM80" s="378"/>
      <c r="CN80" s="378"/>
      <c r="CO80" s="378"/>
      <c r="CP80" s="378"/>
      <c r="CQ80" s="378"/>
      <c r="CR80" s="378"/>
      <c r="CS80" s="378"/>
      <c r="CT80" s="378"/>
    </row>
    <row r="81" spans="1:98" x14ac:dyDescent="0.25">
      <c r="A81" s="378"/>
      <c r="B81" s="378"/>
      <c r="C81" s="378"/>
      <c r="D81" s="378"/>
      <c r="E81" s="378"/>
      <c r="F81" s="378"/>
      <c r="G81" s="378"/>
      <c r="H81" s="378"/>
      <c r="I81" s="378"/>
      <c r="J81" s="378"/>
      <c r="K81" s="378"/>
      <c r="L81" s="378"/>
      <c r="M81" s="378"/>
      <c r="N81" s="378"/>
      <c r="O81" s="378"/>
      <c r="P81" s="378"/>
      <c r="Q81" s="378"/>
      <c r="R81" s="378"/>
      <c r="S81" s="378"/>
      <c r="T81" s="378"/>
      <c r="U81" s="378"/>
      <c r="V81" s="378"/>
      <c r="W81" s="378"/>
      <c r="X81" s="378"/>
      <c r="Y81" s="378"/>
      <c r="Z81" s="378"/>
      <c r="AA81" s="378"/>
      <c r="AB81" s="378"/>
      <c r="AC81" s="378"/>
      <c r="AD81" s="378"/>
      <c r="AE81" s="378"/>
      <c r="AF81" s="378"/>
      <c r="AG81" s="378"/>
      <c r="AH81" s="378"/>
      <c r="AI81" s="378"/>
      <c r="AJ81" s="378"/>
      <c r="AK81" s="378"/>
      <c r="AL81" s="378"/>
      <c r="AM81" s="378"/>
      <c r="AN81" s="378"/>
      <c r="AO81" s="378"/>
      <c r="AP81" s="378"/>
      <c r="AQ81" s="378"/>
      <c r="AR81" s="378"/>
      <c r="AS81" s="378"/>
      <c r="AT81" s="378"/>
      <c r="AU81" s="378"/>
      <c r="AV81" s="378"/>
      <c r="AW81" s="378"/>
      <c r="AX81" s="378"/>
      <c r="AY81" s="378"/>
      <c r="AZ81" s="378"/>
      <c r="BA81" s="378"/>
      <c r="BB81" s="378"/>
      <c r="BC81" s="378"/>
      <c r="BD81" s="378"/>
      <c r="BE81" s="378"/>
      <c r="BF81" s="378"/>
      <c r="BG81" s="378"/>
      <c r="BH81" s="378"/>
      <c r="BI81" s="378"/>
      <c r="BJ81" s="378"/>
      <c r="BK81" s="378"/>
      <c r="BL81" s="378"/>
      <c r="BM81" s="378"/>
      <c r="BN81" s="378"/>
      <c r="BO81" s="378"/>
      <c r="BP81" s="378"/>
      <c r="BQ81" s="378"/>
      <c r="BR81" s="378"/>
      <c r="BS81" s="378"/>
      <c r="BT81" s="378"/>
      <c r="BU81" s="378"/>
      <c r="BV81" s="378"/>
      <c r="BW81" s="378"/>
      <c r="BX81" s="378"/>
      <c r="BY81" s="378"/>
      <c r="BZ81" s="378"/>
      <c r="CA81" s="378"/>
      <c r="CB81" s="378"/>
      <c r="CC81" s="378"/>
      <c r="CD81" s="378"/>
      <c r="CE81" s="378"/>
      <c r="CF81" s="378"/>
      <c r="CG81" s="378"/>
      <c r="CH81" s="378"/>
      <c r="CI81" s="378"/>
      <c r="CJ81" s="378"/>
      <c r="CK81" s="378"/>
      <c r="CL81" s="378"/>
      <c r="CM81" s="378"/>
      <c r="CN81" s="378"/>
      <c r="CO81" s="378"/>
      <c r="CP81" s="378"/>
      <c r="CQ81" s="378"/>
      <c r="CR81" s="378"/>
      <c r="CS81" s="378"/>
      <c r="CT81" s="378"/>
    </row>
    <row r="82" spans="1:98" x14ac:dyDescent="0.25">
      <c r="A82" s="378"/>
      <c r="B82" s="378"/>
      <c r="C82" s="378"/>
      <c r="D82" s="378"/>
      <c r="E82" s="378"/>
      <c r="F82" s="378"/>
      <c r="G82" s="378"/>
      <c r="H82" s="378"/>
      <c r="I82" s="378"/>
      <c r="J82" s="378"/>
      <c r="K82" s="378"/>
      <c r="L82" s="378"/>
      <c r="M82" s="378"/>
      <c r="N82" s="378"/>
      <c r="O82" s="378"/>
      <c r="P82" s="378"/>
      <c r="Q82" s="378"/>
      <c r="R82" s="378"/>
      <c r="S82" s="378"/>
      <c r="T82" s="378"/>
      <c r="U82" s="378"/>
      <c r="V82" s="378"/>
      <c r="W82" s="378"/>
      <c r="X82" s="378"/>
      <c r="Y82" s="378"/>
      <c r="Z82" s="378"/>
      <c r="AA82" s="378"/>
      <c r="AB82" s="378"/>
      <c r="AC82" s="378"/>
      <c r="AD82" s="378"/>
      <c r="AE82" s="378"/>
      <c r="AF82" s="378"/>
      <c r="AG82" s="378"/>
      <c r="AH82" s="378"/>
      <c r="AI82" s="378"/>
      <c r="AJ82" s="378"/>
      <c r="AK82" s="378"/>
      <c r="AL82" s="378"/>
      <c r="AM82" s="378"/>
      <c r="AN82" s="378"/>
      <c r="AO82" s="378"/>
      <c r="AP82" s="378"/>
      <c r="AQ82" s="378"/>
      <c r="AR82" s="378"/>
      <c r="AS82" s="378"/>
      <c r="AT82" s="378"/>
      <c r="AU82" s="378"/>
      <c r="AV82" s="378"/>
      <c r="AW82" s="378"/>
      <c r="AX82" s="378"/>
      <c r="AY82" s="378"/>
      <c r="AZ82" s="378"/>
      <c r="BA82" s="378"/>
      <c r="BB82" s="378"/>
      <c r="BC82" s="378"/>
      <c r="BD82" s="378"/>
      <c r="BE82" s="378"/>
      <c r="BF82" s="378"/>
      <c r="BG82" s="378"/>
      <c r="BH82" s="378"/>
      <c r="BI82" s="378"/>
      <c r="BJ82" s="378"/>
      <c r="BK82" s="378"/>
      <c r="BL82" s="378"/>
      <c r="BM82" s="378"/>
      <c r="BN82" s="378"/>
      <c r="BO82" s="378"/>
      <c r="BP82" s="378"/>
      <c r="BQ82" s="378"/>
      <c r="BR82" s="378"/>
      <c r="BS82" s="378"/>
      <c r="BT82" s="378"/>
      <c r="BU82" s="378"/>
      <c r="BV82" s="378"/>
      <c r="BW82" s="378"/>
      <c r="BX82" s="378"/>
      <c r="BY82" s="378"/>
      <c r="BZ82" s="378"/>
      <c r="CA82" s="378"/>
      <c r="CB82" s="378"/>
      <c r="CC82" s="378"/>
      <c r="CD82" s="378"/>
      <c r="CE82" s="378"/>
      <c r="CF82" s="378"/>
      <c r="CG82" s="378"/>
      <c r="CH82" s="378"/>
      <c r="CI82" s="378"/>
      <c r="CJ82" s="378"/>
      <c r="CK82" s="378"/>
      <c r="CL82" s="378"/>
      <c r="CM82" s="378"/>
      <c r="CN82" s="378"/>
      <c r="CO82" s="378"/>
      <c r="CP82" s="378"/>
      <c r="CQ82" s="378"/>
      <c r="CR82" s="378"/>
      <c r="CS82" s="378"/>
      <c r="CT82" s="378"/>
    </row>
    <row r="83" spans="1:98" x14ac:dyDescent="0.25">
      <c r="A83" s="378"/>
      <c r="B83" s="378"/>
      <c r="C83" s="378"/>
      <c r="D83" s="378"/>
      <c r="E83" s="378"/>
      <c r="F83" s="378"/>
      <c r="G83" s="378"/>
      <c r="H83" s="378"/>
      <c r="I83" s="378"/>
      <c r="J83" s="378"/>
      <c r="K83" s="378"/>
      <c r="L83" s="378"/>
      <c r="M83" s="378"/>
      <c r="N83" s="378"/>
      <c r="O83" s="378"/>
      <c r="P83" s="378"/>
      <c r="Q83" s="378"/>
      <c r="R83" s="378"/>
      <c r="S83" s="378"/>
      <c r="T83" s="378"/>
      <c r="U83" s="378"/>
      <c r="V83" s="378"/>
      <c r="W83" s="378"/>
      <c r="X83" s="378"/>
      <c r="Y83" s="378"/>
      <c r="Z83" s="378"/>
      <c r="AA83" s="378"/>
      <c r="AB83" s="378"/>
      <c r="AC83" s="378"/>
      <c r="AD83" s="378"/>
      <c r="AE83" s="378"/>
      <c r="AF83" s="378"/>
      <c r="AG83" s="378"/>
      <c r="AH83" s="378"/>
      <c r="AI83" s="378"/>
      <c r="AJ83" s="378"/>
      <c r="AK83" s="378"/>
      <c r="AL83" s="378"/>
      <c r="AM83" s="378"/>
      <c r="AN83" s="378"/>
      <c r="AO83" s="378"/>
      <c r="AP83" s="378"/>
      <c r="AQ83" s="378"/>
      <c r="AR83" s="378"/>
      <c r="AS83" s="378"/>
      <c r="AT83" s="378"/>
      <c r="AU83" s="378"/>
      <c r="AV83" s="378"/>
      <c r="AW83" s="378"/>
      <c r="AX83" s="378"/>
      <c r="AY83" s="378"/>
      <c r="AZ83" s="378"/>
      <c r="BA83" s="378"/>
      <c r="BB83" s="378"/>
      <c r="BC83" s="378"/>
      <c r="BD83" s="378"/>
      <c r="BE83" s="378"/>
      <c r="BF83" s="378"/>
      <c r="BG83" s="378"/>
      <c r="BH83" s="378"/>
      <c r="BI83" s="378"/>
      <c r="BJ83" s="378"/>
      <c r="BK83" s="378"/>
      <c r="BL83" s="378"/>
      <c r="BM83" s="378"/>
      <c r="BN83" s="378"/>
      <c r="BO83" s="378"/>
      <c r="BP83" s="378"/>
      <c r="BQ83" s="378"/>
      <c r="BR83" s="378"/>
      <c r="BS83" s="378"/>
      <c r="BT83" s="378"/>
      <c r="BU83" s="378"/>
      <c r="BV83" s="378"/>
      <c r="BW83" s="378"/>
      <c r="BX83" s="378"/>
      <c r="BY83" s="378"/>
      <c r="BZ83" s="378"/>
      <c r="CA83" s="378"/>
      <c r="CB83" s="378"/>
      <c r="CC83" s="378"/>
      <c r="CD83" s="378"/>
      <c r="CE83" s="378"/>
      <c r="CF83" s="378"/>
      <c r="CG83" s="378"/>
      <c r="CH83" s="378"/>
      <c r="CI83" s="378"/>
      <c r="CJ83" s="378"/>
      <c r="CK83" s="378"/>
      <c r="CL83" s="378"/>
      <c r="CM83" s="378"/>
      <c r="CN83" s="378"/>
      <c r="CO83" s="378"/>
      <c r="CP83" s="378"/>
      <c r="CQ83" s="378"/>
      <c r="CR83" s="378"/>
      <c r="CS83" s="378"/>
      <c r="CT83" s="378"/>
    </row>
    <row r="84" spans="1:98" x14ac:dyDescent="0.25">
      <c r="A84" s="378"/>
      <c r="B84" s="378"/>
      <c r="C84" s="378"/>
      <c r="D84" s="378"/>
      <c r="E84" s="378"/>
      <c r="F84" s="378"/>
      <c r="G84" s="378"/>
      <c r="H84" s="378"/>
      <c r="I84" s="378"/>
      <c r="J84" s="378"/>
      <c r="K84" s="378"/>
      <c r="L84" s="378"/>
      <c r="M84" s="378"/>
      <c r="N84" s="378"/>
      <c r="O84" s="378"/>
      <c r="P84" s="378"/>
      <c r="Q84" s="378"/>
      <c r="R84" s="378"/>
      <c r="S84" s="378"/>
      <c r="T84" s="378"/>
      <c r="U84" s="378"/>
      <c r="V84" s="378"/>
      <c r="W84" s="378"/>
      <c r="X84" s="378"/>
      <c r="Y84" s="378"/>
      <c r="Z84" s="378"/>
      <c r="AA84" s="378"/>
      <c r="AB84" s="378"/>
      <c r="AC84" s="378"/>
      <c r="AD84" s="378"/>
      <c r="AE84" s="378"/>
      <c r="AF84" s="378"/>
      <c r="AG84" s="378"/>
      <c r="AH84" s="378"/>
      <c r="AI84" s="378"/>
      <c r="AJ84" s="378"/>
      <c r="AK84" s="378"/>
      <c r="AL84" s="378"/>
      <c r="AM84" s="378"/>
      <c r="AN84" s="378"/>
      <c r="AO84" s="378"/>
      <c r="AP84" s="378"/>
      <c r="AQ84" s="378"/>
      <c r="AR84" s="378"/>
      <c r="AS84" s="378"/>
      <c r="AT84" s="378"/>
      <c r="AU84" s="378"/>
      <c r="AV84" s="378"/>
      <c r="AW84" s="378"/>
      <c r="AX84" s="378"/>
      <c r="AY84" s="378"/>
      <c r="AZ84" s="378"/>
      <c r="BA84" s="378"/>
      <c r="BB84" s="378"/>
      <c r="BC84" s="378"/>
      <c r="BD84" s="378"/>
      <c r="BE84" s="378"/>
      <c r="BF84" s="378"/>
      <c r="BG84" s="378"/>
      <c r="BH84" s="378"/>
      <c r="BI84" s="378"/>
      <c r="BJ84" s="378"/>
      <c r="BK84" s="378"/>
      <c r="BL84" s="378"/>
      <c r="BM84" s="378"/>
      <c r="BN84" s="378"/>
      <c r="BO84" s="378"/>
      <c r="BP84" s="378"/>
      <c r="BQ84" s="378"/>
      <c r="BR84" s="378"/>
      <c r="BS84" s="378"/>
      <c r="BT84" s="378"/>
      <c r="BU84" s="378"/>
      <c r="BV84" s="378"/>
      <c r="BW84" s="378"/>
      <c r="BX84" s="378"/>
      <c r="BY84" s="378"/>
      <c r="BZ84" s="378"/>
      <c r="CA84" s="378"/>
      <c r="CB84" s="378"/>
      <c r="CC84" s="378"/>
      <c r="CD84" s="378"/>
      <c r="CE84" s="378"/>
      <c r="CF84" s="378"/>
      <c r="CG84" s="378"/>
      <c r="CH84" s="378"/>
      <c r="CI84" s="378"/>
      <c r="CJ84" s="378"/>
      <c r="CK84" s="378"/>
      <c r="CL84" s="378"/>
      <c r="CM84" s="378"/>
      <c r="CN84" s="378"/>
      <c r="CO84" s="378"/>
      <c r="CP84" s="378"/>
      <c r="CQ84" s="378"/>
      <c r="CR84" s="378"/>
      <c r="CS84" s="378"/>
      <c r="CT84" s="378"/>
    </row>
    <row r="85" spans="1:98" x14ac:dyDescent="0.25">
      <c r="A85" s="378"/>
      <c r="B85" s="378"/>
      <c r="C85" s="378"/>
      <c r="D85" s="378"/>
      <c r="E85" s="378"/>
      <c r="F85" s="378"/>
      <c r="G85" s="378"/>
      <c r="H85" s="378"/>
      <c r="I85" s="378"/>
      <c r="J85" s="378"/>
      <c r="K85" s="378"/>
      <c r="L85" s="378"/>
      <c r="M85" s="378"/>
      <c r="N85" s="378"/>
      <c r="O85" s="378"/>
      <c r="P85" s="378"/>
      <c r="Q85" s="378"/>
      <c r="R85" s="378"/>
      <c r="S85" s="378"/>
      <c r="T85" s="378"/>
      <c r="U85" s="378"/>
      <c r="V85" s="378"/>
      <c r="W85" s="378"/>
      <c r="X85" s="378"/>
      <c r="Y85" s="378"/>
      <c r="Z85" s="378"/>
      <c r="AA85" s="378"/>
      <c r="AB85" s="378"/>
      <c r="AC85" s="378"/>
      <c r="AD85" s="378"/>
      <c r="AE85" s="378"/>
      <c r="AF85" s="378"/>
      <c r="AG85" s="378"/>
      <c r="AH85" s="378"/>
      <c r="AI85" s="378"/>
      <c r="AJ85" s="378"/>
      <c r="AK85" s="378"/>
      <c r="AL85" s="378"/>
      <c r="AM85" s="378"/>
      <c r="AN85" s="378"/>
      <c r="AO85" s="378"/>
      <c r="AP85" s="378"/>
      <c r="AQ85" s="378"/>
      <c r="AR85" s="378"/>
      <c r="AS85" s="378"/>
      <c r="AT85" s="378"/>
      <c r="AU85" s="378"/>
      <c r="AV85" s="378"/>
      <c r="AW85" s="378"/>
      <c r="AX85" s="378"/>
      <c r="AY85" s="378"/>
      <c r="AZ85" s="378"/>
      <c r="BA85" s="378"/>
      <c r="BB85" s="378"/>
      <c r="BC85" s="378"/>
      <c r="BD85" s="378"/>
      <c r="BE85" s="378"/>
      <c r="BF85" s="378"/>
      <c r="BG85" s="378"/>
      <c r="BH85" s="378"/>
      <c r="BI85" s="378"/>
      <c r="BJ85" s="378"/>
      <c r="BK85" s="378"/>
      <c r="BL85" s="378"/>
      <c r="BM85" s="378"/>
      <c r="BN85" s="378"/>
      <c r="BO85" s="378"/>
      <c r="BP85" s="378"/>
      <c r="BQ85" s="378"/>
      <c r="BR85" s="378"/>
      <c r="BS85" s="378"/>
      <c r="BT85" s="378"/>
      <c r="BU85" s="378"/>
      <c r="BV85" s="378"/>
      <c r="BW85" s="378"/>
      <c r="BX85" s="378"/>
      <c r="BY85" s="378"/>
      <c r="BZ85" s="378"/>
      <c r="CA85" s="378"/>
      <c r="CB85" s="378"/>
      <c r="CC85" s="378"/>
      <c r="CD85" s="378"/>
      <c r="CE85" s="378"/>
      <c r="CF85" s="378"/>
      <c r="CG85" s="378"/>
      <c r="CH85" s="378"/>
      <c r="CI85" s="378"/>
      <c r="CJ85" s="378"/>
      <c r="CK85" s="378"/>
      <c r="CL85" s="378"/>
      <c r="CM85" s="378"/>
      <c r="CN85" s="378"/>
      <c r="CO85" s="378"/>
      <c r="CP85" s="378"/>
      <c r="CQ85" s="378"/>
      <c r="CR85" s="378"/>
      <c r="CS85" s="378"/>
      <c r="CT85" s="378"/>
    </row>
    <row r="86" spans="1:98" x14ac:dyDescent="0.25">
      <c r="A86" s="378"/>
      <c r="B86" s="378"/>
      <c r="C86" s="378"/>
      <c r="D86" s="378"/>
      <c r="E86" s="378"/>
      <c r="F86" s="378"/>
      <c r="G86" s="378"/>
      <c r="H86" s="378"/>
      <c r="I86" s="378"/>
      <c r="J86" s="378"/>
      <c r="K86" s="378"/>
      <c r="L86" s="378"/>
      <c r="M86" s="378"/>
      <c r="N86" s="378"/>
      <c r="O86" s="378"/>
      <c r="P86" s="378"/>
      <c r="Q86" s="378"/>
      <c r="R86" s="378"/>
      <c r="S86" s="378"/>
      <c r="T86" s="378"/>
      <c r="U86" s="378"/>
      <c r="V86" s="378"/>
      <c r="W86" s="378"/>
      <c r="X86" s="378"/>
      <c r="Y86" s="378"/>
      <c r="Z86" s="378"/>
      <c r="AA86" s="378"/>
      <c r="AB86" s="378"/>
      <c r="AC86" s="378"/>
      <c r="AD86" s="378"/>
      <c r="AE86" s="378"/>
      <c r="AF86" s="378"/>
      <c r="AG86" s="378"/>
      <c r="AH86" s="378"/>
      <c r="AI86" s="378"/>
      <c r="AJ86" s="378"/>
      <c r="AK86" s="378"/>
      <c r="AL86" s="378"/>
      <c r="AM86" s="378"/>
      <c r="AN86" s="378"/>
      <c r="AO86" s="378"/>
      <c r="AP86" s="378"/>
      <c r="AQ86" s="378"/>
      <c r="AR86" s="378"/>
      <c r="AS86" s="378"/>
      <c r="AT86" s="378"/>
      <c r="AU86" s="378"/>
      <c r="AV86" s="378"/>
      <c r="AW86" s="378"/>
      <c r="AX86" s="378"/>
      <c r="AY86" s="378"/>
      <c r="AZ86" s="378"/>
      <c r="BA86" s="378"/>
      <c r="BB86" s="378"/>
      <c r="BC86" s="378"/>
      <c r="BD86" s="378"/>
      <c r="BE86" s="378"/>
      <c r="BF86" s="378"/>
      <c r="BG86" s="378"/>
      <c r="BH86" s="378"/>
      <c r="BI86" s="378"/>
      <c r="BJ86" s="378"/>
      <c r="BK86" s="378"/>
      <c r="BL86" s="378"/>
      <c r="BM86" s="378"/>
      <c r="BN86" s="378"/>
      <c r="BO86" s="378"/>
      <c r="BP86" s="378"/>
      <c r="BQ86" s="378"/>
      <c r="BR86" s="378"/>
      <c r="BS86" s="378"/>
      <c r="BT86" s="378"/>
      <c r="BU86" s="378"/>
      <c r="BV86" s="378"/>
      <c r="BW86" s="378"/>
      <c r="BX86" s="378"/>
      <c r="BY86" s="378"/>
      <c r="BZ86" s="378"/>
      <c r="CA86" s="378"/>
      <c r="CB86" s="378"/>
      <c r="CC86" s="378"/>
      <c r="CD86" s="378"/>
      <c r="CE86" s="378"/>
      <c r="CF86" s="378"/>
      <c r="CG86" s="378"/>
      <c r="CH86" s="378"/>
      <c r="CI86" s="378"/>
      <c r="CJ86" s="378"/>
      <c r="CK86" s="378"/>
      <c r="CL86" s="378"/>
      <c r="CM86" s="378"/>
      <c r="CN86" s="378"/>
      <c r="CO86" s="378"/>
      <c r="CP86" s="378"/>
      <c r="CQ86" s="378"/>
      <c r="CR86" s="378"/>
      <c r="CS86" s="378"/>
      <c r="CT86" s="378"/>
    </row>
    <row r="87" spans="1:98" x14ac:dyDescent="0.25">
      <c r="A87" s="378"/>
      <c r="B87" s="378"/>
      <c r="C87" s="378"/>
      <c r="D87" s="378"/>
      <c r="E87" s="378"/>
      <c r="F87" s="378"/>
      <c r="G87" s="378"/>
      <c r="H87" s="378"/>
      <c r="I87" s="378"/>
      <c r="J87" s="378"/>
      <c r="K87" s="378"/>
      <c r="L87" s="378"/>
      <c r="M87" s="378"/>
      <c r="N87" s="378"/>
      <c r="O87" s="378"/>
      <c r="P87" s="378"/>
      <c r="Q87" s="378"/>
      <c r="R87" s="378"/>
      <c r="S87" s="378"/>
      <c r="T87" s="378"/>
      <c r="U87" s="378"/>
      <c r="V87" s="378"/>
      <c r="W87" s="378"/>
      <c r="X87" s="378"/>
      <c r="Y87" s="378"/>
      <c r="Z87" s="378"/>
      <c r="AA87" s="378"/>
      <c r="AB87" s="378"/>
      <c r="AC87" s="378"/>
      <c r="AD87" s="378"/>
      <c r="AE87" s="378"/>
      <c r="AF87" s="378"/>
      <c r="AG87" s="378"/>
      <c r="AH87" s="378"/>
      <c r="AI87" s="378"/>
      <c r="AJ87" s="378"/>
      <c r="AK87" s="378"/>
      <c r="AL87" s="378"/>
      <c r="AM87" s="378"/>
      <c r="AN87" s="378"/>
      <c r="AO87" s="378"/>
      <c r="AP87" s="378"/>
      <c r="AQ87" s="378"/>
      <c r="AR87" s="378"/>
      <c r="AS87" s="378"/>
      <c r="AT87" s="378"/>
      <c r="AU87" s="378"/>
      <c r="AV87" s="378"/>
      <c r="AW87" s="378"/>
      <c r="AX87" s="378"/>
      <c r="AY87" s="378"/>
      <c r="AZ87" s="378"/>
      <c r="BA87" s="378"/>
      <c r="BB87" s="378"/>
      <c r="BC87" s="378"/>
      <c r="BD87" s="378"/>
      <c r="BE87" s="378"/>
      <c r="BF87" s="378"/>
      <c r="BG87" s="378"/>
      <c r="BH87" s="378"/>
      <c r="BI87" s="378"/>
      <c r="BJ87" s="378"/>
      <c r="BK87" s="378"/>
      <c r="BL87" s="378"/>
      <c r="BM87" s="378"/>
      <c r="BN87" s="378"/>
      <c r="BO87" s="378"/>
      <c r="BP87" s="378"/>
      <c r="BQ87" s="378"/>
      <c r="BR87" s="378"/>
      <c r="BS87" s="378"/>
      <c r="BT87" s="378"/>
      <c r="BU87" s="378"/>
      <c r="BV87" s="378"/>
      <c r="BW87" s="378"/>
      <c r="BX87" s="378"/>
      <c r="BY87" s="378"/>
      <c r="BZ87" s="378"/>
      <c r="CA87" s="378"/>
      <c r="CB87" s="378"/>
      <c r="CC87" s="378"/>
      <c r="CD87" s="378"/>
      <c r="CE87" s="378"/>
      <c r="CF87" s="378"/>
      <c r="CG87" s="378"/>
      <c r="CH87" s="378"/>
      <c r="CI87" s="378"/>
      <c r="CJ87" s="378"/>
      <c r="CK87" s="378"/>
      <c r="CL87" s="378"/>
      <c r="CM87" s="378"/>
      <c r="CN87" s="378"/>
      <c r="CO87" s="378"/>
      <c r="CP87" s="378"/>
      <c r="CQ87" s="378"/>
      <c r="CR87" s="378"/>
      <c r="CS87" s="378"/>
      <c r="CT87" s="378"/>
    </row>
    <row r="88" spans="1:98" x14ac:dyDescent="0.25">
      <c r="A88" s="378"/>
      <c r="B88" s="378"/>
      <c r="C88" s="378"/>
      <c r="D88" s="378"/>
      <c r="E88" s="378"/>
      <c r="F88" s="378"/>
      <c r="G88" s="378"/>
      <c r="H88" s="378"/>
      <c r="I88" s="378"/>
      <c r="J88" s="378"/>
      <c r="K88" s="378"/>
      <c r="L88" s="378"/>
      <c r="M88" s="378"/>
      <c r="N88" s="378"/>
      <c r="O88" s="378"/>
      <c r="P88" s="378"/>
      <c r="Q88" s="378"/>
      <c r="R88" s="378"/>
      <c r="S88" s="378"/>
      <c r="T88" s="378"/>
      <c r="U88" s="378"/>
      <c r="V88" s="378"/>
      <c r="W88" s="378"/>
      <c r="X88" s="378"/>
      <c r="Y88" s="378"/>
      <c r="Z88" s="378"/>
      <c r="AA88" s="378"/>
      <c r="AB88" s="378"/>
      <c r="AC88" s="378"/>
      <c r="AD88" s="378"/>
      <c r="AE88" s="378"/>
      <c r="AF88" s="378"/>
      <c r="AG88" s="378"/>
      <c r="AH88" s="378"/>
      <c r="AI88" s="378"/>
      <c r="AJ88" s="378"/>
      <c r="AK88" s="378"/>
      <c r="AL88" s="378"/>
      <c r="AM88" s="378"/>
      <c r="AN88" s="378"/>
      <c r="AO88" s="378"/>
      <c r="AP88" s="378"/>
      <c r="AQ88" s="378"/>
      <c r="AR88" s="378"/>
      <c r="AS88" s="378"/>
      <c r="AT88" s="378"/>
      <c r="AU88" s="378"/>
      <c r="AV88" s="378"/>
      <c r="AW88" s="378"/>
      <c r="AX88" s="378"/>
      <c r="AY88" s="378"/>
      <c r="AZ88" s="378"/>
      <c r="BA88" s="378"/>
      <c r="BB88" s="378"/>
      <c r="BC88" s="378"/>
      <c r="BD88" s="378"/>
      <c r="BE88" s="378"/>
      <c r="BF88" s="378"/>
      <c r="BG88" s="378"/>
      <c r="BH88" s="378"/>
      <c r="BI88" s="378"/>
      <c r="BJ88" s="378"/>
      <c r="BK88" s="378"/>
      <c r="BL88" s="378"/>
      <c r="BM88" s="378"/>
      <c r="BN88" s="378"/>
      <c r="BO88" s="378"/>
      <c r="BP88" s="378"/>
      <c r="BQ88" s="378"/>
      <c r="BR88" s="378"/>
      <c r="BS88" s="378"/>
      <c r="BT88" s="378"/>
      <c r="BU88" s="378"/>
      <c r="BV88" s="378"/>
      <c r="BW88" s="378"/>
      <c r="BX88" s="378"/>
      <c r="BY88" s="378"/>
      <c r="BZ88" s="378"/>
      <c r="CA88" s="378"/>
      <c r="CB88" s="378"/>
      <c r="CC88" s="378"/>
      <c r="CD88" s="378"/>
      <c r="CE88" s="378"/>
      <c r="CF88" s="378"/>
      <c r="CG88" s="378"/>
      <c r="CH88" s="378"/>
      <c r="CI88" s="378"/>
      <c r="CJ88" s="378"/>
      <c r="CK88" s="378"/>
      <c r="CL88" s="378"/>
      <c r="CM88" s="378"/>
      <c r="CN88" s="378"/>
      <c r="CO88" s="378"/>
      <c r="CP88" s="378"/>
      <c r="CQ88" s="378"/>
      <c r="CR88" s="378"/>
      <c r="CS88" s="378"/>
      <c r="CT88" s="378"/>
    </row>
    <row r="89" spans="1:98" x14ac:dyDescent="0.25">
      <c r="A89" s="378"/>
      <c r="B89" s="378"/>
      <c r="C89" s="378"/>
      <c r="D89" s="378"/>
      <c r="E89" s="378"/>
      <c r="F89" s="378"/>
      <c r="G89" s="378"/>
      <c r="H89" s="378"/>
      <c r="I89" s="378"/>
      <c r="J89" s="378"/>
      <c r="K89" s="378"/>
      <c r="L89" s="378"/>
      <c r="M89" s="378"/>
      <c r="N89" s="378"/>
      <c r="O89" s="378"/>
      <c r="P89" s="378"/>
      <c r="Q89" s="378"/>
      <c r="R89" s="378"/>
      <c r="S89" s="378"/>
      <c r="T89" s="378"/>
      <c r="U89" s="378"/>
      <c r="V89" s="378"/>
      <c r="W89" s="378"/>
      <c r="X89" s="378"/>
      <c r="Y89" s="378"/>
      <c r="Z89" s="378"/>
      <c r="AA89" s="378"/>
      <c r="AB89" s="378"/>
      <c r="AC89" s="378"/>
      <c r="AD89" s="378"/>
      <c r="AE89" s="378"/>
      <c r="AF89" s="378"/>
      <c r="AG89" s="378"/>
      <c r="AH89" s="378"/>
      <c r="AI89" s="378"/>
      <c r="AJ89" s="378"/>
      <c r="AK89" s="378"/>
      <c r="AL89" s="378"/>
      <c r="AM89" s="378"/>
      <c r="AN89" s="378"/>
      <c r="AO89" s="378"/>
      <c r="AP89" s="378"/>
      <c r="AQ89" s="378"/>
      <c r="AR89" s="378"/>
      <c r="AS89" s="378"/>
      <c r="AT89" s="378"/>
      <c r="AU89" s="378"/>
      <c r="AV89" s="378"/>
      <c r="AW89" s="378"/>
      <c r="AX89" s="378"/>
      <c r="AY89" s="378"/>
      <c r="AZ89" s="378"/>
      <c r="BA89" s="378"/>
      <c r="BB89" s="378"/>
      <c r="BC89" s="378"/>
      <c r="BD89" s="378"/>
      <c r="BE89" s="378"/>
      <c r="BF89" s="378"/>
      <c r="BG89" s="378"/>
      <c r="BH89" s="378"/>
      <c r="BI89" s="378"/>
      <c r="BJ89" s="378"/>
      <c r="BK89" s="378"/>
      <c r="BL89" s="378"/>
      <c r="BM89" s="378"/>
      <c r="BN89" s="378"/>
      <c r="BO89" s="378"/>
      <c r="BP89" s="378"/>
      <c r="BQ89" s="378"/>
      <c r="BR89" s="378"/>
      <c r="BS89" s="378"/>
      <c r="BT89" s="378"/>
      <c r="BU89" s="378"/>
      <c r="BV89" s="378"/>
      <c r="BW89" s="378"/>
      <c r="BX89" s="378"/>
      <c r="BY89" s="378"/>
      <c r="BZ89" s="378"/>
      <c r="CA89" s="378"/>
      <c r="CB89" s="378"/>
      <c r="CC89" s="378"/>
      <c r="CD89" s="378"/>
      <c r="CE89" s="378"/>
      <c r="CF89" s="378"/>
      <c r="CG89" s="378"/>
      <c r="CH89" s="378"/>
      <c r="CI89" s="378"/>
      <c r="CJ89" s="378"/>
      <c r="CK89" s="378"/>
      <c r="CL89" s="378"/>
      <c r="CM89" s="378"/>
      <c r="CN89" s="378"/>
      <c r="CO89" s="378"/>
      <c r="CP89" s="378"/>
      <c r="CQ89" s="378"/>
      <c r="CR89" s="378"/>
      <c r="CS89" s="378"/>
      <c r="CT89" s="378"/>
    </row>
    <row r="90" spans="1:98" x14ac:dyDescent="0.25">
      <c r="A90" s="378"/>
      <c r="B90" s="378"/>
      <c r="C90" s="378"/>
      <c r="D90" s="378"/>
      <c r="E90" s="378"/>
      <c r="F90" s="378"/>
      <c r="G90" s="378"/>
      <c r="H90" s="378"/>
      <c r="I90" s="378"/>
      <c r="J90" s="378"/>
      <c r="K90" s="378"/>
      <c r="L90" s="378"/>
      <c r="M90" s="378"/>
      <c r="N90" s="378"/>
      <c r="O90" s="378"/>
      <c r="P90" s="378"/>
      <c r="Q90" s="378"/>
      <c r="R90" s="378"/>
      <c r="S90" s="378"/>
      <c r="T90" s="378"/>
      <c r="U90" s="378"/>
      <c r="V90" s="378"/>
      <c r="W90" s="378"/>
      <c r="X90" s="378"/>
      <c r="Y90" s="378"/>
      <c r="Z90" s="378"/>
      <c r="AA90" s="378"/>
      <c r="AB90" s="378"/>
      <c r="AC90" s="378"/>
      <c r="AD90" s="378"/>
      <c r="AE90" s="378"/>
      <c r="AF90" s="378"/>
      <c r="AG90" s="378"/>
      <c r="AH90" s="378"/>
      <c r="AI90" s="378"/>
      <c r="AJ90" s="378"/>
      <c r="AK90" s="378"/>
      <c r="AL90" s="378"/>
      <c r="AM90" s="378"/>
      <c r="AN90" s="378"/>
      <c r="AO90" s="378"/>
      <c r="AP90" s="378"/>
      <c r="AQ90" s="378"/>
      <c r="AR90" s="378"/>
      <c r="AS90" s="378"/>
      <c r="AT90" s="378"/>
      <c r="AU90" s="378"/>
      <c r="AV90" s="378"/>
      <c r="AW90" s="378"/>
      <c r="AX90" s="378"/>
      <c r="AY90" s="378"/>
      <c r="AZ90" s="378"/>
      <c r="BA90" s="378"/>
      <c r="BB90" s="378"/>
      <c r="BC90" s="378"/>
      <c r="BD90" s="378"/>
      <c r="BE90" s="378"/>
      <c r="BF90" s="378"/>
      <c r="BG90" s="378"/>
      <c r="BH90" s="378"/>
      <c r="BI90" s="378"/>
      <c r="BJ90" s="378"/>
      <c r="BK90" s="378"/>
      <c r="BL90" s="378"/>
      <c r="BM90" s="378"/>
      <c r="BN90" s="378"/>
      <c r="BO90" s="378"/>
      <c r="BP90" s="378"/>
      <c r="BQ90" s="378"/>
      <c r="BR90" s="378"/>
      <c r="BS90" s="378"/>
      <c r="BT90" s="378"/>
      <c r="BU90" s="378"/>
      <c r="BV90" s="378"/>
      <c r="BW90" s="378"/>
      <c r="BX90" s="378"/>
      <c r="BY90" s="378"/>
      <c r="BZ90" s="378"/>
      <c r="CA90" s="378"/>
      <c r="CB90" s="378"/>
      <c r="CC90" s="378"/>
      <c r="CD90" s="378"/>
      <c r="CE90" s="378"/>
      <c r="CF90" s="378"/>
      <c r="CG90" s="378"/>
      <c r="CH90" s="378"/>
      <c r="CI90" s="378"/>
      <c r="CJ90" s="378"/>
      <c r="CK90" s="378"/>
      <c r="CL90" s="378"/>
      <c r="CM90" s="378"/>
      <c r="CN90" s="378"/>
      <c r="CO90" s="378"/>
      <c r="CP90" s="378"/>
      <c r="CQ90" s="378"/>
      <c r="CR90" s="378"/>
      <c r="CS90" s="378"/>
      <c r="CT90" s="378"/>
    </row>
    <row r="91" spans="1:98" x14ac:dyDescent="0.25">
      <c r="A91" s="378"/>
      <c r="B91" s="378"/>
      <c r="C91" s="378"/>
      <c r="D91" s="378"/>
      <c r="E91" s="378"/>
      <c r="F91" s="378"/>
      <c r="G91" s="378"/>
      <c r="H91" s="378"/>
      <c r="I91" s="378"/>
      <c r="J91" s="378"/>
      <c r="K91" s="378"/>
      <c r="L91" s="378"/>
      <c r="M91" s="378"/>
      <c r="N91" s="378"/>
      <c r="O91" s="378"/>
      <c r="P91" s="378"/>
      <c r="Q91" s="378"/>
      <c r="R91" s="378"/>
      <c r="S91" s="378"/>
      <c r="T91" s="378"/>
      <c r="U91" s="378"/>
      <c r="V91" s="378"/>
      <c r="W91" s="378"/>
      <c r="X91" s="378"/>
      <c r="Y91" s="378"/>
      <c r="Z91" s="378"/>
      <c r="AA91" s="378"/>
      <c r="AB91" s="378"/>
      <c r="AC91" s="378"/>
      <c r="AD91" s="378"/>
      <c r="AE91" s="378"/>
      <c r="AF91" s="378"/>
      <c r="AG91" s="378"/>
      <c r="AH91" s="378"/>
      <c r="AI91" s="378"/>
      <c r="AJ91" s="378"/>
      <c r="AK91" s="378"/>
      <c r="AL91" s="378"/>
      <c r="AM91" s="378"/>
      <c r="AN91" s="378"/>
      <c r="AO91" s="378"/>
      <c r="AP91" s="378"/>
      <c r="AQ91" s="378"/>
      <c r="AR91" s="378"/>
      <c r="AS91" s="378"/>
      <c r="AT91" s="378"/>
      <c r="AU91" s="378"/>
      <c r="AV91" s="378"/>
      <c r="AW91" s="378"/>
      <c r="AX91" s="378"/>
      <c r="AY91" s="378"/>
      <c r="AZ91" s="378"/>
      <c r="BA91" s="378"/>
      <c r="BB91" s="378"/>
      <c r="BC91" s="378"/>
      <c r="BD91" s="378"/>
      <c r="BE91" s="378"/>
      <c r="BF91" s="378"/>
      <c r="BG91" s="378"/>
      <c r="BH91" s="378"/>
      <c r="BI91" s="378"/>
      <c r="BJ91" s="378"/>
      <c r="BK91" s="378"/>
      <c r="BL91" s="378"/>
      <c r="BM91" s="378"/>
      <c r="BN91" s="378"/>
      <c r="BO91" s="378"/>
      <c r="BP91" s="378"/>
      <c r="BQ91" s="378"/>
      <c r="BR91" s="378"/>
      <c r="BS91" s="378"/>
      <c r="BT91" s="378"/>
      <c r="BU91" s="378"/>
      <c r="BV91" s="378"/>
      <c r="BW91" s="378"/>
      <c r="BX91" s="378"/>
      <c r="BY91" s="378"/>
      <c r="BZ91" s="378"/>
      <c r="CA91" s="378"/>
      <c r="CB91" s="378"/>
      <c r="CC91" s="378"/>
      <c r="CD91" s="378"/>
      <c r="CE91" s="378"/>
      <c r="CF91" s="378"/>
      <c r="CG91" s="378"/>
      <c r="CH91" s="378"/>
      <c r="CI91" s="378"/>
      <c r="CJ91" s="378"/>
      <c r="CK91" s="378"/>
      <c r="CL91" s="378"/>
      <c r="CM91" s="378"/>
      <c r="CN91" s="378"/>
      <c r="CO91" s="378"/>
      <c r="CP91" s="378"/>
      <c r="CQ91" s="378"/>
      <c r="CR91" s="378"/>
      <c r="CS91" s="378"/>
      <c r="CT91" s="378"/>
    </row>
    <row r="92" spans="1:98" x14ac:dyDescent="0.25">
      <c r="A92" s="378"/>
      <c r="B92" s="378"/>
      <c r="C92" s="378"/>
      <c r="D92" s="378"/>
      <c r="E92" s="378"/>
      <c r="F92" s="378"/>
      <c r="G92" s="378"/>
      <c r="H92" s="378"/>
      <c r="I92" s="378"/>
      <c r="J92" s="378"/>
      <c r="K92" s="378"/>
      <c r="L92" s="378"/>
      <c r="M92" s="378"/>
      <c r="N92" s="378"/>
      <c r="O92" s="378"/>
      <c r="P92" s="378"/>
      <c r="Q92" s="378"/>
      <c r="R92" s="378"/>
      <c r="S92" s="378"/>
      <c r="T92" s="378"/>
      <c r="U92" s="378"/>
      <c r="V92" s="378"/>
      <c r="W92" s="378"/>
      <c r="X92" s="378"/>
      <c r="Y92" s="378"/>
      <c r="Z92" s="378"/>
      <c r="AA92" s="378"/>
      <c r="AB92" s="378"/>
      <c r="AC92" s="378"/>
      <c r="AD92" s="378"/>
      <c r="AE92" s="378"/>
      <c r="AF92" s="378"/>
      <c r="AG92" s="378"/>
      <c r="AH92" s="378"/>
      <c r="AI92" s="378"/>
      <c r="AJ92" s="378"/>
      <c r="AK92" s="378"/>
      <c r="AL92" s="378"/>
      <c r="AM92" s="378"/>
      <c r="AN92" s="378"/>
      <c r="AO92" s="378"/>
      <c r="AP92" s="378"/>
      <c r="AQ92" s="378"/>
      <c r="AR92" s="378"/>
      <c r="AS92" s="378"/>
      <c r="AT92" s="378"/>
      <c r="AU92" s="378"/>
      <c r="AV92" s="378"/>
      <c r="AW92" s="378"/>
      <c r="AX92" s="378"/>
      <c r="AY92" s="378"/>
      <c r="AZ92" s="378"/>
      <c r="BA92" s="378"/>
      <c r="BB92" s="378"/>
      <c r="BC92" s="378"/>
      <c r="BD92" s="378"/>
      <c r="BE92" s="378"/>
      <c r="BF92" s="378"/>
      <c r="BG92" s="378"/>
      <c r="BH92" s="378"/>
      <c r="BI92" s="378"/>
      <c r="BJ92" s="378"/>
      <c r="BK92" s="378"/>
      <c r="BL92" s="378"/>
      <c r="BM92" s="378"/>
      <c r="BN92" s="378"/>
      <c r="BO92" s="378"/>
      <c r="BP92" s="378"/>
      <c r="BQ92" s="378"/>
      <c r="BR92" s="378"/>
      <c r="BS92" s="378"/>
      <c r="BT92" s="378"/>
      <c r="BU92" s="378"/>
      <c r="BV92" s="378"/>
      <c r="BW92" s="378"/>
      <c r="BX92" s="378"/>
      <c r="BY92" s="378"/>
      <c r="BZ92" s="378"/>
      <c r="CA92" s="378"/>
      <c r="CB92" s="378"/>
      <c r="CC92" s="378"/>
      <c r="CD92" s="378"/>
      <c r="CE92" s="378"/>
      <c r="CF92" s="378"/>
      <c r="CG92" s="378"/>
      <c r="CH92" s="378"/>
      <c r="CI92" s="378"/>
      <c r="CJ92" s="378"/>
      <c r="CK92" s="378"/>
      <c r="CL92" s="378"/>
      <c r="CM92" s="378"/>
      <c r="CN92" s="378"/>
      <c r="CO92" s="378"/>
      <c r="CP92" s="378"/>
      <c r="CQ92" s="378"/>
      <c r="CR92" s="378"/>
      <c r="CS92" s="378"/>
      <c r="CT92" s="378"/>
    </row>
    <row r="93" spans="1:98" x14ac:dyDescent="0.25">
      <c r="A93" s="378"/>
      <c r="B93" s="378"/>
      <c r="C93" s="378"/>
      <c r="D93" s="378"/>
      <c r="E93" s="378"/>
      <c r="F93" s="378"/>
      <c r="G93" s="378"/>
      <c r="H93" s="378"/>
      <c r="I93" s="378"/>
      <c r="J93" s="378"/>
      <c r="K93" s="378"/>
      <c r="L93" s="378"/>
      <c r="M93" s="378"/>
      <c r="N93" s="378"/>
      <c r="O93" s="378"/>
      <c r="P93" s="378"/>
      <c r="Q93" s="378"/>
      <c r="R93" s="378"/>
      <c r="S93" s="378"/>
      <c r="T93" s="378"/>
      <c r="U93" s="378"/>
      <c r="V93" s="378"/>
      <c r="W93" s="378"/>
      <c r="X93" s="378"/>
      <c r="Y93" s="378"/>
      <c r="Z93" s="378"/>
      <c r="AA93" s="378"/>
      <c r="AB93" s="378"/>
      <c r="AC93" s="378"/>
      <c r="AD93" s="378"/>
      <c r="AE93" s="378"/>
      <c r="AF93" s="378"/>
      <c r="AG93" s="378"/>
      <c r="AH93" s="378"/>
      <c r="AI93" s="378"/>
      <c r="AJ93" s="378"/>
      <c r="AK93" s="378"/>
      <c r="AL93" s="378"/>
      <c r="AM93" s="378"/>
      <c r="AN93" s="378"/>
      <c r="AO93" s="378"/>
      <c r="AP93" s="378"/>
      <c r="AQ93" s="378"/>
      <c r="AR93" s="378"/>
      <c r="AS93" s="378"/>
      <c r="AT93" s="378"/>
      <c r="AU93" s="378"/>
      <c r="AV93" s="378"/>
      <c r="AW93" s="378"/>
      <c r="AX93" s="378"/>
      <c r="AY93" s="378"/>
      <c r="AZ93" s="378"/>
      <c r="BA93" s="378"/>
      <c r="BB93" s="378"/>
      <c r="BC93" s="378"/>
      <c r="BD93" s="378"/>
      <c r="BE93" s="378"/>
      <c r="BF93" s="378"/>
      <c r="BG93" s="378"/>
      <c r="BH93" s="378"/>
      <c r="BI93" s="378"/>
      <c r="BJ93" s="378"/>
      <c r="BK93" s="378"/>
      <c r="BL93" s="378"/>
      <c r="BM93" s="378"/>
      <c r="BN93" s="378"/>
      <c r="BO93" s="378"/>
      <c r="BP93" s="378"/>
      <c r="BQ93" s="378"/>
      <c r="BR93" s="378"/>
      <c r="BS93" s="378"/>
      <c r="BT93" s="378"/>
      <c r="BU93" s="378"/>
      <c r="BV93" s="378"/>
      <c r="BW93" s="378"/>
      <c r="BX93" s="378"/>
      <c r="BY93" s="378"/>
      <c r="BZ93" s="378"/>
      <c r="CA93" s="378"/>
      <c r="CB93" s="378"/>
      <c r="CC93" s="378"/>
      <c r="CD93" s="378"/>
      <c r="CE93" s="378"/>
      <c r="CF93" s="378"/>
      <c r="CG93" s="378"/>
      <c r="CH93" s="378"/>
      <c r="CI93" s="378"/>
      <c r="CJ93" s="378"/>
      <c r="CK93" s="378"/>
      <c r="CL93" s="378"/>
      <c r="CM93" s="378"/>
      <c r="CN93" s="378"/>
      <c r="CO93" s="378"/>
      <c r="CP93" s="378"/>
      <c r="CQ93" s="378"/>
      <c r="CR93" s="378"/>
      <c r="CS93" s="378"/>
      <c r="CT93" s="378"/>
    </row>
    <row r="94" spans="1:98" x14ac:dyDescent="0.25">
      <c r="A94" s="378"/>
      <c r="B94" s="378"/>
      <c r="C94" s="378"/>
      <c r="D94" s="378"/>
      <c r="E94" s="378"/>
      <c r="F94" s="378"/>
      <c r="G94" s="378"/>
      <c r="H94" s="378"/>
      <c r="I94" s="378"/>
      <c r="J94" s="378"/>
      <c r="K94" s="378"/>
      <c r="L94" s="378"/>
      <c r="M94" s="378"/>
      <c r="N94" s="378"/>
      <c r="O94" s="378"/>
      <c r="P94" s="378"/>
      <c r="Q94" s="378"/>
      <c r="R94" s="378"/>
      <c r="S94" s="378"/>
      <c r="T94" s="378"/>
      <c r="U94" s="378"/>
      <c r="V94" s="378"/>
      <c r="W94" s="378"/>
      <c r="X94" s="378"/>
      <c r="Y94" s="378"/>
      <c r="Z94" s="378"/>
      <c r="AA94" s="378"/>
      <c r="AB94" s="378"/>
      <c r="AC94" s="378"/>
      <c r="AD94" s="378"/>
      <c r="AE94" s="378"/>
      <c r="AF94" s="378"/>
      <c r="AG94" s="378"/>
      <c r="AH94" s="378"/>
      <c r="AI94" s="378"/>
      <c r="AJ94" s="378"/>
      <c r="AK94" s="378"/>
      <c r="AL94" s="378"/>
      <c r="AM94" s="378"/>
      <c r="AN94" s="378"/>
      <c r="AO94" s="378"/>
      <c r="AP94" s="378"/>
      <c r="AQ94" s="378"/>
      <c r="AR94" s="378"/>
      <c r="AS94" s="378"/>
      <c r="AT94" s="378"/>
      <c r="AU94" s="378"/>
      <c r="AV94" s="378"/>
      <c r="AW94" s="378"/>
      <c r="AX94" s="378"/>
      <c r="AY94" s="378"/>
      <c r="AZ94" s="378"/>
      <c r="BA94" s="378"/>
      <c r="BB94" s="378"/>
      <c r="BC94" s="378"/>
      <c r="BD94" s="378"/>
      <c r="BE94" s="378"/>
      <c r="BF94" s="378"/>
      <c r="BG94" s="378"/>
      <c r="BH94" s="378"/>
      <c r="BI94" s="378"/>
      <c r="BJ94" s="378"/>
      <c r="BK94" s="378"/>
      <c r="BL94" s="378"/>
      <c r="BM94" s="378"/>
      <c r="BN94" s="378"/>
      <c r="BO94" s="378"/>
      <c r="BP94" s="378"/>
      <c r="BQ94" s="378"/>
      <c r="BR94" s="378"/>
      <c r="BS94" s="378"/>
      <c r="BT94" s="378"/>
      <c r="BU94" s="378"/>
      <c r="BV94" s="378"/>
      <c r="BW94" s="378"/>
      <c r="BX94" s="378"/>
      <c r="BY94" s="378"/>
      <c r="BZ94" s="378"/>
      <c r="CA94" s="378"/>
      <c r="CB94" s="378"/>
      <c r="CC94" s="378"/>
      <c r="CD94" s="378"/>
      <c r="CE94" s="378"/>
      <c r="CF94" s="378"/>
      <c r="CG94" s="378"/>
      <c r="CH94" s="378"/>
      <c r="CI94" s="378"/>
      <c r="CJ94" s="378"/>
      <c r="CK94" s="378"/>
      <c r="CL94" s="378"/>
      <c r="CM94" s="378"/>
      <c r="CN94" s="378"/>
      <c r="CO94" s="378"/>
      <c r="CP94" s="378"/>
      <c r="CQ94" s="378"/>
      <c r="CR94" s="378"/>
      <c r="CS94" s="378"/>
      <c r="CT94" s="378"/>
    </row>
    <row r="95" spans="1:98" x14ac:dyDescent="0.25">
      <c r="A95" s="378"/>
      <c r="B95" s="378"/>
      <c r="C95" s="378"/>
      <c r="D95" s="378"/>
      <c r="E95" s="378"/>
      <c r="F95" s="378"/>
      <c r="G95" s="378"/>
      <c r="H95" s="378"/>
      <c r="I95" s="378"/>
      <c r="J95" s="378"/>
      <c r="K95" s="378"/>
      <c r="L95" s="378"/>
      <c r="M95" s="378"/>
      <c r="N95" s="378"/>
      <c r="O95" s="378"/>
      <c r="P95" s="378"/>
      <c r="Q95" s="378"/>
      <c r="R95" s="378"/>
      <c r="S95" s="378"/>
      <c r="T95" s="378"/>
      <c r="U95" s="378"/>
      <c r="V95" s="378"/>
      <c r="W95" s="378"/>
      <c r="X95" s="378"/>
      <c r="Y95" s="378"/>
      <c r="Z95" s="378"/>
      <c r="AA95" s="378"/>
      <c r="AB95" s="378"/>
      <c r="AC95" s="378"/>
      <c r="AD95" s="378"/>
      <c r="AE95" s="378"/>
      <c r="AF95" s="378"/>
      <c r="AG95" s="378"/>
      <c r="AH95" s="378"/>
      <c r="AI95" s="378"/>
      <c r="AJ95" s="378"/>
      <c r="AK95" s="378"/>
      <c r="AL95" s="378"/>
      <c r="AM95" s="378"/>
      <c r="AN95" s="378"/>
      <c r="AO95" s="378"/>
      <c r="AP95" s="378"/>
      <c r="AQ95" s="378"/>
      <c r="AR95" s="378"/>
      <c r="AS95" s="378"/>
      <c r="AT95" s="378"/>
      <c r="AU95" s="378"/>
      <c r="AV95" s="378"/>
      <c r="AW95" s="378"/>
      <c r="AX95" s="378"/>
      <c r="AY95" s="378"/>
      <c r="AZ95" s="378"/>
      <c r="BA95" s="378"/>
      <c r="BB95" s="378"/>
      <c r="BC95" s="378"/>
      <c r="BD95" s="378"/>
      <c r="BE95" s="378"/>
      <c r="BF95" s="378"/>
      <c r="BG95" s="378"/>
      <c r="BH95" s="378"/>
      <c r="BI95" s="378"/>
      <c r="BJ95" s="378"/>
      <c r="BK95" s="378"/>
      <c r="BL95" s="378"/>
      <c r="BM95" s="378"/>
      <c r="BN95" s="378"/>
      <c r="BO95" s="378"/>
      <c r="BP95" s="378"/>
      <c r="BQ95" s="378"/>
      <c r="BR95" s="378"/>
      <c r="BS95" s="378"/>
      <c r="BT95" s="378"/>
      <c r="BU95" s="378"/>
      <c r="BV95" s="378"/>
      <c r="BW95" s="378"/>
      <c r="BX95" s="378"/>
      <c r="BY95" s="378"/>
      <c r="BZ95" s="378"/>
      <c r="CA95" s="378"/>
      <c r="CB95" s="378"/>
      <c r="CC95" s="378"/>
      <c r="CD95" s="378"/>
      <c r="CE95" s="378"/>
      <c r="CF95" s="378"/>
      <c r="CG95" s="378"/>
      <c r="CH95" s="378"/>
      <c r="CI95" s="378"/>
      <c r="CJ95" s="378"/>
      <c r="CK95" s="378"/>
      <c r="CL95" s="378"/>
      <c r="CM95" s="378"/>
      <c r="CN95" s="378"/>
      <c r="CO95" s="378"/>
      <c r="CP95" s="378"/>
      <c r="CQ95" s="378"/>
      <c r="CR95" s="378"/>
      <c r="CS95" s="378"/>
      <c r="CT95" s="378"/>
    </row>
    <row r="96" spans="1:98" x14ac:dyDescent="0.25">
      <c r="A96" s="378"/>
      <c r="B96" s="378"/>
      <c r="C96" s="378"/>
      <c r="D96" s="378"/>
      <c r="E96" s="378"/>
      <c r="F96" s="378"/>
      <c r="G96" s="378"/>
      <c r="H96" s="378"/>
      <c r="I96" s="378"/>
      <c r="J96" s="378"/>
      <c r="K96" s="378"/>
      <c r="L96" s="378"/>
      <c r="M96" s="378"/>
      <c r="N96" s="378"/>
      <c r="O96" s="378"/>
      <c r="P96" s="378"/>
      <c r="Q96" s="378"/>
      <c r="R96" s="378"/>
      <c r="S96" s="378"/>
      <c r="T96" s="378"/>
      <c r="U96" s="378"/>
      <c r="V96" s="378"/>
      <c r="W96" s="378"/>
      <c r="X96" s="378"/>
      <c r="Y96" s="378"/>
      <c r="Z96" s="378"/>
      <c r="AA96" s="378"/>
      <c r="AB96" s="378"/>
      <c r="AC96" s="378"/>
      <c r="AD96" s="378"/>
      <c r="AE96" s="378"/>
      <c r="AF96" s="378"/>
      <c r="AG96" s="378"/>
      <c r="AH96" s="378"/>
      <c r="AI96" s="378"/>
      <c r="AJ96" s="378"/>
      <c r="AK96" s="378"/>
      <c r="AL96" s="378"/>
      <c r="AM96" s="378"/>
      <c r="AN96" s="378"/>
      <c r="AO96" s="378"/>
      <c r="AP96" s="378"/>
      <c r="AQ96" s="378"/>
      <c r="AR96" s="378"/>
      <c r="AS96" s="378"/>
      <c r="AT96" s="378"/>
      <c r="AU96" s="378"/>
      <c r="AV96" s="378"/>
      <c r="AW96" s="378"/>
      <c r="AX96" s="378"/>
      <c r="AY96" s="378"/>
      <c r="AZ96" s="378"/>
      <c r="BA96" s="378"/>
      <c r="BB96" s="378"/>
      <c r="BC96" s="378"/>
      <c r="BD96" s="378"/>
      <c r="BE96" s="378"/>
      <c r="BF96" s="378"/>
      <c r="BG96" s="378"/>
      <c r="BH96" s="378"/>
      <c r="BI96" s="378"/>
      <c r="BJ96" s="378"/>
      <c r="BK96" s="378"/>
      <c r="BL96" s="378"/>
      <c r="BM96" s="378"/>
      <c r="BN96" s="378"/>
      <c r="BO96" s="378"/>
      <c r="BP96" s="378"/>
      <c r="BQ96" s="378"/>
      <c r="BR96" s="378"/>
      <c r="BS96" s="378"/>
      <c r="BT96" s="378"/>
      <c r="BU96" s="378"/>
      <c r="BV96" s="378"/>
      <c r="BW96" s="378"/>
      <c r="BX96" s="378"/>
      <c r="BY96" s="378"/>
      <c r="BZ96" s="378"/>
      <c r="CA96" s="378"/>
      <c r="CB96" s="378"/>
      <c r="CC96" s="378"/>
      <c r="CD96" s="378"/>
      <c r="CE96" s="378"/>
      <c r="CF96" s="378"/>
      <c r="CG96" s="378"/>
      <c r="CH96" s="378"/>
      <c r="CI96" s="378"/>
      <c r="CJ96" s="378"/>
      <c r="CK96" s="378"/>
      <c r="CL96" s="378"/>
      <c r="CM96" s="378"/>
      <c r="CN96" s="378"/>
      <c r="CO96" s="378"/>
      <c r="CP96" s="378"/>
      <c r="CQ96" s="378"/>
      <c r="CR96" s="378"/>
      <c r="CS96" s="378"/>
      <c r="CT96" s="378"/>
    </row>
    <row r="97" spans="1:98" x14ac:dyDescent="0.25">
      <c r="A97" s="378"/>
      <c r="B97" s="378"/>
      <c r="C97" s="378"/>
      <c r="D97" s="378"/>
      <c r="E97" s="378"/>
      <c r="F97" s="378"/>
      <c r="G97" s="378"/>
      <c r="H97" s="378"/>
      <c r="I97" s="378"/>
      <c r="J97" s="378"/>
      <c r="K97" s="378"/>
      <c r="L97" s="378"/>
      <c r="M97" s="378"/>
      <c r="N97" s="378"/>
      <c r="O97" s="378"/>
      <c r="P97" s="378"/>
      <c r="Q97" s="378"/>
      <c r="R97" s="378"/>
      <c r="S97" s="378"/>
      <c r="T97" s="378"/>
      <c r="U97" s="378"/>
      <c r="V97" s="378"/>
      <c r="W97" s="378"/>
      <c r="X97" s="378"/>
      <c r="Y97" s="378"/>
      <c r="Z97" s="378"/>
      <c r="AA97" s="378"/>
      <c r="AB97" s="378"/>
      <c r="AC97" s="378"/>
      <c r="AD97" s="378"/>
      <c r="AE97" s="378"/>
      <c r="AF97" s="378"/>
      <c r="AG97" s="378"/>
      <c r="AH97" s="378"/>
      <c r="AI97" s="378"/>
      <c r="AJ97" s="378"/>
      <c r="AK97" s="378"/>
      <c r="AL97" s="378"/>
      <c r="AM97" s="378"/>
      <c r="AN97" s="378"/>
      <c r="AO97" s="378"/>
      <c r="AP97" s="378"/>
      <c r="AQ97" s="378"/>
      <c r="AR97" s="378"/>
      <c r="AS97" s="378"/>
      <c r="AT97" s="378"/>
      <c r="AU97" s="378"/>
      <c r="AV97" s="378"/>
      <c r="AW97" s="378"/>
      <c r="AX97" s="378"/>
      <c r="AY97" s="378"/>
      <c r="AZ97" s="378"/>
      <c r="BA97" s="378"/>
      <c r="BB97" s="378"/>
      <c r="BC97" s="378"/>
      <c r="BD97" s="378"/>
      <c r="BE97" s="378"/>
      <c r="BF97" s="378"/>
      <c r="BG97" s="378"/>
      <c r="BH97" s="378"/>
      <c r="BI97" s="378"/>
      <c r="BJ97" s="378"/>
      <c r="BK97" s="378"/>
      <c r="BL97" s="378"/>
      <c r="BM97" s="378"/>
      <c r="BN97" s="378"/>
      <c r="BO97" s="378"/>
      <c r="BP97" s="378"/>
      <c r="BQ97" s="378"/>
      <c r="BR97" s="378"/>
      <c r="BS97" s="378"/>
      <c r="BT97" s="378"/>
      <c r="BU97" s="378"/>
      <c r="BV97" s="378"/>
      <c r="BW97" s="378"/>
      <c r="BX97" s="378"/>
      <c r="BY97" s="378"/>
      <c r="BZ97" s="378"/>
      <c r="CA97" s="378"/>
      <c r="CB97" s="378"/>
      <c r="CC97" s="378"/>
      <c r="CD97" s="378"/>
      <c r="CE97" s="378"/>
      <c r="CF97" s="378"/>
      <c r="CG97" s="378"/>
      <c r="CH97" s="378"/>
      <c r="CI97" s="378"/>
      <c r="CJ97" s="378"/>
      <c r="CK97" s="378"/>
      <c r="CL97" s="378"/>
      <c r="CM97" s="378"/>
      <c r="CN97" s="378"/>
      <c r="CO97" s="378"/>
      <c r="CP97" s="378"/>
      <c r="CQ97" s="378"/>
      <c r="CR97" s="378"/>
      <c r="CS97" s="378"/>
      <c r="CT97" s="378"/>
    </row>
    <row r="98" spans="1:98" x14ac:dyDescent="0.25">
      <c r="A98" s="378"/>
      <c r="B98" s="378"/>
      <c r="C98" s="378"/>
      <c r="D98" s="378"/>
      <c r="E98" s="378"/>
      <c r="F98" s="378"/>
      <c r="G98" s="378"/>
      <c r="H98" s="378"/>
      <c r="I98" s="378"/>
      <c r="J98" s="378"/>
      <c r="K98" s="378"/>
      <c r="L98" s="378"/>
      <c r="M98" s="378"/>
      <c r="N98" s="378"/>
      <c r="O98" s="378"/>
      <c r="P98" s="378"/>
      <c r="Q98" s="378"/>
      <c r="R98" s="378"/>
      <c r="S98" s="378"/>
      <c r="T98" s="378"/>
      <c r="U98" s="378"/>
      <c r="V98" s="378"/>
      <c r="W98" s="378"/>
      <c r="X98" s="378"/>
      <c r="Y98" s="378"/>
      <c r="Z98" s="378"/>
      <c r="AA98" s="378"/>
      <c r="AB98" s="378"/>
      <c r="AC98" s="378"/>
      <c r="AD98" s="378"/>
      <c r="AE98" s="378"/>
      <c r="AF98" s="378"/>
      <c r="AG98" s="378"/>
      <c r="AH98" s="378"/>
      <c r="AI98" s="378"/>
      <c r="AJ98" s="378"/>
      <c r="AK98" s="378"/>
      <c r="AL98" s="378"/>
      <c r="AM98" s="378"/>
      <c r="AN98" s="378"/>
      <c r="AO98" s="378"/>
      <c r="AP98" s="378"/>
      <c r="AQ98" s="378"/>
      <c r="AR98" s="378"/>
      <c r="AS98" s="378"/>
      <c r="AT98" s="378"/>
      <c r="AU98" s="378"/>
      <c r="AV98" s="378"/>
      <c r="AW98" s="378"/>
      <c r="AX98" s="378"/>
      <c r="AY98" s="378"/>
      <c r="AZ98" s="378"/>
      <c r="BA98" s="378"/>
      <c r="BB98" s="378"/>
      <c r="BC98" s="378"/>
      <c r="BD98" s="378"/>
      <c r="BE98" s="378"/>
      <c r="BF98" s="378"/>
      <c r="BG98" s="378"/>
      <c r="BH98" s="378"/>
      <c r="BI98" s="378"/>
      <c r="BJ98" s="378"/>
      <c r="BK98" s="378"/>
      <c r="BL98" s="378"/>
      <c r="BM98" s="378"/>
      <c r="BN98" s="378"/>
      <c r="BO98" s="378"/>
      <c r="BP98" s="378"/>
      <c r="BQ98" s="378"/>
      <c r="BR98" s="378"/>
      <c r="BS98" s="378"/>
      <c r="BT98" s="378"/>
      <c r="BU98" s="378"/>
      <c r="BV98" s="378"/>
      <c r="BW98" s="378"/>
      <c r="BX98" s="378"/>
      <c r="BY98" s="378"/>
      <c r="BZ98" s="378"/>
      <c r="CA98" s="378"/>
      <c r="CB98" s="378"/>
      <c r="CC98" s="378"/>
      <c r="CD98" s="378"/>
      <c r="CE98" s="378"/>
      <c r="CF98" s="378"/>
      <c r="CG98" s="378"/>
      <c r="CH98" s="378"/>
      <c r="CI98" s="378"/>
      <c r="CJ98" s="378"/>
      <c r="CK98" s="378"/>
      <c r="CL98" s="378"/>
      <c r="CM98" s="378"/>
      <c r="CN98" s="378"/>
      <c r="CO98" s="378"/>
      <c r="CP98" s="378"/>
      <c r="CQ98" s="378"/>
      <c r="CR98" s="378"/>
      <c r="CS98" s="378"/>
      <c r="CT98" s="378"/>
    </row>
    <row r="99" spans="1:98" x14ac:dyDescent="0.25">
      <c r="A99" s="378"/>
      <c r="B99" s="378"/>
      <c r="C99" s="378"/>
      <c r="D99" s="378"/>
      <c r="E99" s="378"/>
      <c r="F99" s="378"/>
      <c r="G99" s="378"/>
      <c r="H99" s="378"/>
      <c r="I99" s="378"/>
      <c r="J99" s="378"/>
      <c r="K99" s="378"/>
      <c r="L99" s="378"/>
      <c r="M99" s="378"/>
      <c r="N99" s="378"/>
      <c r="O99" s="378"/>
      <c r="P99" s="378"/>
      <c r="Q99" s="378"/>
      <c r="R99" s="378"/>
      <c r="S99" s="378"/>
      <c r="T99" s="378"/>
      <c r="U99" s="378"/>
      <c r="V99" s="378"/>
      <c r="W99" s="378"/>
      <c r="X99" s="378"/>
      <c r="Y99" s="378"/>
      <c r="Z99" s="378"/>
      <c r="AA99" s="378"/>
      <c r="AB99" s="378"/>
      <c r="AC99" s="378"/>
      <c r="AD99" s="378"/>
      <c r="AE99" s="378"/>
      <c r="AF99" s="378"/>
      <c r="AG99" s="378"/>
      <c r="AH99" s="378"/>
      <c r="AI99" s="378"/>
      <c r="AJ99" s="378"/>
      <c r="AK99" s="378"/>
      <c r="AL99" s="378"/>
      <c r="AM99" s="378"/>
      <c r="AN99" s="378"/>
      <c r="AO99" s="378"/>
      <c r="AP99" s="378"/>
      <c r="AQ99" s="378"/>
      <c r="AR99" s="378"/>
      <c r="AS99" s="378"/>
      <c r="AT99" s="378"/>
      <c r="AU99" s="378"/>
      <c r="AV99" s="378"/>
      <c r="AW99" s="378"/>
      <c r="AX99" s="378"/>
      <c r="AY99" s="378"/>
      <c r="AZ99" s="378"/>
      <c r="BA99" s="378"/>
      <c r="BB99" s="378"/>
      <c r="BC99" s="378"/>
      <c r="BD99" s="378"/>
      <c r="BE99" s="378"/>
      <c r="BF99" s="378"/>
      <c r="BG99" s="378"/>
      <c r="BH99" s="378"/>
      <c r="BI99" s="378"/>
      <c r="BJ99" s="378"/>
      <c r="BK99" s="378"/>
      <c r="BL99" s="378"/>
      <c r="BM99" s="378"/>
      <c r="BN99" s="378"/>
      <c r="BO99" s="378"/>
      <c r="BP99" s="378"/>
      <c r="BQ99" s="378"/>
      <c r="BR99" s="378"/>
      <c r="BS99" s="378"/>
      <c r="BT99" s="378"/>
      <c r="BU99" s="378"/>
      <c r="BV99" s="378"/>
      <c r="BW99" s="378"/>
      <c r="BX99" s="378"/>
      <c r="BY99" s="378"/>
      <c r="BZ99" s="378"/>
      <c r="CA99" s="378"/>
      <c r="CB99" s="378"/>
      <c r="CC99" s="378"/>
      <c r="CD99" s="378"/>
      <c r="CE99" s="378"/>
      <c r="CF99" s="378"/>
      <c r="CG99" s="378"/>
      <c r="CH99" s="378"/>
      <c r="CI99" s="378"/>
      <c r="CJ99" s="378"/>
      <c r="CK99" s="378"/>
      <c r="CL99" s="378"/>
      <c r="CM99" s="378"/>
      <c r="CN99" s="378"/>
      <c r="CO99" s="378"/>
      <c r="CP99" s="378"/>
      <c r="CQ99" s="378"/>
      <c r="CR99" s="378"/>
      <c r="CS99" s="378"/>
      <c r="CT99" s="378"/>
    </row>
    <row r="100" spans="1:98" x14ac:dyDescent="0.25">
      <c r="A100" s="378"/>
      <c r="B100" s="378"/>
      <c r="C100" s="378"/>
      <c r="D100" s="378"/>
      <c r="E100" s="378"/>
      <c r="F100" s="378"/>
      <c r="G100" s="378"/>
      <c r="H100" s="378"/>
      <c r="I100" s="378"/>
      <c r="J100" s="378"/>
      <c r="K100" s="378"/>
      <c r="L100" s="378"/>
      <c r="M100" s="378"/>
      <c r="N100" s="378"/>
      <c r="O100" s="378"/>
      <c r="P100" s="378"/>
      <c r="Q100" s="378"/>
      <c r="R100" s="378"/>
      <c r="S100" s="378"/>
      <c r="T100" s="378"/>
      <c r="U100" s="378"/>
      <c r="V100" s="378"/>
      <c r="W100" s="378"/>
      <c r="X100" s="378"/>
      <c r="Y100" s="378"/>
      <c r="Z100" s="378"/>
      <c r="AA100" s="378"/>
      <c r="AB100" s="378"/>
      <c r="AC100" s="378"/>
      <c r="AD100" s="378"/>
      <c r="AE100" s="378"/>
      <c r="AF100" s="378"/>
      <c r="AG100" s="378"/>
      <c r="AH100" s="378"/>
      <c r="AI100" s="378"/>
      <c r="AJ100" s="378"/>
      <c r="AK100" s="378"/>
      <c r="AL100" s="378"/>
      <c r="AM100" s="378"/>
      <c r="AN100" s="378"/>
      <c r="AO100" s="378"/>
      <c r="AP100" s="378"/>
      <c r="AQ100" s="378"/>
      <c r="AR100" s="378"/>
      <c r="AS100" s="378"/>
      <c r="AT100" s="378"/>
      <c r="AU100" s="378"/>
      <c r="AV100" s="378"/>
      <c r="AW100" s="378"/>
      <c r="AX100" s="378"/>
      <c r="AY100" s="378"/>
      <c r="AZ100" s="378"/>
      <c r="BA100" s="378"/>
      <c r="BB100" s="378"/>
      <c r="BC100" s="378"/>
      <c r="BD100" s="378"/>
      <c r="BE100" s="378"/>
      <c r="BF100" s="378"/>
      <c r="BG100" s="378"/>
      <c r="BH100" s="378"/>
      <c r="BI100" s="378"/>
      <c r="BJ100" s="378"/>
      <c r="BK100" s="378"/>
      <c r="BL100" s="378"/>
      <c r="BM100" s="378"/>
      <c r="BN100" s="378"/>
      <c r="BO100" s="378"/>
      <c r="BP100" s="378"/>
      <c r="BQ100" s="378"/>
      <c r="BR100" s="378"/>
      <c r="BS100" s="378"/>
      <c r="BT100" s="378"/>
      <c r="BU100" s="378"/>
      <c r="BV100" s="378"/>
      <c r="BW100" s="378"/>
      <c r="BX100" s="378"/>
      <c r="BY100" s="378"/>
      <c r="BZ100" s="378"/>
      <c r="CA100" s="378"/>
      <c r="CB100" s="378"/>
      <c r="CC100" s="378"/>
      <c r="CD100" s="378"/>
      <c r="CE100" s="378"/>
      <c r="CF100" s="378"/>
      <c r="CG100" s="378"/>
      <c r="CH100" s="378"/>
      <c r="CI100" s="378"/>
      <c r="CJ100" s="378"/>
      <c r="CK100" s="378"/>
      <c r="CL100" s="378"/>
      <c r="CM100" s="378"/>
      <c r="CN100" s="378"/>
      <c r="CO100" s="378"/>
      <c r="CP100" s="378"/>
      <c r="CQ100" s="378"/>
      <c r="CR100" s="378"/>
      <c r="CS100" s="378"/>
      <c r="CT100" s="378"/>
    </row>
    <row r="101" spans="1:98" x14ac:dyDescent="0.25">
      <c r="A101" s="378"/>
      <c r="B101" s="378"/>
      <c r="C101" s="378"/>
      <c r="D101" s="378"/>
      <c r="E101" s="378"/>
      <c r="F101" s="378"/>
      <c r="G101" s="378"/>
      <c r="H101" s="378"/>
      <c r="I101" s="378"/>
      <c r="J101" s="378"/>
      <c r="K101" s="378"/>
      <c r="L101" s="378"/>
      <c r="M101" s="378"/>
      <c r="N101" s="378"/>
      <c r="O101" s="378"/>
      <c r="P101" s="378"/>
      <c r="Q101" s="378"/>
      <c r="R101" s="378"/>
      <c r="S101" s="378"/>
      <c r="T101" s="378"/>
      <c r="U101" s="378"/>
      <c r="V101" s="378"/>
      <c r="W101" s="378"/>
      <c r="X101" s="378"/>
      <c r="Y101" s="378"/>
      <c r="Z101" s="378"/>
      <c r="AA101" s="378"/>
      <c r="AB101" s="378"/>
      <c r="AC101" s="378"/>
      <c r="AD101" s="378"/>
      <c r="AE101" s="378"/>
      <c r="AF101" s="378"/>
      <c r="AG101" s="378"/>
      <c r="AH101" s="378"/>
      <c r="AI101" s="378"/>
      <c r="AJ101" s="378"/>
      <c r="AK101" s="378"/>
      <c r="AL101" s="378"/>
      <c r="AM101" s="378"/>
      <c r="AN101" s="378"/>
      <c r="AO101" s="378"/>
      <c r="AP101" s="378"/>
      <c r="AQ101" s="378"/>
      <c r="AR101" s="378"/>
      <c r="AS101" s="378"/>
      <c r="AT101" s="378"/>
      <c r="AU101" s="378"/>
      <c r="AV101" s="378"/>
      <c r="AW101" s="378"/>
      <c r="AX101" s="378"/>
      <c r="AY101" s="378"/>
      <c r="AZ101" s="378"/>
      <c r="BA101" s="378"/>
      <c r="BB101" s="378"/>
      <c r="BC101" s="378"/>
      <c r="BD101" s="378"/>
      <c r="BE101" s="378"/>
      <c r="BF101" s="378"/>
      <c r="BG101" s="378"/>
      <c r="BH101" s="378"/>
      <c r="BI101" s="378"/>
      <c r="BJ101" s="378"/>
      <c r="BK101" s="378"/>
      <c r="BL101" s="378"/>
      <c r="BM101" s="378"/>
      <c r="BN101" s="378"/>
      <c r="BO101" s="378"/>
      <c r="BP101" s="378"/>
      <c r="BQ101" s="378"/>
      <c r="BR101" s="378"/>
      <c r="BS101" s="378"/>
      <c r="BT101" s="378"/>
      <c r="BU101" s="378"/>
      <c r="BV101" s="378"/>
      <c r="BW101" s="378"/>
      <c r="BX101" s="378"/>
      <c r="BY101" s="378"/>
      <c r="BZ101" s="378"/>
      <c r="CA101" s="378"/>
      <c r="CB101" s="378"/>
      <c r="CC101" s="378"/>
      <c r="CD101" s="378"/>
      <c r="CE101" s="378"/>
      <c r="CF101" s="378"/>
      <c r="CG101" s="378"/>
      <c r="CH101" s="378"/>
      <c r="CI101" s="378"/>
      <c r="CJ101" s="378"/>
      <c r="CK101" s="378"/>
      <c r="CL101" s="378"/>
      <c r="CM101" s="378"/>
      <c r="CN101" s="378"/>
      <c r="CO101" s="378"/>
      <c r="CP101" s="378"/>
      <c r="CQ101" s="378"/>
      <c r="CR101" s="378"/>
      <c r="CS101" s="378"/>
      <c r="CT101" s="378"/>
    </row>
    <row r="102" spans="1:98" x14ac:dyDescent="0.25">
      <c r="A102" s="378"/>
      <c r="B102" s="378"/>
      <c r="C102" s="378"/>
      <c r="D102" s="378"/>
      <c r="E102" s="378"/>
      <c r="F102" s="378"/>
      <c r="G102" s="378"/>
      <c r="H102" s="378"/>
      <c r="I102" s="378"/>
      <c r="J102" s="378"/>
      <c r="K102" s="378"/>
      <c r="L102" s="378"/>
      <c r="M102" s="378"/>
      <c r="N102" s="378"/>
      <c r="O102" s="378"/>
      <c r="P102" s="378"/>
      <c r="Q102" s="378"/>
      <c r="R102" s="378"/>
      <c r="S102" s="378"/>
      <c r="T102" s="378"/>
      <c r="U102" s="378"/>
      <c r="V102" s="378"/>
      <c r="W102" s="378"/>
      <c r="X102" s="378"/>
      <c r="Y102" s="378"/>
      <c r="Z102" s="378"/>
      <c r="AA102" s="378"/>
      <c r="AB102" s="378"/>
      <c r="AC102" s="378"/>
      <c r="AD102" s="378"/>
      <c r="AE102" s="378"/>
      <c r="AF102" s="378"/>
      <c r="AG102" s="378"/>
      <c r="AH102" s="378"/>
      <c r="AI102" s="378"/>
      <c r="AJ102" s="378"/>
      <c r="AK102" s="378"/>
      <c r="AL102" s="378"/>
      <c r="AM102" s="378"/>
      <c r="AN102" s="378"/>
      <c r="AO102" s="378"/>
      <c r="AP102" s="378"/>
      <c r="AQ102" s="378"/>
      <c r="AR102" s="378"/>
      <c r="AS102" s="378"/>
      <c r="AT102" s="378"/>
      <c r="AU102" s="378"/>
      <c r="AV102" s="378"/>
      <c r="AW102" s="378"/>
      <c r="AX102" s="378"/>
      <c r="AY102" s="378"/>
      <c r="AZ102" s="378"/>
      <c r="BA102" s="378"/>
      <c r="BB102" s="378"/>
      <c r="BC102" s="378"/>
      <c r="BD102" s="378"/>
      <c r="BE102" s="378"/>
      <c r="BF102" s="378"/>
      <c r="BG102" s="378"/>
      <c r="BH102" s="378"/>
      <c r="BI102" s="378"/>
      <c r="BJ102" s="378"/>
      <c r="BK102" s="378"/>
      <c r="BL102" s="378"/>
      <c r="BM102" s="378"/>
      <c r="BN102" s="378"/>
      <c r="BO102" s="378"/>
      <c r="BP102" s="378"/>
      <c r="BQ102" s="378"/>
      <c r="BR102" s="378"/>
      <c r="BS102" s="378"/>
      <c r="BT102" s="378"/>
      <c r="BU102" s="378"/>
      <c r="BV102" s="378"/>
      <c r="BW102" s="378"/>
      <c r="BX102" s="378"/>
      <c r="BY102" s="378"/>
      <c r="BZ102" s="378"/>
      <c r="CA102" s="378"/>
      <c r="CB102" s="378"/>
      <c r="CC102" s="378"/>
      <c r="CD102" s="378"/>
      <c r="CE102" s="378"/>
      <c r="CF102" s="378"/>
      <c r="CG102" s="378"/>
      <c r="CH102" s="378"/>
      <c r="CI102" s="378"/>
      <c r="CJ102" s="378"/>
      <c r="CK102" s="378"/>
      <c r="CL102" s="378"/>
      <c r="CM102" s="378"/>
      <c r="CN102" s="378"/>
      <c r="CO102" s="378"/>
      <c r="CP102" s="378"/>
      <c r="CQ102" s="378"/>
      <c r="CR102" s="378"/>
      <c r="CS102" s="378"/>
      <c r="CT102" s="378"/>
    </row>
    <row r="103" spans="1:98" x14ac:dyDescent="0.25">
      <c r="A103" s="378"/>
      <c r="B103" s="378"/>
      <c r="C103" s="378"/>
      <c r="D103" s="378"/>
      <c r="E103" s="378"/>
      <c r="F103" s="378"/>
      <c r="G103" s="378"/>
      <c r="H103" s="378"/>
      <c r="I103" s="378"/>
      <c r="J103" s="378"/>
      <c r="K103" s="378"/>
      <c r="L103" s="378"/>
      <c r="M103" s="378"/>
      <c r="N103" s="378"/>
      <c r="O103" s="378"/>
      <c r="P103" s="378"/>
      <c r="Q103" s="378"/>
      <c r="R103" s="378"/>
      <c r="S103" s="378"/>
      <c r="T103" s="378"/>
      <c r="U103" s="378"/>
      <c r="V103" s="378"/>
      <c r="W103" s="378"/>
      <c r="X103" s="378"/>
      <c r="Y103" s="378"/>
      <c r="Z103" s="378"/>
      <c r="AA103" s="378"/>
      <c r="AB103" s="378"/>
      <c r="AC103" s="378"/>
      <c r="AD103" s="378"/>
      <c r="AE103" s="378"/>
      <c r="AF103" s="378"/>
      <c r="AG103" s="378"/>
      <c r="AH103" s="378"/>
      <c r="AI103" s="378"/>
      <c r="AJ103" s="378"/>
      <c r="AK103" s="378"/>
      <c r="AL103" s="378"/>
      <c r="AM103" s="378"/>
      <c r="AN103" s="378"/>
      <c r="AO103" s="378"/>
      <c r="AP103" s="378"/>
      <c r="AQ103" s="378"/>
      <c r="AR103" s="378"/>
      <c r="AS103" s="378"/>
      <c r="AT103" s="378"/>
      <c r="AU103" s="378"/>
      <c r="AV103" s="378"/>
      <c r="AW103" s="378"/>
      <c r="AX103" s="378"/>
      <c r="AY103" s="378"/>
      <c r="AZ103" s="378"/>
      <c r="BA103" s="378"/>
      <c r="BB103" s="378"/>
      <c r="BC103" s="378"/>
      <c r="BD103" s="378"/>
      <c r="BE103" s="378"/>
      <c r="BF103" s="378"/>
      <c r="BG103" s="378"/>
      <c r="BH103" s="378"/>
      <c r="BI103" s="378"/>
      <c r="BJ103" s="378"/>
      <c r="BK103" s="378"/>
      <c r="BL103" s="378"/>
      <c r="BM103" s="378"/>
      <c r="BN103" s="378"/>
      <c r="BO103" s="378"/>
      <c r="BP103" s="378"/>
      <c r="BQ103" s="378"/>
      <c r="BR103" s="378"/>
      <c r="BS103" s="378"/>
      <c r="BT103" s="378"/>
      <c r="BU103" s="378"/>
      <c r="BV103" s="378"/>
      <c r="BW103" s="378"/>
      <c r="BX103" s="378"/>
      <c r="BY103" s="378"/>
      <c r="BZ103" s="378"/>
      <c r="CA103" s="378"/>
      <c r="CB103" s="378"/>
      <c r="CC103" s="378"/>
      <c r="CD103" s="378"/>
      <c r="CE103" s="378"/>
      <c r="CF103" s="378"/>
      <c r="CG103" s="378"/>
      <c r="CH103" s="378"/>
      <c r="CI103" s="378"/>
      <c r="CJ103" s="378"/>
      <c r="CK103" s="378"/>
      <c r="CL103" s="378"/>
      <c r="CM103" s="378"/>
      <c r="CN103" s="378"/>
      <c r="CO103" s="378"/>
      <c r="CP103" s="378"/>
      <c r="CQ103" s="378"/>
      <c r="CR103" s="378"/>
      <c r="CS103" s="378"/>
      <c r="CT103" s="378"/>
    </row>
    <row r="104" spans="1:98" x14ac:dyDescent="0.25">
      <c r="A104" s="378"/>
      <c r="B104" s="378"/>
      <c r="C104" s="378"/>
      <c r="D104" s="378"/>
      <c r="E104" s="378"/>
      <c r="F104" s="378"/>
      <c r="G104" s="378"/>
      <c r="H104" s="378"/>
      <c r="I104" s="378"/>
      <c r="J104" s="378"/>
      <c r="K104" s="378"/>
      <c r="L104" s="378"/>
      <c r="M104" s="378"/>
      <c r="N104" s="378"/>
      <c r="O104" s="378"/>
      <c r="P104" s="378"/>
      <c r="Q104" s="378"/>
      <c r="R104" s="378"/>
      <c r="S104" s="378"/>
      <c r="T104" s="378"/>
      <c r="U104" s="378"/>
      <c r="V104" s="378"/>
      <c r="W104" s="378"/>
      <c r="X104" s="378"/>
      <c r="Y104" s="378"/>
      <c r="Z104" s="378"/>
      <c r="AA104" s="378"/>
      <c r="AB104" s="378"/>
      <c r="AC104" s="378"/>
      <c r="AD104" s="378"/>
      <c r="AE104" s="378"/>
      <c r="AF104" s="378"/>
      <c r="AG104" s="378"/>
      <c r="AH104" s="378"/>
      <c r="AI104" s="378"/>
      <c r="AJ104" s="378"/>
      <c r="AK104" s="378"/>
      <c r="AL104" s="378"/>
      <c r="AM104" s="378"/>
      <c r="AN104" s="378"/>
      <c r="AO104" s="378"/>
      <c r="AP104" s="378"/>
      <c r="AQ104" s="378"/>
      <c r="AR104" s="378"/>
      <c r="AS104" s="378"/>
      <c r="AT104" s="378"/>
      <c r="AU104" s="378"/>
      <c r="AV104" s="378"/>
      <c r="AW104" s="378"/>
      <c r="AX104" s="378"/>
      <c r="AY104" s="378"/>
      <c r="AZ104" s="378"/>
      <c r="BA104" s="378"/>
      <c r="BB104" s="378"/>
      <c r="BC104" s="378"/>
      <c r="BD104" s="378"/>
      <c r="BE104" s="378"/>
      <c r="BF104" s="378"/>
      <c r="BG104" s="378"/>
      <c r="BH104" s="378"/>
      <c r="BI104" s="378"/>
      <c r="BJ104" s="378"/>
      <c r="BK104" s="378"/>
      <c r="BL104" s="378"/>
      <c r="BM104" s="378"/>
      <c r="BN104" s="378"/>
      <c r="BO104" s="378"/>
      <c r="BP104" s="378"/>
      <c r="BQ104" s="378"/>
      <c r="BR104" s="378"/>
      <c r="BS104" s="378"/>
      <c r="BT104" s="378"/>
      <c r="BU104" s="378"/>
      <c r="BV104" s="378"/>
      <c r="BW104" s="378"/>
      <c r="BX104" s="378"/>
      <c r="BY104" s="378"/>
      <c r="BZ104" s="378"/>
      <c r="CA104" s="378"/>
      <c r="CB104" s="378"/>
      <c r="CC104" s="378"/>
      <c r="CD104" s="378"/>
      <c r="CE104" s="378"/>
      <c r="CF104" s="378"/>
      <c r="CG104" s="378"/>
      <c r="CH104" s="378"/>
      <c r="CI104" s="378"/>
      <c r="CJ104" s="378"/>
      <c r="CK104" s="378"/>
      <c r="CL104" s="378"/>
      <c r="CM104" s="378"/>
      <c r="CN104" s="378"/>
      <c r="CO104" s="378"/>
      <c r="CP104" s="378"/>
      <c r="CQ104" s="378"/>
      <c r="CR104" s="378"/>
      <c r="CS104" s="378"/>
      <c r="CT104" s="378"/>
    </row>
    <row r="105" spans="1:98" x14ac:dyDescent="0.25">
      <c r="A105" s="378"/>
      <c r="B105" s="378"/>
      <c r="C105" s="378"/>
      <c r="D105" s="378"/>
      <c r="E105" s="378"/>
      <c r="F105" s="378"/>
      <c r="G105" s="378"/>
      <c r="H105" s="378"/>
      <c r="I105" s="378"/>
      <c r="J105" s="378"/>
      <c r="K105" s="378"/>
      <c r="L105" s="378"/>
      <c r="M105" s="378"/>
      <c r="N105" s="378"/>
      <c r="O105" s="378"/>
      <c r="P105" s="378"/>
      <c r="Q105" s="378"/>
      <c r="R105" s="378"/>
      <c r="S105" s="378"/>
      <c r="T105" s="378"/>
      <c r="U105" s="378"/>
      <c r="V105" s="378"/>
      <c r="W105" s="378"/>
      <c r="X105" s="378"/>
      <c r="Y105" s="378"/>
      <c r="Z105" s="378"/>
      <c r="AA105" s="378"/>
      <c r="AB105" s="378"/>
      <c r="AC105" s="378"/>
      <c r="AD105" s="378"/>
      <c r="AE105" s="378"/>
      <c r="AF105" s="378"/>
      <c r="AG105" s="378"/>
      <c r="AH105" s="378"/>
      <c r="AI105" s="378"/>
      <c r="AJ105" s="378"/>
      <c r="AK105" s="378"/>
      <c r="AL105" s="378"/>
      <c r="AM105" s="378"/>
      <c r="AN105" s="378"/>
      <c r="AO105" s="378"/>
      <c r="AP105" s="378"/>
      <c r="AQ105" s="378"/>
      <c r="AR105" s="378"/>
      <c r="AS105" s="378"/>
      <c r="AT105" s="378"/>
      <c r="AU105" s="378"/>
      <c r="AV105" s="378"/>
      <c r="AW105" s="378"/>
      <c r="AX105" s="378"/>
      <c r="AY105" s="378"/>
      <c r="AZ105" s="378"/>
      <c r="BA105" s="378"/>
      <c r="BB105" s="378"/>
      <c r="BC105" s="378"/>
      <c r="BD105" s="378"/>
      <c r="BE105" s="378"/>
      <c r="BF105" s="378"/>
      <c r="BG105" s="378"/>
      <c r="BH105" s="378"/>
      <c r="BI105" s="378"/>
      <c r="BJ105" s="378"/>
      <c r="BK105" s="378"/>
      <c r="BL105" s="378"/>
      <c r="BM105" s="378"/>
      <c r="BN105" s="378"/>
      <c r="BO105" s="378"/>
      <c r="BP105" s="378"/>
      <c r="BQ105" s="378"/>
      <c r="BR105" s="378"/>
      <c r="BS105" s="378"/>
      <c r="BT105" s="378"/>
      <c r="BU105" s="378"/>
      <c r="BV105" s="378"/>
      <c r="BW105" s="378"/>
      <c r="BX105" s="378"/>
      <c r="BY105" s="378"/>
      <c r="BZ105" s="378"/>
      <c r="CA105" s="378"/>
      <c r="CB105" s="378"/>
      <c r="CC105" s="378"/>
      <c r="CD105" s="378"/>
      <c r="CE105" s="378"/>
      <c r="CF105" s="378"/>
      <c r="CG105" s="378"/>
      <c r="CH105" s="378"/>
      <c r="CI105" s="378"/>
      <c r="CJ105" s="378"/>
      <c r="CK105" s="378"/>
      <c r="CL105" s="378"/>
      <c r="CM105" s="378"/>
      <c r="CN105" s="378"/>
      <c r="CO105" s="378"/>
      <c r="CP105" s="378"/>
      <c r="CQ105" s="378"/>
      <c r="CR105" s="378"/>
      <c r="CS105" s="378"/>
      <c r="CT105" s="378"/>
    </row>
    <row r="106" spans="1:98" x14ac:dyDescent="0.25">
      <c r="A106" s="378"/>
      <c r="B106" s="378"/>
      <c r="C106" s="378"/>
      <c r="D106" s="378"/>
      <c r="E106" s="378"/>
      <c r="F106" s="378"/>
      <c r="G106" s="378"/>
      <c r="H106" s="378"/>
      <c r="I106" s="378"/>
      <c r="J106" s="378"/>
      <c r="K106" s="378"/>
      <c r="L106" s="378"/>
      <c r="M106" s="378"/>
      <c r="N106" s="378"/>
      <c r="O106" s="378"/>
      <c r="P106" s="378"/>
      <c r="Q106" s="378"/>
      <c r="R106" s="378"/>
      <c r="S106" s="378"/>
      <c r="T106" s="378"/>
      <c r="U106" s="378"/>
      <c r="V106" s="378"/>
      <c r="W106" s="378"/>
      <c r="X106" s="378"/>
      <c r="Y106" s="378"/>
      <c r="Z106" s="378"/>
      <c r="AA106" s="378"/>
      <c r="AB106" s="378"/>
      <c r="AC106" s="378"/>
      <c r="AD106" s="378"/>
      <c r="AE106" s="378"/>
      <c r="AF106" s="378"/>
      <c r="AG106" s="378"/>
      <c r="AH106" s="378"/>
      <c r="AI106" s="378"/>
      <c r="AJ106" s="378"/>
      <c r="AK106" s="378"/>
      <c r="AL106" s="378"/>
      <c r="AM106" s="378"/>
      <c r="AN106" s="378"/>
      <c r="AO106" s="378"/>
      <c r="AP106" s="378"/>
      <c r="AQ106" s="378"/>
      <c r="AR106" s="378"/>
      <c r="AS106" s="378"/>
      <c r="AT106" s="378"/>
      <c r="AU106" s="378"/>
      <c r="AV106" s="378"/>
      <c r="AW106" s="378"/>
      <c r="AX106" s="378"/>
      <c r="AY106" s="378"/>
      <c r="AZ106" s="378"/>
      <c r="BA106" s="378"/>
      <c r="BB106" s="378"/>
      <c r="BC106" s="378"/>
      <c r="BD106" s="378"/>
      <c r="BE106" s="378"/>
      <c r="BF106" s="378"/>
      <c r="BG106" s="378"/>
      <c r="BH106" s="378"/>
      <c r="BI106" s="378"/>
      <c r="BJ106" s="378"/>
      <c r="BK106" s="378"/>
      <c r="BL106" s="378"/>
      <c r="BM106" s="378"/>
      <c r="BN106" s="378"/>
      <c r="BO106" s="378"/>
      <c r="BP106" s="378"/>
      <c r="BQ106" s="378"/>
      <c r="BR106" s="378"/>
      <c r="BS106" s="378"/>
      <c r="BT106" s="378"/>
      <c r="BU106" s="378"/>
      <c r="BV106" s="378"/>
      <c r="BW106" s="378"/>
      <c r="BX106" s="378"/>
      <c r="BY106" s="378"/>
      <c r="BZ106" s="378"/>
      <c r="CA106" s="378"/>
      <c r="CB106" s="378"/>
      <c r="CC106" s="378"/>
      <c r="CD106" s="378"/>
      <c r="CE106" s="378"/>
      <c r="CF106" s="378"/>
      <c r="CG106" s="378"/>
      <c r="CH106" s="378"/>
      <c r="CI106" s="378"/>
      <c r="CJ106" s="378"/>
      <c r="CK106" s="378"/>
      <c r="CL106" s="378"/>
      <c r="CM106" s="378"/>
      <c r="CN106" s="378"/>
      <c r="CO106" s="378"/>
      <c r="CP106" s="378"/>
      <c r="CQ106" s="378"/>
      <c r="CR106" s="378"/>
      <c r="CS106" s="378"/>
      <c r="CT106" s="378"/>
    </row>
    <row r="107" spans="1:98" x14ac:dyDescent="0.25">
      <c r="A107" s="378"/>
      <c r="B107" s="378"/>
      <c r="C107" s="378"/>
      <c r="D107" s="378"/>
      <c r="E107" s="378"/>
      <c r="F107" s="378"/>
      <c r="G107" s="378"/>
      <c r="H107" s="378"/>
      <c r="I107" s="378"/>
      <c r="J107" s="378"/>
      <c r="K107" s="378"/>
      <c r="L107" s="378"/>
      <c r="M107" s="378"/>
      <c r="N107" s="378"/>
      <c r="O107" s="378"/>
      <c r="P107" s="378"/>
      <c r="Q107" s="378"/>
      <c r="R107" s="378"/>
      <c r="S107" s="378"/>
      <c r="T107" s="378"/>
      <c r="U107" s="378"/>
      <c r="V107" s="378"/>
      <c r="W107" s="378"/>
      <c r="X107" s="378"/>
      <c r="Y107" s="378"/>
      <c r="Z107" s="378"/>
      <c r="AA107" s="378"/>
      <c r="AB107" s="378"/>
      <c r="AC107" s="378"/>
      <c r="AD107" s="378"/>
      <c r="AE107" s="378"/>
      <c r="AF107" s="378"/>
      <c r="AG107" s="378"/>
      <c r="AH107" s="378"/>
      <c r="AI107" s="378"/>
      <c r="AJ107" s="378"/>
      <c r="AK107" s="378"/>
      <c r="AL107" s="378"/>
      <c r="AM107" s="378"/>
      <c r="AN107" s="378"/>
      <c r="AO107" s="378"/>
      <c r="AP107" s="378"/>
      <c r="AQ107" s="378"/>
      <c r="AR107" s="378"/>
      <c r="AS107" s="378"/>
      <c r="AT107" s="378"/>
      <c r="AU107" s="378"/>
      <c r="AV107" s="378"/>
      <c r="AW107" s="378"/>
      <c r="AX107" s="378"/>
      <c r="AY107" s="378"/>
      <c r="AZ107" s="378"/>
      <c r="BA107" s="378"/>
      <c r="BB107" s="378"/>
      <c r="BC107" s="378"/>
      <c r="BD107" s="378"/>
      <c r="BE107" s="378"/>
      <c r="BF107" s="378"/>
      <c r="BG107" s="378"/>
      <c r="BH107" s="378"/>
      <c r="BI107" s="378"/>
      <c r="BJ107" s="378"/>
      <c r="BK107" s="378"/>
      <c r="BL107" s="378"/>
      <c r="BM107" s="378"/>
      <c r="BN107" s="378"/>
      <c r="BO107" s="378"/>
      <c r="BP107" s="378"/>
      <c r="BQ107" s="378"/>
      <c r="BR107" s="378"/>
      <c r="BS107" s="378"/>
      <c r="BT107" s="378"/>
      <c r="BU107" s="378"/>
      <c r="BV107" s="378"/>
      <c r="BW107" s="378"/>
      <c r="BX107" s="378"/>
      <c r="BY107" s="378"/>
      <c r="BZ107" s="378"/>
      <c r="CA107" s="378"/>
      <c r="CB107" s="378"/>
      <c r="CC107" s="378"/>
      <c r="CD107" s="378"/>
      <c r="CE107" s="378"/>
      <c r="CF107" s="378"/>
      <c r="CG107" s="378"/>
      <c r="CH107" s="378"/>
      <c r="CI107" s="378"/>
      <c r="CJ107" s="378"/>
      <c r="CK107" s="378"/>
      <c r="CL107" s="378"/>
      <c r="CM107" s="378"/>
      <c r="CN107" s="378"/>
      <c r="CO107" s="378"/>
      <c r="CP107" s="378"/>
      <c r="CQ107" s="378"/>
      <c r="CR107" s="378"/>
      <c r="CS107" s="378"/>
      <c r="CT107" s="378"/>
    </row>
    <row r="108" spans="1:98" x14ac:dyDescent="0.25">
      <c r="A108" s="378"/>
      <c r="B108" s="378"/>
      <c r="C108" s="378"/>
      <c r="D108" s="378"/>
      <c r="E108" s="378"/>
      <c r="F108" s="378"/>
      <c r="G108" s="378"/>
      <c r="H108" s="378"/>
      <c r="I108" s="378"/>
      <c r="J108" s="378"/>
      <c r="K108" s="378"/>
      <c r="L108" s="378"/>
      <c r="M108" s="378"/>
      <c r="N108" s="378"/>
      <c r="O108" s="378"/>
      <c r="P108" s="378"/>
      <c r="Q108" s="378"/>
      <c r="R108" s="378"/>
      <c r="S108" s="378"/>
      <c r="T108" s="378"/>
      <c r="U108" s="378"/>
      <c r="V108" s="378"/>
      <c r="W108" s="378"/>
      <c r="X108" s="378"/>
      <c r="Y108" s="378"/>
      <c r="Z108" s="378"/>
      <c r="AA108" s="378"/>
      <c r="AB108" s="378"/>
      <c r="AC108" s="378"/>
      <c r="AD108" s="378"/>
      <c r="AE108" s="378"/>
      <c r="AF108" s="378"/>
      <c r="AG108" s="378"/>
      <c r="AH108" s="378"/>
      <c r="AI108" s="378"/>
      <c r="AJ108" s="378"/>
      <c r="AK108" s="378"/>
      <c r="AL108" s="378"/>
      <c r="AM108" s="378"/>
      <c r="AN108" s="378"/>
      <c r="AO108" s="378"/>
      <c r="AP108" s="378"/>
      <c r="AQ108" s="378"/>
      <c r="AR108" s="378"/>
      <c r="AS108" s="378"/>
      <c r="AT108" s="378"/>
      <c r="AU108" s="378"/>
      <c r="AV108" s="378"/>
      <c r="AW108" s="378"/>
      <c r="AX108" s="378"/>
      <c r="AY108" s="378"/>
      <c r="AZ108" s="378"/>
      <c r="BA108" s="378"/>
      <c r="BB108" s="378"/>
      <c r="BC108" s="378"/>
      <c r="BD108" s="378"/>
      <c r="BE108" s="378"/>
      <c r="BF108" s="378"/>
      <c r="BG108" s="378"/>
      <c r="BH108" s="378"/>
      <c r="BI108" s="378"/>
      <c r="BJ108" s="378"/>
      <c r="BK108" s="378"/>
      <c r="BL108" s="378"/>
      <c r="BM108" s="378"/>
      <c r="BN108" s="378"/>
      <c r="BO108" s="378"/>
      <c r="BP108" s="378"/>
      <c r="BQ108" s="378"/>
      <c r="BR108" s="378"/>
      <c r="BS108" s="378"/>
      <c r="BT108" s="378"/>
      <c r="BU108" s="378"/>
      <c r="BV108" s="378"/>
      <c r="BW108" s="378"/>
      <c r="BX108" s="378"/>
      <c r="BY108" s="378"/>
      <c r="BZ108" s="378"/>
      <c r="CA108" s="378"/>
      <c r="CB108" s="378"/>
      <c r="CC108" s="378"/>
      <c r="CD108" s="378"/>
      <c r="CE108" s="378"/>
      <c r="CF108" s="378"/>
      <c r="CG108" s="378"/>
      <c r="CH108" s="378"/>
      <c r="CI108" s="378"/>
      <c r="CJ108" s="378"/>
      <c r="CK108" s="378"/>
      <c r="CL108" s="378"/>
      <c r="CM108" s="378"/>
      <c r="CN108" s="378"/>
      <c r="CO108" s="378"/>
      <c r="CP108" s="378"/>
      <c r="CQ108" s="378"/>
      <c r="CR108" s="378"/>
      <c r="CS108" s="378"/>
      <c r="CT108" s="378"/>
    </row>
    <row r="109" spans="1:98" x14ac:dyDescent="0.25">
      <c r="A109" s="378"/>
      <c r="B109" s="378"/>
      <c r="C109" s="378"/>
      <c r="D109" s="378"/>
      <c r="E109" s="378"/>
      <c r="F109" s="378"/>
      <c r="G109" s="378"/>
      <c r="H109" s="378"/>
      <c r="I109" s="378"/>
      <c r="J109" s="378"/>
      <c r="K109" s="378"/>
      <c r="L109" s="378"/>
      <c r="M109" s="378"/>
      <c r="N109" s="378"/>
      <c r="O109" s="378"/>
      <c r="P109" s="378"/>
      <c r="Q109" s="378"/>
      <c r="R109" s="378"/>
      <c r="S109" s="378"/>
      <c r="T109" s="378"/>
      <c r="U109" s="378"/>
      <c r="V109" s="378"/>
      <c r="W109" s="378"/>
      <c r="X109" s="378"/>
      <c r="Y109" s="378"/>
      <c r="Z109" s="378"/>
      <c r="AA109" s="378"/>
      <c r="AB109" s="378"/>
      <c r="AC109" s="378"/>
      <c r="AD109" s="378"/>
      <c r="AE109" s="378"/>
      <c r="AF109" s="378"/>
      <c r="AG109" s="378"/>
      <c r="AH109" s="378"/>
      <c r="AI109" s="378"/>
      <c r="AJ109" s="378"/>
      <c r="AK109" s="378"/>
      <c r="AL109" s="378"/>
      <c r="AM109" s="378"/>
      <c r="AN109" s="378"/>
      <c r="AO109" s="378"/>
      <c r="AP109" s="378"/>
      <c r="AQ109" s="378"/>
      <c r="AR109" s="378"/>
      <c r="AS109" s="378"/>
      <c r="AT109" s="378"/>
      <c r="AU109" s="378"/>
      <c r="AV109" s="378"/>
      <c r="AW109" s="378"/>
      <c r="AX109" s="378"/>
      <c r="AY109" s="378"/>
      <c r="AZ109" s="378"/>
      <c r="BA109" s="378"/>
      <c r="BB109" s="378"/>
      <c r="BC109" s="378"/>
      <c r="BD109" s="378"/>
      <c r="BE109" s="378"/>
      <c r="BF109" s="378"/>
      <c r="BG109" s="378"/>
      <c r="BH109" s="378"/>
      <c r="BI109" s="378"/>
      <c r="BJ109" s="378"/>
      <c r="BK109" s="378"/>
      <c r="BL109" s="378"/>
      <c r="BM109" s="378"/>
      <c r="BN109" s="378"/>
      <c r="BO109" s="378"/>
      <c r="BP109" s="378"/>
      <c r="BQ109" s="378"/>
      <c r="BR109" s="378"/>
      <c r="BS109" s="378"/>
      <c r="BT109" s="378"/>
      <c r="BU109" s="378"/>
      <c r="BV109" s="378"/>
      <c r="BW109" s="378"/>
      <c r="BX109" s="378"/>
      <c r="BY109" s="378"/>
      <c r="BZ109" s="378"/>
      <c r="CA109" s="378"/>
      <c r="CB109" s="378"/>
      <c r="CC109" s="378"/>
      <c r="CD109" s="378"/>
      <c r="CE109" s="378"/>
      <c r="CF109" s="378"/>
      <c r="CG109" s="378"/>
      <c r="CH109" s="378"/>
      <c r="CI109" s="378"/>
      <c r="CJ109" s="378"/>
      <c r="CK109" s="378"/>
      <c r="CL109" s="378"/>
      <c r="CM109" s="378"/>
      <c r="CN109" s="378"/>
      <c r="CO109" s="378"/>
      <c r="CP109" s="378"/>
      <c r="CQ109" s="378"/>
      <c r="CR109" s="378"/>
      <c r="CS109" s="378"/>
      <c r="CT109" s="378"/>
    </row>
    <row r="110" spans="1:98" x14ac:dyDescent="0.25">
      <c r="A110" s="378"/>
      <c r="B110" s="378"/>
      <c r="C110" s="378"/>
      <c r="D110" s="378"/>
      <c r="E110" s="378"/>
      <c r="F110" s="378"/>
      <c r="G110" s="378"/>
      <c r="H110" s="378"/>
      <c r="I110" s="378"/>
      <c r="J110" s="378"/>
      <c r="K110" s="378"/>
      <c r="L110" s="378"/>
      <c r="M110" s="378"/>
      <c r="N110" s="378"/>
      <c r="O110" s="378"/>
      <c r="P110" s="378"/>
      <c r="Q110" s="378"/>
      <c r="R110" s="378"/>
      <c r="S110" s="378"/>
      <c r="T110" s="378"/>
      <c r="U110" s="378"/>
      <c r="V110" s="378"/>
      <c r="W110" s="378"/>
      <c r="X110" s="378"/>
      <c r="Y110" s="378"/>
      <c r="Z110" s="378"/>
      <c r="AA110" s="378"/>
      <c r="AB110" s="378"/>
      <c r="AC110" s="378"/>
      <c r="AD110" s="378"/>
      <c r="AE110" s="378"/>
      <c r="AF110" s="378"/>
      <c r="AG110" s="378"/>
      <c r="AH110" s="378"/>
      <c r="AI110" s="378"/>
      <c r="AJ110" s="378"/>
      <c r="AK110" s="378"/>
      <c r="AL110" s="378"/>
      <c r="AM110" s="378"/>
      <c r="AN110" s="378"/>
      <c r="AO110" s="378"/>
      <c r="AP110" s="378"/>
      <c r="AQ110" s="378"/>
      <c r="AR110" s="378"/>
      <c r="AS110" s="378"/>
      <c r="AT110" s="378"/>
      <c r="AU110" s="378"/>
      <c r="AV110" s="378"/>
      <c r="AW110" s="378"/>
      <c r="AX110" s="378"/>
      <c r="AY110" s="378"/>
      <c r="AZ110" s="378"/>
      <c r="BA110" s="378"/>
      <c r="BB110" s="378"/>
      <c r="BC110" s="378"/>
      <c r="BD110" s="378"/>
      <c r="BE110" s="378"/>
      <c r="BF110" s="378"/>
      <c r="BG110" s="378"/>
      <c r="BH110" s="378"/>
      <c r="BI110" s="378"/>
      <c r="BJ110" s="378"/>
      <c r="BK110" s="378"/>
      <c r="BL110" s="378"/>
      <c r="BM110" s="378"/>
      <c r="BN110" s="378"/>
      <c r="BO110" s="378"/>
      <c r="BP110" s="378"/>
      <c r="BQ110" s="378"/>
      <c r="BR110" s="378"/>
      <c r="BS110" s="378"/>
      <c r="BT110" s="378"/>
      <c r="BU110" s="378"/>
      <c r="BV110" s="378"/>
      <c r="BW110" s="378"/>
      <c r="BX110" s="378"/>
      <c r="BY110" s="378"/>
      <c r="BZ110" s="378"/>
      <c r="CA110" s="378"/>
      <c r="CB110" s="378"/>
      <c r="CC110" s="378"/>
      <c r="CD110" s="378"/>
      <c r="CE110" s="378"/>
      <c r="CF110" s="378"/>
      <c r="CG110" s="378"/>
      <c r="CH110" s="378"/>
      <c r="CI110" s="378"/>
      <c r="CJ110" s="378"/>
      <c r="CK110" s="378"/>
      <c r="CL110" s="378"/>
      <c r="CM110" s="378"/>
      <c r="CN110" s="378"/>
      <c r="CO110" s="378"/>
      <c r="CP110" s="378"/>
      <c r="CQ110" s="378"/>
      <c r="CR110" s="378"/>
      <c r="CS110" s="378"/>
      <c r="CT110" s="378"/>
    </row>
    <row r="111" spans="1:98" x14ac:dyDescent="0.25">
      <c r="A111" s="378"/>
      <c r="B111" s="378"/>
      <c r="C111" s="378"/>
      <c r="D111" s="378"/>
      <c r="E111" s="378"/>
      <c r="F111" s="378"/>
      <c r="G111" s="378"/>
      <c r="H111" s="378"/>
      <c r="I111" s="378"/>
      <c r="J111" s="378"/>
      <c r="K111" s="378"/>
      <c r="L111" s="378"/>
      <c r="M111" s="378"/>
      <c r="N111" s="378"/>
      <c r="O111" s="378"/>
      <c r="P111" s="378"/>
      <c r="Q111" s="378"/>
      <c r="R111" s="378"/>
      <c r="S111" s="378"/>
      <c r="T111" s="378"/>
      <c r="U111" s="378"/>
      <c r="V111" s="378"/>
      <c r="W111" s="378"/>
      <c r="X111" s="378"/>
      <c r="Y111" s="378"/>
      <c r="Z111" s="378"/>
      <c r="AA111" s="378"/>
      <c r="AB111" s="378"/>
      <c r="AC111" s="378"/>
      <c r="AD111" s="378"/>
      <c r="AE111" s="378"/>
      <c r="AF111" s="378"/>
      <c r="AG111" s="378"/>
      <c r="AH111" s="378"/>
      <c r="AI111" s="378"/>
      <c r="AJ111" s="378"/>
      <c r="AK111" s="378"/>
      <c r="AL111" s="378"/>
      <c r="AM111" s="378"/>
      <c r="AN111" s="378"/>
      <c r="AO111" s="378"/>
      <c r="AP111" s="378"/>
      <c r="AQ111" s="378"/>
      <c r="AR111" s="378"/>
      <c r="AS111" s="378"/>
      <c r="AT111" s="378"/>
      <c r="AU111" s="378"/>
      <c r="AV111" s="378"/>
      <c r="AW111" s="378"/>
      <c r="AX111" s="378"/>
      <c r="AY111" s="378"/>
      <c r="AZ111" s="378"/>
      <c r="BA111" s="378"/>
      <c r="BB111" s="378"/>
      <c r="BC111" s="378"/>
      <c r="BD111" s="378"/>
      <c r="BE111" s="378"/>
      <c r="BF111" s="378"/>
      <c r="BG111" s="378"/>
      <c r="BH111" s="378"/>
      <c r="BI111" s="378"/>
      <c r="BJ111" s="378"/>
      <c r="BK111" s="378"/>
      <c r="BL111" s="378"/>
      <c r="BM111" s="378"/>
      <c r="BN111" s="378"/>
      <c r="BO111" s="378"/>
      <c r="BP111" s="378"/>
      <c r="BQ111" s="378"/>
      <c r="BR111" s="378"/>
      <c r="BS111" s="378"/>
      <c r="BT111" s="378"/>
      <c r="BU111" s="378"/>
      <c r="BV111" s="378"/>
      <c r="BW111" s="378"/>
      <c r="BX111" s="378"/>
      <c r="BY111" s="378"/>
      <c r="BZ111" s="378"/>
      <c r="CA111" s="378"/>
      <c r="CB111" s="378"/>
      <c r="CC111" s="378"/>
      <c r="CD111" s="378"/>
      <c r="CE111" s="378"/>
      <c r="CF111" s="378"/>
      <c r="CG111" s="378"/>
      <c r="CH111" s="378"/>
      <c r="CI111" s="378"/>
      <c r="CJ111" s="378"/>
      <c r="CK111" s="378"/>
      <c r="CL111" s="378"/>
      <c r="CM111" s="378"/>
      <c r="CN111" s="378"/>
      <c r="CO111" s="378"/>
      <c r="CP111" s="378"/>
      <c r="CQ111" s="378"/>
      <c r="CR111" s="378"/>
      <c r="CS111" s="378"/>
      <c r="CT111" s="378"/>
    </row>
    <row r="112" spans="1:98" x14ac:dyDescent="0.25">
      <c r="A112" s="378"/>
      <c r="B112" s="378"/>
      <c r="C112" s="378"/>
      <c r="D112" s="378"/>
      <c r="E112" s="378"/>
      <c r="F112" s="378"/>
      <c r="G112" s="378"/>
      <c r="H112" s="378"/>
      <c r="I112" s="378"/>
      <c r="J112" s="378"/>
      <c r="K112" s="378"/>
      <c r="L112" s="378"/>
      <c r="M112" s="378"/>
      <c r="N112" s="378"/>
      <c r="O112" s="378"/>
      <c r="P112" s="378"/>
      <c r="Q112" s="378"/>
      <c r="R112" s="378"/>
      <c r="S112" s="378"/>
      <c r="T112" s="378"/>
      <c r="U112" s="378"/>
      <c r="V112" s="378"/>
      <c r="W112" s="378"/>
      <c r="X112" s="378"/>
      <c r="Y112" s="378"/>
      <c r="Z112" s="378"/>
      <c r="AA112" s="378"/>
      <c r="AB112" s="378"/>
      <c r="AC112" s="378"/>
      <c r="AD112" s="378"/>
      <c r="AE112" s="378"/>
      <c r="AF112" s="378"/>
      <c r="AG112" s="378"/>
      <c r="AH112" s="378"/>
      <c r="AI112" s="378"/>
      <c r="AJ112" s="378"/>
      <c r="AK112" s="378"/>
      <c r="AL112" s="378"/>
      <c r="AM112" s="378"/>
      <c r="AN112" s="378"/>
      <c r="AO112" s="378"/>
      <c r="AP112" s="378"/>
      <c r="AQ112" s="378"/>
      <c r="AR112" s="378"/>
      <c r="AS112" s="378"/>
      <c r="AT112" s="378"/>
      <c r="AU112" s="378"/>
      <c r="AV112" s="378"/>
      <c r="AW112" s="378"/>
      <c r="AX112" s="378"/>
      <c r="AY112" s="378"/>
      <c r="AZ112" s="378"/>
      <c r="BA112" s="378"/>
      <c r="BB112" s="378"/>
      <c r="BC112" s="378"/>
      <c r="BD112" s="378"/>
      <c r="BE112" s="378"/>
      <c r="BF112" s="378"/>
      <c r="BG112" s="378"/>
      <c r="BH112" s="378"/>
      <c r="BI112" s="378"/>
      <c r="BJ112" s="378"/>
      <c r="BK112" s="378"/>
      <c r="BL112" s="378"/>
      <c r="BM112" s="378"/>
      <c r="BN112" s="378"/>
      <c r="BO112" s="378"/>
      <c r="BP112" s="378"/>
      <c r="BQ112" s="378"/>
      <c r="BR112" s="378"/>
      <c r="BS112" s="378"/>
      <c r="BT112" s="378"/>
      <c r="BU112" s="378"/>
      <c r="BV112" s="378"/>
      <c r="BW112" s="378"/>
      <c r="BX112" s="378"/>
      <c r="BY112" s="378"/>
      <c r="BZ112" s="378"/>
      <c r="CA112" s="378"/>
      <c r="CB112" s="378"/>
      <c r="CC112" s="378"/>
      <c r="CD112" s="378"/>
      <c r="CE112" s="378"/>
      <c r="CF112" s="378"/>
      <c r="CG112" s="378"/>
      <c r="CH112" s="378"/>
      <c r="CI112" s="378"/>
      <c r="CJ112" s="378"/>
      <c r="CK112" s="378"/>
      <c r="CL112" s="378"/>
      <c r="CM112" s="378"/>
      <c r="CN112" s="378"/>
      <c r="CO112" s="378"/>
      <c r="CP112" s="378"/>
      <c r="CQ112" s="378"/>
      <c r="CR112" s="378"/>
      <c r="CS112" s="378"/>
      <c r="CT112" s="378"/>
    </row>
    <row r="113" spans="1:98" x14ac:dyDescent="0.25">
      <c r="A113" s="378"/>
      <c r="B113" s="378"/>
      <c r="C113" s="378"/>
      <c r="D113" s="378"/>
      <c r="E113" s="378"/>
      <c r="F113" s="378"/>
      <c r="G113" s="378"/>
      <c r="H113" s="378"/>
      <c r="I113" s="378"/>
      <c r="J113" s="378"/>
      <c r="K113" s="378"/>
      <c r="L113" s="378"/>
      <c r="M113" s="378"/>
      <c r="N113" s="378"/>
      <c r="O113" s="378"/>
      <c r="P113" s="378"/>
      <c r="Q113" s="378"/>
      <c r="R113" s="378"/>
      <c r="S113" s="378"/>
      <c r="T113" s="378"/>
      <c r="U113" s="378"/>
      <c r="V113" s="378"/>
      <c r="W113" s="378"/>
      <c r="X113" s="378"/>
      <c r="Y113" s="378"/>
      <c r="Z113" s="378"/>
      <c r="AA113" s="378"/>
      <c r="AB113" s="378"/>
      <c r="AC113" s="378"/>
      <c r="AD113" s="378"/>
      <c r="AE113" s="378"/>
      <c r="AF113" s="378"/>
      <c r="AG113" s="378"/>
      <c r="AH113" s="378"/>
      <c r="AI113" s="378"/>
      <c r="AJ113" s="378"/>
      <c r="AK113" s="378"/>
      <c r="AL113" s="378"/>
      <c r="AM113" s="378"/>
      <c r="AN113" s="378"/>
      <c r="AO113" s="378"/>
      <c r="AP113" s="378"/>
      <c r="AQ113" s="378"/>
      <c r="AR113" s="378"/>
      <c r="AS113" s="378"/>
      <c r="AT113" s="378"/>
      <c r="AU113" s="378"/>
      <c r="AV113" s="378"/>
      <c r="AW113" s="378"/>
      <c r="AX113" s="378"/>
      <c r="AY113" s="378"/>
      <c r="AZ113" s="378"/>
      <c r="BA113" s="378"/>
      <c r="BB113" s="378"/>
      <c r="BC113" s="378"/>
      <c r="BD113" s="378"/>
      <c r="BE113" s="378"/>
      <c r="BF113" s="378"/>
      <c r="BG113" s="378"/>
      <c r="BH113" s="378"/>
      <c r="BI113" s="378"/>
      <c r="BJ113" s="378"/>
      <c r="BK113" s="378"/>
      <c r="BL113" s="378"/>
      <c r="BM113" s="378"/>
      <c r="BN113" s="378"/>
      <c r="BO113" s="378"/>
      <c r="BP113" s="378"/>
      <c r="BQ113" s="378"/>
      <c r="BR113" s="378"/>
      <c r="BS113" s="378"/>
      <c r="BT113" s="378"/>
      <c r="BU113" s="378"/>
      <c r="BV113" s="378"/>
      <c r="BW113" s="378"/>
      <c r="BX113" s="378"/>
      <c r="BY113" s="378"/>
      <c r="BZ113" s="378"/>
      <c r="CA113" s="378"/>
      <c r="CB113" s="378"/>
      <c r="CC113" s="378"/>
      <c r="CD113" s="378"/>
      <c r="CE113" s="378"/>
      <c r="CF113" s="378"/>
      <c r="CG113" s="378"/>
      <c r="CH113" s="378"/>
      <c r="CI113" s="378"/>
      <c r="CJ113" s="378"/>
      <c r="CK113" s="378"/>
      <c r="CL113" s="378"/>
      <c r="CM113" s="378"/>
      <c r="CN113" s="378"/>
      <c r="CO113" s="378"/>
      <c r="CP113" s="378"/>
      <c r="CQ113" s="378"/>
      <c r="CR113" s="378"/>
      <c r="CS113" s="378"/>
      <c r="CT113" s="378"/>
    </row>
    <row r="114" spans="1:98" x14ac:dyDescent="0.25">
      <c r="A114" s="378"/>
      <c r="B114" s="378"/>
      <c r="C114" s="378"/>
      <c r="D114" s="378"/>
      <c r="E114" s="378"/>
      <c r="F114" s="378"/>
      <c r="G114" s="378"/>
      <c r="H114" s="378"/>
      <c r="I114" s="378"/>
      <c r="J114" s="378"/>
      <c r="K114" s="378"/>
      <c r="L114" s="378"/>
      <c r="M114" s="378"/>
      <c r="N114" s="378"/>
      <c r="O114" s="378"/>
      <c r="P114" s="378"/>
      <c r="Q114" s="378"/>
      <c r="R114" s="378"/>
      <c r="S114" s="378"/>
      <c r="T114" s="378"/>
      <c r="U114" s="378"/>
      <c r="V114" s="378"/>
      <c r="W114" s="378"/>
      <c r="X114" s="378"/>
      <c r="Y114" s="378"/>
      <c r="Z114" s="378"/>
      <c r="AA114" s="378"/>
      <c r="AB114" s="378"/>
      <c r="AC114" s="378"/>
      <c r="AD114" s="378"/>
      <c r="AE114" s="378"/>
      <c r="AF114" s="378"/>
      <c r="AG114" s="378"/>
      <c r="AH114" s="378"/>
      <c r="AI114" s="378"/>
      <c r="AJ114" s="378"/>
      <c r="AK114" s="378"/>
      <c r="AL114" s="378"/>
      <c r="AM114" s="378"/>
      <c r="AN114" s="378"/>
      <c r="AO114" s="378"/>
      <c r="AP114" s="378"/>
      <c r="AQ114" s="378"/>
      <c r="AR114" s="378"/>
      <c r="AS114" s="378"/>
      <c r="AT114" s="378"/>
      <c r="AU114" s="378"/>
      <c r="AV114" s="378"/>
      <c r="AW114" s="378"/>
      <c r="AX114" s="378"/>
      <c r="AY114" s="378"/>
      <c r="AZ114" s="378"/>
      <c r="BA114" s="378"/>
      <c r="BB114" s="378"/>
      <c r="BC114" s="378"/>
      <c r="BD114" s="378"/>
      <c r="BE114" s="378"/>
      <c r="BF114" s="378"/>
      <c r="BG114" s="378"/>
      <c r="BH114" s="378"/>
      <c r="BI114" s="378"/>
      <c r="BJ114" s="378"/>
      <c r="BK114" s="378"/>
      <c r="BL114" s="378"/>
      <c r="BM114" s="378"/>
      <c r="BN114" s="378"/>
      <c r="BO114" s="378"/>
      <c r="BP114" s="378"/>
      <c r="BQ114" s="378"/>
      <c r="BR114" s="378"/>
      <c r="BS114" s="378"/>
      <c r="BT114" s="378"/>
      <c r="BU114" s="378"/>
      <c r="BV114" s="378"/>
      <c r="BW114" s="378"/>
      <c r="BX114" s="378"/>
      <c r="BY114" s="378"/>
      <c r="BZ114" s="378"/>
      <c r="CA114" s="378"/>
      <c r="CB114" s="378"/>
      <c r="CC114" s="378"/>
      <c r="CD114" s="378"/>
      <c r="CE114" s="378"/>
      <c r="CF114" s="378"/>
      <c r="CG114" s="378"/>
      <c r="CH114" s="378"/>
      <c r="CI114" s="378"/>
      <c r="CJ114" s="378"/>
      <c r="CK114" s="378"/>
      <c r="CL114" s="378"/>
      <c r="CM114" s="378"/>
      <c r="CN114" s="378"/>
      <c r="CO114" s="378"/>
      <c r="CP114" s="378"/>
      <c r="CQ114" s="378"/>
      <c r="CR114" s="378"/>
      <c r="CS114" s="378"/>
      <c r="CT114" s="378"/>
    </row>
    <row r="115" spans="1:98" x14ac:dyDescent="0.25">
      <c r="A115" s="378"/>
      <c r="B115" s="378"/>
      <c r="C115" s="378"/>
      <c r="D115" s="378"/>
      <c r="E115" s="378"/>
      <c r="F115" s="378"/>
      <c r="G115" s="378"/>
      <c r="H115" s="378"/>
      <c r="I115" s="378"/>
      <c r="J115" s="378"/>
      <c r="K115" s="378"/>
      <c r="L115" s="378"/>
      <c r="M115" s="378"/>
      <c r="N115" s="378"/>
      <c r="O115" s="378"/>
      <c r="P115" s="378"/>
      <c r="Q115" s="378"/>
      <c r="R115" s="378"/>
      <c r="S115" s="378"/>
      <c r="T115" s="378"/>
      <c r="U115" s="378"/>
      <c r="V115" s="378"/>
      <c r="W115" s="378"/>
      <c r="X115" s="378"/>
      <c r="Y115" s="378"/>
      <c r="Z115" s="378"/>
      <c r="AA115" s="378"/>
      <c r="AB115" s="378"/>
      <c r="AC115" s="378"/>
      <c r="AD115" s="378"/>
      <c r="AE115" s="378"/>
      <c r="AF115" s="378"/>
      <c r="AG115" s="378"/>
      <c r="AH115" s="378"/>
      <c r="AI115" s="378"/>
      <c r="AJ115" s="378"/>
      <c r="AK115" s="378"/>
      <c r="AL115" s="378"/>
      <c r="AM115" s="378"/>
      <c r="AN115" s="378"/>
      <c r="AO115" s="378"/>
      <c r="AP115" s="378"/>
      <c r="AQ115" s="378"/>
      <c r="AR115" s="378"/>
      <c r="AS115" s="378"/>
      <c r="AT115" s="378"/>
      <c r="AU115" s="378"/>
      <c r="AV115" s="378"/>
      <c r="AW115" s="378"/>
      <c r="AX115" s="378"/>
      <c r="AY115" s="378"/>
      <c r="AZ115" s="378"/>
      <c r="BA115" s="378"/>
      <c r="BB115" s="378"/>
      <c r="BC115" s="378"/>
      <c r="BD115" s="378"/>
      <c r="BE115" s="378"/>
      <c r="BF115" s="378"/>
      <c r="BG115" s="378"/>
      <c r="BH115" s="378"/>
      <c r="BI115" s="378"/>
      <c r="BJ115" s="378"/>
      <c r="BK115" s="378"/>
      <c r="BL115" s="378"/>
      <c r="BM115" s="378"/>
      <c r="BN115" s="378"/>
      <c r="BO115" s="378"/>
      <c r="BP115" s="378"/>
      <c r="BQ115" s="378"/>
      <c r="BR115" s="378"/>
      <c r="BS115" s="378"/>
      <c r="BT115" s="378"/>
      <c r="BU115" s="378"/>
      <c r="BV115" s="378"/>
      <c r="BW115" s="378"/>
      <c r="BX115" s="378"/>
      <c r="BY115" s="378"/>
      <c r="BZ115" s="378"/>
      <c r="CA115" s="378"/>
      <c r="CB115" s="378"/>
      <c r="CC115" s="378"/>
      <c r="CD115" s="378"/>
      <c r="CE115" s="378"/>
      <c r="CF115" s="378"/>
      <c r="CG115" s="378"/>
      <c r="CH115" s="378"/>
      <c r="CI115" s="378"/>
      <c r="CJ115" s="378"/>
      <c r="CK115" s="378"/>
      <c r="CL115" s="378"/>
      <c r="CM115" s="378"/>
      <c r="CN115" s="378"/>
      <c r="CO115" s="378"/>
      <c r="CP115" s="378"/>
      <c r="CQ115" s="378"/>
      <c r="CR115" s="378"/>
      <c r="CS115" s="378"/>
      <c r="CT115" s="378"/>
    </row>
    <row r="116" spans="1:98" x14ac:dyDescent="0.25">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c r="W116" s="378"/>
      <c r="X116" s="378"/>
      <c r="Y116" s="378"/>
      <c r="Z116" s="378"/>
      <c r="AA116" s="378"/>
      <c r="AB116" s="378"/>
      <c r="AC116" s="378"/>
      <c r="AD116" s="378"/>
      <c r="AE116" s="378"/>
      <c r="AF116" s="378"/>
      <c r="AG116" s="378"/>
      <c r="AH116" s="378"/>
      <c r="AI116" s="378"/>
      <c r="AJ116" s="378"/>
      <c r="AK116" s="378"/>
      <c r="AL116" s="378"/>
      <c r="AM116" s="378"/>
      <c r="AN116" s="378"/>
      <c r="AO116" s="378"/>
      <c r="AP116" s="378"/>
      <c r="AQ116" s="378"/>
      <c r="AR116" s="378"/>
      <c r="AS116" s="378"/>
      <c r="AT116" s="378"/>
      <c r="AU116" s="378"/>
      <c r="AV116" s="378"/>
      <c r="AW116" s="378"/>
      <c r="AX116" s="378"/>
      <c r="AY116" s="378"/>
      <c r="AZ116" s="378"/>
      <c r="BA116" s="378"/>
      <c r="BB116" s="378"/>
      <c r="BC116" s="378"/>
      <c r="BD116" s="378"/>
      <c r="BE116" s="378"/>
      <c r="BF116" s="378"/>
      <c r="BG116" s="378"/>
      <c r="BH116" s="378"/>
      <c r="BI116" s="378"/>
      <c r="BJ116" s="378"/>
      <c r="BK116" s="378"/>
      <c r="BL116" s="378"/>
      <c r="BM116" s="378"/>
      <c r="BN116" s="378"/>
      <c r="BO116" s="378"/>
      <c r="BP116" s="378"/>
      <c r="BQ116" s="378"/>
      <c r="BR116" s="378"/>
      <c r="BS116" s="378"/>
      <c r="BT116" s="378"/>
      <c r="BU116" s="378"/>
      <c r="BV116" s="378"/>
      <c r="BW116" s="378"/>
      <c r="BX116" s="378"/>
      <c r="BY116" s="378"/>
      <c r="BZ116" s="378"/>
      <c r="CA116" s="378"/>
      <c r="CB116" s="378"/>
      <c r="CC116" s="378"/>
      <c r="CD116" s="378"/>
      <c r="CE116" s="378"/>
      <c r="CF116" s="378"/>
      <c r="CG116" s="378"/>
      <c r="CH116" s="378"/>
      <c r="CI116" s="378"/>
      <c r="CJ116" s="378"/>
      <c r="CK116" s="378"/>
      <c r="CL116" s="378"/>
      <c r="CM116" s="378"/>
      <c r="CN116" s="378"/>
      <c r="CO116" s="378"/>
      <c r="CP116" s="378"/>
      <c r="CQ116" s="378"/>
      <c r="CR116" s="378"/>
      <c r="CS116" s="378"/>
      <c r="CT116" s="378"/>
    </row>
    <row r="117" spans="1:98" x14ac:dyDescent="0.25">
      <c r="A117" s="378"/>
      <c r="B117" s="378"/>
      <c r="C117" s="378"/>
      <c r="D117" s="378"/>
      <c r="E117" s="378"/>
      <c r="F117" s="378"/>
      <c r="G117" s="378"/>
      <c r="H117" s="378"/>
      <c r="I117" s="378"/>
      <c r="J117" s="378"/>
      <c r="K117" s="378"/>
      <c r="L117" s="378"/>
      <c r="M117" s="378"/>
      <c r="N117" s="378"/>
      <c r="O117" s="378"/>
      <c r="P117" s="378"/>
      <c r="Q117" s="378"/>
      <c r="R117" s="378"/>
      <c r="S117" s="378"/>
      <c r="T117" s="378"/>
      <c r="U117" s="378"/>
      <c r="V117" s="378"/>
      <c r="W117" s="378"/>
      <c r="X117" s="378"/>
      <c r="Y117" s="378"/>
      <c r="Z117" s="378"/>
      <c r="AA117" s="378"/>
      <c r="AB117" s="378"/>
      <c r="AC117" s="378"/>
      <c r="AD117" s="378"/>
      <c r="AE117" s="378"/>
      <c r="AF117" s="378"/>
      <c r="AG117" s="378"/>
      <c r="AH117" s="378"/>
      <c r="AI117" s="378"/>
      <c r="AJ117" s="378"/>
      <c r="AK117" s="378"/>
      <c r="AL117" s="378"/>
      <c r="AM117" s="378"/>
      <c r="AN117" s="378"/>
      <c r="AO117" s="378"/>
      <c r="AP117" s="378"/>
      <c r="AQ117" s="378"/>
      <c r="AR117" s="378"/>
      <c r="AS117" s="378"/>
      <c r="AT117" s="378"/>
      <c r="AU117" s="378"/>
      <c r="AV117" s="378"/>
      <c r="AW117" s="378"/>
      <c r="AX117" s="378"/>
      <c r="AY117" s="378"/>
      <c r="AZ117" s="378"/>
      <c r="BA117" s="378"/>
      <c r="BB117" s="378"/>
      <c r="BC117" s="378"/>
      <c r="BD117" s="378"/>
      <c r="BE117" s="378"/>
      <c r="BF117" s="378"/>
      <c r="BG117" s="378"/>
      <c r="BH117" s="378"/>
      <c r="BI117" s="378"/>
      <c r="BJ117" s="378"/>
      <c r="BK117" s="378"/>
      <c r="BL117" s="378"/>
      <c r="BM117" s="378"/>
      <c r="BN117" s="378"/>
      <c r="BO117" s="378"/>
      <c r="BP117" s="378"/>
      <c r="BQ117" s="378"/>
      <c r="BR117" s="378"/>
      <c r="BS117" s="378"/>
      <c r="BT117" s="378"/>
      <c r="BU117" s="378"/>
      <c r="BV117" s="378"/>
      <c r="BW117" s="378"/>
      <c r="BX117" s="378"/>
      <c r="BY117" s="378"/>
      <c r="BZ117" s="378"/>
      <c r="CA117" s="378"/>
      <c r="CB117" s="378"/>
      <c r="CC117" s="378"/>
      <c r="CD117" s="378"/>
      <c r="CE117" s="378"/>
      <c r="CF117" s="378"/>
      <c r="CG117" s="378"/>
      <c r="CH117" s="378"/>
      <c r="CI117" s="378"/>
      <c r="CJ117" s="378"/>
      <c r="CK117" s="378"/>
      <c r="CL117" s="378"/>
      <c r="CM117" s="378"/>
      <c r="CN117" s="378"/>
      <c r="CO117" s="378"/>
      <c r="CP117" s="378"/>
      <c r="CQ117" s="378"/>
      <c r="CR117" s="378"/>
      <c r="CS117" s="378"/>
      <c r="CT117" s="378"/>
    </row>
    <row r="118" spans="1:98" x14ac:dyDescent="0.25">
      <c r="A118" s="378"/>
      <c r="B118" s="378"/>
      <c r="C118" s="378"/>
      <c r="D118" s="378"/>
      <c r="E118" s="378"/>
      <c r="F118" s="378"/>
      <c r="G118" s="378"/>
      <c r="H118" s="378"/>
      <c r="I118" s="378"/>
      <c r="J118" s="378"/>
      <c r="K118" s="378"/>
      <c r="L118" s="378"/>
      <c r="M118" s="378"/>
      <c r="N118" s="378"/>
      <c r="O118" s="378"/>
      <c r="P118" s="378"/>
      <c r="Q118" s="378"/>
      <c r="R118" s="378"/>
      <c r="S118" s="378"/>
      <c r="T118" s="378"/>
      <c r="U118" s="378"/>
      <c r="V118" s="378"/>
      <c r="W118" s="378"/>
      <c r="X118" s="378"/>
      <c r="Y118" s="378"/>
      <c r="Z118" s="378"/>
      <c r="AA118" s="378"/>
      <c r="AB118" s="378"/>
      <c r="AC118" s="378"/>
      <c r="AD118" s="378"/>
      <c r="AE118" s="378"/>
      <c r="AF118" s="378"/>
      <c r="AG118" s="378"/>
      <c r="AH118" s="378"/>
      <c r="AI118" s="378"/>
      <c r="AJ118" s="378"/>
      <c r="AK118" s="378"/>
      <c r="AL118" s="378"/>
      <c r="AM118" s="378"/>
      <c r="AN118" s="378"/>
      <c r="AO118" s="378"/>
      <c r="AP118" s="378"/>
      <c r="AQ118" s="378"/>
      <c r="AR118" s="378"/>
      <c r="AS118" s="378"/>
      <c r="AT118" s="378"/>
      <c r="AU118" s="378"/>
      <c r="AV118" s="378"/>
      <c r="AW118" s="378"/>
      <c r="AX118" s="378"/>
      <c r="AY118" s="378"/>
      <c r="AZ118" s="378"/>
      <c r="BA118" s="378"/>
      <c r="BB118" s="378"/>
      <c r="BC118" s="378"/>
      <c r="BD118" s="378"/>
      <c r="BE118" s="378"/>
      <c r="BF118" s="378"/>
      <c r="BG118" s="378"/>
      <c r="BH118" s="378"/>
      <c r="BI118" s="378"/>
      <c r="BJ118" s="378"/>
      <c r="BK118" s="378"/>
      <c r="BL118" s="378"/>
      <c r="BM118" s="378"/>
      <c r="BN118" s="378"/>
      <c r="BO118" s="378"/>
      <c r="BP118" s="378"/>
      <c r="BQ118" s="378"/>
      <c r="BR118" s="378"/>
      <c r="BS118" s="378"/>
      <c r="BT118" s="378"/>
      <c r="BU118" s="378"/>
      <c r="BV118" s="378"/>
      <c r="BW118" s="378"/>
      <c r="BX118" s="378"/>
      <c r="BY118" s="378"/>
      <c r="BZ118" s="378"/>
      <c r="CA118" s="378"/>
      <c r="CB118" s="378"/>
      <c r="CC118" s="378"/>
      <c r="CD118" s="378"/>
      <c r="CE118" s="378"/>
      <c r="CF118" s="378"/>
      <c r="CG118" s="378"/>
      <c r="CH118" s="378"/>
      <c r="CI118" s="378"/>
      <c r="CJ118" s="378"/>
      <c r="CK118" s="378"/>
      <c r="CL118" s="378"/>
      <c r="CM118" s="378"/>
      <c r="CN118" s="378"/>
      <c r="CO118" s="378"/>
      <c r="CP118" s="378"/>
      <c r="CQ118" s="378"/>
      <c r="CR118" s="378"/>
      <c r="CS118" s="378"/>
      <c r="CT118" s="378"/>
    </row>
    <row r="119" spans="1:98" x14ac:dyDescent="0.25">
      <c r="A119" s="378"/>
      <c r="B119" s="378"/>
      <c r="C119" s="378"/>
      <c r="D119" s="378"/>
      <c r="E119" s="378"/>
      <c r="F119" s="378"/>
      <c r="G119" s="378"/>
      <c r="H119" s="378"/>
      <c r="I119" s="378"/>
      <c r="J119" s="378"/>
      <c r="K119" s="378"/>
      <c r="L119" s="378"/>
      <c r="M119" s="378"/>
      <c r="N119" s="378"/>
      <c r="O119" s="378"/>
      <c r="P119" s="378"/>
      <c r="Q119" s="378"/>
      <c r="R119" s="378"/>
      <c r="S119" s="378"/>
      <c r="T119" s="378"/>
      <c r="U119" s="378"/>
      <c r="V119" s="378"/>
      <c r="W119" s="378"/>
      <c r="X119" s="378"/>
      <c r="Y119" s="378"/>
      <c r="Z119" s="378"/>
      <c r="AA119" s="378"/>
      <c r="AB119" s="378"/>
      <c r="AC119" s="378"/>
      <c r="AD119" s="378"/>
      <c r="AE119" s="378"/>
      <c r="AF119" s="378"/>
      <c r="AG119" s="378"/>
      <c r="AH119" s="378"/>
      <c r="AI119" s="378"/>
      <c r="AJ119" s="378"/>
      <c r="AK119" s="378"/>
      <c r="AL119" s="378"/>
      <c r="AM119" s="378"/>
      <c r="AN119" s="378"/>
      <c r="AO119" s="378"/>
      <c r="AP119" s="378"/>
      <c r="AQ119" s="378"/>
      <c r="AR119" s="378"/>
      <c r="AS119" s="378"/>
      <c r="AT119" s="378"/>
      <c r="AU119" s="378"/>
      <c r="AV119" s="378"/>
      <c r="AW119" s="378"/>
      <c r="AX119" s="378"/>
      <c r="AY119" s="378"/>
      <c r="AZ119" s="378"/>
      <c r="BA119" s="378"/>
      <c r="BB119" s="378"/>
      <c r="BC119" s="378"/>
      <c r="BD119" s="378"/>
      <c r="BE119" s="378"/>
      <c r="BF119" s="378"/>
      <c r="BG119" s="378"/>
      <c r="BH119" s="378"/>
      <c r="BI119" s="378"/>
      <c r="BJ119" s="378"/>
      <c r="BK119" s="378"/>
      <c r="BL119" s="378"/>
      <c r="BM119" s="378"/>
      <c r="BN119" s="378"/>
      <c r="BO119" s="378"/>
      <c r="BP119" s="378"/>
      <c r="BQ119" s="378"/>
      <c r="BR119" s="378"/>
      <c r="BS119" s="378"/>
      <c r="BT119" s="378"/>
      <c r="BU119" s="378"/>
      <c r="BV119" s="378"/>
      <c r="BW119" s="378"/>
      <c r="BX119" s="378"/>
      <c r="BY119" s="378"/>
      <c r="BZ119" s="378"/>
      <c r="CA119" s="378"/>
      <c r="CB119" s="378"/>
      <c r="CC119" s="378"/>
      <c r="CD119" s="378"/>
      <c r="CE119" s="378"/>
      <c r="CF119" s="378"/>
      <c r="CG119" s="378"/>
      <c r="CH119" s="378"/>
      <c r="CI119" s="378"/>
      <c r="CJ119" s="378"/>
      <c r="CK119" s="378"/>
      <c r="CL119" s="378"/>
      <c r="CM119" s="378"/>
      <c r="CN119" s="378"/>
      <c r="CO119" s="378"/>
      <c r="CP119" s="378"/>
      <c r="CQ119" s="378"/>
      <c r="CR119" s="378"/>
      <c r="CS119" s="378"/>
      <c r="CT119" s="378"/>
    </row>
    <row r="120" spans="1:98" x14ac:dyDescent="0.25">
      <c r="A120" s="378"/>
      <c r="B120" s="378"/>
      <c r="C120" s="378"/>
      <c r="D120" s="378"/>
      <c r="E120" s="378"/>
      <c r="F120" s="378"/>
      <c r="G120" s="378"/>
      <c r="H120" s="378"/>
      <c r="I120" s="378"/>
      <c r="J120" s="378"/>
      <c r="K120" s="378"/>
      <c r="L120" s="378"/>
      <c r="M120" s="378"/>
      <c r="N120" s="378"/>
      <c r="O120" s="378"/>
      <c r="P120" s="378"/>
      <c r="Q120" s="378"/>
      <c r="R120" s="378"/>
      <c r="S120" s="378"/>
      <c r="T120" s="378"/>
      <c r="U120" s="378"/>
      <c r="V120" s="378"/>
      <c r="W120" s="378"/>
      <c r="X120" s="378"/>
      <c r="Y120" s="378"/>
      <c r="Z120" s="378"/>
      <c r="AA120" s="378"/>
      <c r="AB120" s="378"/>
      <c r="AC120" s="378"/>
      <c r="AD120" s="378"/>
      <c r="AE120" s="378"/>
      <c r="AF120" s="378"/>
      <c r="AG120" s="378"/>
      <c r="AH120" s="378"/>
      <c r="AI120" s="378"/>
      <c r="AJ120" s="378"/>
      <c r="AK120" s="378"/>
      <c r="AL120" s="378"/>
      <c r="AM120" s="378"/>
      <c r="AN120" s="378"/>
      <c r="AO120" s="378"/>
      <c r="AP120" s="378"/>
      <c r="AQ120" s="378"/>
      <c r="AR120" s="378"/>
      <c r="AS120" s="378"/>
      <c r="AT120" s="378"/>
      <c r="AU120" s="378"/>
      <c r="AV120" s="378"/>
      <c r="AW120" s="378"/>
      <c r="AX120" s="378"/>
      <c r="AY120" s="378"/>
      <c r="AZ120" s="378"/>
      <c r="BA120" s="378"/>
      <c r="BB120" s="378"/>
      <c r="BC120" s="378"/>
      <c r="BD120" s="378"/>
      <c r="BE120" s="378"/>
      <c r="BF120" s="378"/>
      <c r="BG120" s="378"/>
      <c r="BH120" s="378"/>
      <c r="BI120" s="378"/>
      <c r="BJ120" s="378"/>
      <c r="BK120" s="378"/>
      <c r="BL120" s="378"/>
      <c r="BM120" s="378"/>
      <c r="BN120" s="378"/>
      <c r="BO120" s="378"/>
      <c r="BP120" s="378"/>
      <c r="BQ120" s="378"/>
      <c r="BR120" s="378"/>
      <c r="BS120" s="378"/>
      <c r="BT120" s="378"/>
      <c r="BU120" s="378"/>
      <c r="BV120" s="378"/>
      <c r="BW120" s="378"/>
      <c r="BX120" s="378"/>
      <c r="BY120" s="378"/>
      <c r="BZ120" s="378"/>
      <c r="CA120" s="378"/>
      <c r="CB120" s="378"/>
      <c r="CC120" s="378"/>
      <c r="CD120" s="378"/>
      <c r="CE120" s="378"/>
      <c r="CF120" s="378"/>
      <c r="CG120" s="378"/>
      <c r="CH120" s="378"/>
      <c r="CI120" s="378"/>
      <c r="CJ120" s="378"/>
      <c r="CK120" s="378"/>
      <c r="CL120" s="378"/>
      <c r="CM120" s="378"/>
      <c r="CN120" s="378"/>
      <c r="CO120" s="378"/>
      <c r="CP120" s="378"/>
      <c r="CQ120" s="378"/>
      <c r="CR120" s="378"/>
      <c r="CS120" s="378"/>
      <c r="CT120" s="378"/>
    </row>
    <row r="121" spans="1:98" x14ac:dyDescent="0.25">
      <c r="A121" s="378"/>
      <c r="B121" s="378"/>
      <c r="C121" s="378"/>
      <c r="D121" s="378"/>
      <c r="E121" s="378"/>
      <c r="F121" s="378"/>
      <c r="G121" s="378"/>
      <c r="H121" s="378"/>
      <c r="I121" s="378"/>
      <c r="J121" s="378"/>
      <c r="K121" s="378"/>
      <c r="L121" s="378"/>
      <c r="M121" s="378"/>
      <c r="N121" s="378"/>
      <c r="O121" s="378"/>
      <c r="P121" s="378"/>
      <c r="Q121" s="378"/>
      <c r="R121" s="378"/>
      <c r="S121" s="378"/>
      <c r="T121" s="378"/>
      <c r="U121" s="378"/>
      <c r="V121" s="378"/>
      <c r="W121" s="378"/>
      <c r="X121" s="378"/>
      <c r="Y121" s="378"/>
      <c r="Z121" s="378"/>
      <c r="AA121" s="378"/>
      <c r="AB121" s="378"/>
      <c r="AC121" s="378"/>
      <c r="AD121" s="378"/>
      <c r="AE121" s="378"/>
      <c r="AF121" s="378"/>
      <c r="AG121" s="378"/>
      <c r="AH121" s="378"/>
      <c r="AI121" s="378"/>
      <c r="AJ121" s="378"/>
      <c r="AK121" s="378"/>
      <c r="AL121" s="378"/>
      <c r="AM121" s="378"/>
      <c r="AN121" s="378"/>
      <c r="AO121" s="378"/>
      <c r="AP121" s="378"/>
      <c r="AQ121" s="378"/>
      <c r="AR121" s="378"/>
      <c r="AS121" s="378"/>
      <c r="AT121" s="378"/>
      <c r="AU121" s="378"/>
      <c r="AV121" s="378"/>
      <c r="AW121" s="378"/>
      <c r="AX121" s="378"/>
      <c r="AY121" s="378"/>
      <c r="AZ121" s="378"/>
      <c r="BA121" s="378"/>
      <c r="BB121" s="378"/>
      <c r="BC121" s="378"/>
      <c r="BD121" s="378"/>
      <c r="BE121" s="378"/>
      <c r="BF121" s="378"/>
      <c r="BG121" s="378"/>
      <c r="BH121" s="378"/>
      <c r="BI121" s="378"/>
      <c r="BJ121" s="378"/>
      <c r="BK121" s="378"/>
      <c r="BL121" s="378"/>
      <c r="BM121" s="378"/>
      <c r="BN121" s="378"/>
      <c r="BO121" s="378"/>
      <c r="BP121" s="378"/>
      <c r="BQ121" s="378"/>
      <c r="BR121" s="378"/>
      <c r="BS121" s="378"/>
      <c r="BT121" s="378"/>
      <c r="BU121" s="378"/>
      <c r="BV121" s="378"/>
      <c r="BW121" s="378"/>
      <c r="BX121" s="378"/>
      <c r="BY121" s="378"/>
      <c r="BZ121" s="378"/>
      <c r="CA121" s="378"/>
      <c r="CB121" s="378"/>
      <c r="CC121" s="378"/>
      <c r="CD121" s="378"/>
      <c r="CE121" s="378"/>
      <c r="CF121" s="378"/>
      <c r="CG121" s="378"/>
      <c r="CH121" s="378"/>
      <c r="CI121" s="378"/>
      <c r="CJ121" s="378"/>
      <c r="CK121" s="378"/>
      <c r="CL121" s="378"/>
      <c r="CM121" s="378"/>
      <c r="CN121" s="378"/>
      <c r="CO121" s="378"/>
      <c r="CP121" s="378"/>
      <c r="CQ121" s="378"/>
      <c r="CR121" s="378"/>
      <c r="CS121" s="378"/>
      <c r="CT121" s="378"/>
    </row>
    <row r="122" spans="1:98" x14ac:dyDescent="0.25">
      <c r="A122" s="378"/>
      <c r="B122" s="378"/>
      <c r="C122" s="378"/>
      <c r="D122" s="378"/>
      <c r="E122" s="378"/>
      <c r="F122" s="378"/>
      <c r="G122" s="378"/>
      <c r="H122" s="378"/>
      <c r="I122" s="378"/>
      <c r="J122" s="378"/>
      <c r="K122" s="378"/>
      <c r="L122" s="378"/>
      <c r="M122" s="378"/>
      <c r="N122" s="378"/>
      <c r="O122" s="378"/>
      <c r="P122" s="378"/>
      <c r="Q122" s="378"/>
      <c r="R122" s="378"/>
      <c r="S122" s="378"/>
      <c r="T122" s="378"/>
      <c r="U122" s="378"/>
      <c r="V122" s="378"/>
      <c r="W122" s="378"/>
      <c r="X122" s="378"/>
      <c r="Y122" s="378"/>
      <c r="Z122" s="378"/>
      <c r="AA122" s="378"/>
      <c r="AB122" s="378"/>
      <c r="AC122" s="378"/>
      <c r="AD122" s="378"/>
      <c r="AE122" s="378"/>
      <c r="AF122" s="378"/>
      <c r="AG122" s="378"/>
      <c r="AH122" s="378"/>
      <c r="AI122" s="378"/>
      <c r="AJ122" s="378"/>
      <c r="AK122" s="378"/>
      <c r="AL122" s="378"/>
      <c r="AM122" s="378"/>
      <c r="AN122" s="378"/>
      <c r="AO122" s="378"/>
      <c r="AP122" s="378"/>
      <c r="AQ122" s="378"/>
      <c r="AR122" s="378"/>
      <c r="AS122" s="378"/>
      <c r="AT122" s="378"/>
      <c r="AU122" s="378"/>
      <c r="AV122" s="378"/>
      <c r="AW122" s="378"/>
      <c r="AX122" s="378"/>
      <c r="AY122" s="378"/>
      <c r="AZ122" s="378"/>
      <c r="BA122" s="378"/>
      <c r="BB122" s="378"/>
      <c r="BC122" s="378"/>
      <c r="BD122" s="378"/>
      <c r="BE122" s="378"/>
      <c r="BF122" s="378"/>
      <c r="BG122" s="378"/>
      <c r="BH122" s="378"/>
      <c r="BI122" s="378"/>
      <c r="BJ122" s="378"/>
      <c r="BK122" s="378"/>
      <c r="BL122" s="378"/>
      <c r="BM122" s="378"/>
      <c r="BN122" s="378"/>
      <c r="BO122" s="378"/>
      <c r="BP122" s="378"/>
      <c r="BQ122" s="378"/>
      <c r="BR122" s="378"/>
      <c r="BS122" s="378"/>
      <c r="BT122" s="378"/>
      <c r="BU122" s="378"/>
      <c r="BV122" s="378"/>
      <c r="BW122" s="378"/>
      <c r="BX122" s="378"/>
      <c r="BY122" s="378"/>
      <c r="BZ122" s="378"/>
      <c r="CA122" s="378"/>
      <c r="CB122" s="378"/>
      <c r="CC122" s="378"/>
      <c r="CD122" s="378"/>
      <c r="CE122" s="378"/>
      <c r="CF122" s="378"/>
      <c r="CG122" s="378"/>
      <c r="CH122" s="378"/>
      <c r="CI122" s="378"/>
      <c r="CJ122" s="378"/>
      <c r="CK122" s="378"/>
      <c r="CL122" s="378"/>
      <c r="CM122" s="378"/>
      <c r="CN122" s="378"/>
      <c r="CO122" s="378"/>
      <c r="CP122" s="378"/>
      <c r="CQ122" s="378"/>
      <c r="CR122" s="378"/>
      <c r="CS122" s="378"/>
      <c r="CT122" s="378"/>
    </row>
    <row r="123" spans="1:98" x14ac:dyDescent="0.25">
      <c r="A123" s="378"/>
      <c r="B123" s="378"/>
      <c r="C123" s="378"/>
      <c r="D123" s="378"/>
      <c r="E123" s="378"/>
      <c r="F123" s="378"/>
      <c r="G123" s="378"/>
      <c r="H123" s="378"/>
      <c r="I123" s="378"/>
      <c r="J123" s="378"/>
      <c r="K123" s="378"/>
      <c r="L123" s="378"/>
      <c r="M123" s="378"/>
      <c r="N123" s="378"/>
      <c r="O123" s="378"/>
      <c r="P123" s="378"/>
      <c r="Q123" s="378"/>
      <c r="R123" s="378"/>
      <c r="S123" s="378"/>
      <c r="T123" s="378"/>
      <c r="U123" s="378"/>
      <c r="V123" s="378"/>
      <c r="W123" s="378"/>
      <c r="X123" s="378"/>
      <c r="Y123" s="378"/>
      <c r="Z123" s="378"/>
      <c r="AA123" s="378"/>
      <c r="AB123" s="378"/>
      <c r="AC123" s="378"/>
      <c r="AD123" s="378"/>
      <c r="AE123" s="378"/>
      <c r="AF123" s="378"/>
      <c r="AG123" s="378"/>
      <c r="AH123" s="378"/>
      <c r="AI123" s="378"/>
      <c r="AJ123" s="378"/>
      <c r="AK123" s="378"/>
      <c r="AL123" s="378"/>
      <c r="AM123" s="378"/>
      <c r="AN123" s="378"/>
      <c r="AO123" s="378"/>
      <c r="AP123" s="378"/>
      <c r="AQ123" s="378"/>
      <c r="AR123" s="378"/>
      <c r="AS123" s="378"/>
      <c r="AT123" s="378"/>
      <c r="AU123" s="378"/>
      <c r="AV123" s="378"/>
      <c r="AW123" s="378"/>
      <c r="AX123" s="378"/>
      <c r="AY123" s="378"/>
      <c r="AZ123" s="378"/>
      <c r="BA123" s="378"/>
      <c r="BB123" s="378"/>
      <c r="BC123" s="378"/>
      <c r="BD123" s="378"/>
      <c r="BE123" s="378"/>
      <c r="BF123" s="378"/>
      <c r="BG123" s="378"/>
      <c r="BH123" s="378"/>
      <c r="BI123" s="378"/>
      <c r="BJ123" s="378"/>
      <c r="BK123" s="378"/>
      <c r="BL123" s="378"/>
      <c r="BM123" s="378"/>
      <c r="BN123" s="378"/>
      <c r="BO123" s="378"/>
      <c r="BP123" s="378"/>
      <c r="BQ123" s="378"/>
      <c r="BR123" s="378"/>
      <c r="BS123" s="378"/>
      <c r="BT123" s="378"/>
      <c r="BU123" s="378"/>
      <c r="BV123" s="378"/>
      <c r="BW123" s="378"/>
      <c r="BX123" s="378"/>
      <c r="BY123" s="378"/>
      <c r="BZ123" s="378"/>
      <c r="CA123" s="378"/>
      <c r="CB123" s="378"/>
      <c r="CC123" s="378"/>
      <c r="CD123" s="378"/>
      <c r="CE123" s="378"/>
      <c r="CF123" s="378"/>
      <c r="CG123" s="378"/>
      <c r="CH123" s="378"/>
      <c r="CI123" s="378"/>
      <c r="CJ123" s="378"/>
      <c r="CK123" s="378"/>
      <c r="CL123" s="378"/>
      <c r="CM123" s="378"/>
      <c r="CN123" s="378"/>
      <c r="CO123" s="378"/>
      <c r="CP123" s="378"/>
      <c r="CQ123" s="378"/>
      <c r="CR123" s="378"/>
      <c r="CS123" s="378"/>
      <c r="CT123" s="378"/>
    </row>
    <row r="124" spans="1:98" x14ac:dyDescent="0.25">
      <c r="A124" s="378"/>
      <c r="B124" s="378"/>
      <c r="C124" s="378"/>
      <c r="D124" s="378"/>
      <c r="E124" s="378"/>
      <c r="F124" s="378"/>
      <c r="G124" s="378"/>
      <c r="H124" s="378"/>
      <c r="I124" s="378"/>
      <c r="J124" s="378"/>
      <c r="K124" s="378"/>
      <c r="L124" s="378"/>
      <c r="M124" s="378"/>
      <c r="N124" s="378"/>
      <c r="O124" s="378"/>
      <c r="P124" s="378"/>
      <c r="Q124" s="378"/>
      <c r="R124" s="378"/>
      <c r="S124" s="378"/>
      <c r="T124" s="378"/>
      <c r="U124" s="378"/>
      <c r="V124" s="378"/>
      <c r="W124" s="378"/>
      <c r="X124" s="378"/>
      <c r="Y124" s="378"/>
      <c r="Z124" s="378"/>
      <c r="AA124" s="378"/>
      <c r="AB124" s="378"/>
      <c r="AC124" s="378"/>
      <c r="AD124" s="378"/>
      <c r="AE124" s="378"/>
      <c r="AF124" s="378"/>
      <c r="AG124" s="378"/>
      <c r="AH124" s="378"/>
      <c r="AI124" s="378"/>
      <c r="AJ124" s="378"/>
      <c r="AK124" s="378"/>
      <c r="AL124" s="378"/>
      <c r="AM124" s="378"/>
      <c r="AN124" s="378"/>
      <c r="AO124" s="378"/>
      <c r="AP124" s="378"/>
      <c r="AQ124" s="378"/>
      <c r="AR124" s="378"/>
      <c r="AS124" s="378"/>
      <c r="AT124" s="378"/>
      <c r="AU124" s="378"/>
      <c r="AV124" s="378"/>
      <c r="AW124" s="378"/>
      <c r="AX124" s="378"/>
      <c r="AY124" s="378"/>
      <c r="AZ124" s="378"/>
      <c r="BA124" s="378"/>
      <c r="BB124" s="378"/>
      <c r="BC124" s="378"/>
      <c r="BD124" s="378"/>
      <c r="BE124" s="378"/>
      <c r="BF124" s="378"/>
      <c r="BG124" s="378"/>
      <c r="BH124" s="378"/>
      <c r="BI124" s="378"/>
      <c r="BJ124" s="378"/>
      <c r="BK124" s="378"/>
      <c r="BL124" s="378"/>
      <c r="BM124" s="378"/>
      <c r="BN124" s="378"/>
      <c r="BO124" s="378"/>
      <c r="BP124" s="378"/>
      <c r="BQ124" s="378"/>
      <c r="BR124" s="378"/>
      <c r="BS124" s="378"/>
      <c r="BT124" s="378"/>
      <c r="BU124" s="378"/>
      <c r="BV124" s="378"/>
      <c r="BW124" s="378"/>
      <c r="BX124" s="378"/>
      <c r="BY124" s="378"/>
      <c r="BZ124" s="378"/>
      <c r="CA124" s="378"/>
      <c r="CB124" s="378"/>
      <c r="CC124" s="378"/>
      <c r="CD124" s="378"/>
      <c r="CE124" s="378"/>
      <c r="CF124" s="378"/>
      <c r="CG124" s="378"/>
      <c r="CH124" s="378"/>
      <c r="CI124" s="378"/>
      <c r="CJ124" s="378"/>
      <c r="CK124" s="378"/>
      <c r="CL124" s="378"/>
      <c r="CM124" s="378"/>
      <c r="CN124" s="378"/>
      <c r="CO124" s="378"/>
      <c r="CP124" s="378"/>
      <c r="CQ124" s="378"/>
      <c r="CR124" s="378"/>
      <c r="CS124" s="378"/>
      <c r="CT124" s="378"/>
    </row>
    <row r="125" spans="1:98" x14ac:dyDescent="0.25">
      <c r="A125" s="378"/>
      <c r="B125" s="378"/>
      <c r="C125" s="378"/>
      <c r="D125" s="378"/>
      <c r="E125" s="378"/>
      <c r="F125" s="378"/>
      <c r="G125" s="378"/>
      <c r="H125" s="378"/>
      <c r="I125" s="378"/>
      <c r="J125" s="378"/>
      <c r="K125" s="378"/>
      <c r="L125" s="378"/>
      <c r="M125" s="378"/>
      <c r="N125" s="378"/>
      <c r="O125" s="378"/>
      <c r="P125" s="378"/>
      <c r="Q125" s="378"/>
      <c r="R125" s="378"/>
      <c r="S125" s="378"/>
      <c r="T125" s="378"/>
      <c r="U125" s="378"/>
      <c r="V125" s="378"/>
      <c r="W125" s="378"/>
      <c r="X125" s="378"/>
      <c r="Y125" s="378"/>
      <c r="Z125" s="378"/>
      <c r="AA125" s="378"/>
      <c r="AB125" s="378"/>
      <c r="AC125" s="378"/>
      <c r="AD125" s="378"/>
      <c r="AE125" s="378"/>
      <c r="AF125" s="378"/>
      <c r="AG125" s="378"/>
      <c r="AH125" s="378"/>
      <c r="AI125" s="378"/>
      <c r="AJ125" s="378"/>
      <c r="AK125" s="378"/>
      <c r="AL125" s="378"/>
      <c r="AM125" s="378"/>
      <c r="AN125" s="378"/>
      <c r="AO125" s="378"/>
      <c r="AP125" s="378"/>
      <c r="AQ125" s="378"/>
      <c r="AR125" s="378"/>
      <c r="AS125" s="378"/>
      <c r="AT125" s="378"/>
      <c r="AU125" s="378"/>
      <c r="AV125" s="378"/>
      <c r="AW125" s="378"/>
      <c r="AX125" s="378"/>
      <c r="AY125" s="378"/>
      <c r="AZ125" s="378"/>
      <c r="BA125" s="378"/>
      <c r="BB125" s="378"/>
      <c r="BC125" s="378"/>
      <c r="BD125" s="378"/>
      <c r="BE125" s="378"/>
      <c r="BF125" s="378"/>
      <c r="BG125" s="378"/>
      <c r="BH125" s="378"/>
      <c r="BI125" s="378"/>
      <c r="BJ125" s="378"/>
      <c r="BK125" s="378"/>
      <c r="BL125" s="378"/>
      <c r="BM125" s="378"/>
      <c r="BN125" s="378"/>
      <c r="BO125" s="378"/>
      <c r="BP125" s="378"/>
      <c r="BQ125" s="378"/>
      <c r="BR125" s="378"/>
      <c r="BS125" s="378"/>
      <c r="BT125" s="378"/>
      <c r="BU125" s="378"/>
      <c r="BV125" s="378"/>
      <c r="BW125" s="378"/>
      <c r="BX125" s="378"/>
      <c r="BY125" s="378"/>
      <c r="BZ125" s="378"/>
      <c r="CA125" s="378"/>
      <c r="CB125" s="378"/>
      <c r="CC125" s="378"/>
      <c r="CD125" s="378"/>
      <c r="CE125" s="378"/>
      <c r="CF125" s="378"/>
      <c r="CG125" s="378"/>
      <c r="CH125" s="378"/>
      <c r="CI125" s="378"/>
      <c r="CJ125" s="378"/>
      <c r="CK125" s="378"/>
      <c r="CL125" s="378"/>
      <c r="CM125" s="378"/>
      <c r="CN125" s="378"/>
      <c r="CO125" s="378"/>
      <c r="CP125" s="378"/>
      <c r="CQ125" s="378"/>
      <c r="CR125" s="378"/>
      <c r="CS125" s="378"/>
      <c r="CT125" s="378"/>
    </row>
    <row r="126" spans="1:98" x14ac:dyDescent="0.25">
      <c r="A126" s="378"/>
      <c r="B126" s="378"/>
      <c r="C126" s="378"/>
      <c r="D126" s="378"/>
      <c r="E126" s="378"/>
      <c r="F126" s="378"/>
      <c r="G126" s="378"/>
      <c r="H126" s="378"/>
      <c r="I126" s="378"/>
      <c r="J126" s="378"/>
      <c r="K126" s="378"/>
      <c r="L126" s="378"/>
      <c r="M126" s="378"/>
      <c r="N126" s="378"/>
      <c r="O126" s="378"/>
      <c r="P126" s="378"/>
      <c r="Q126" s="378"/>
      <c r="R126" s="378"/>
      <c r="S126" s="378"/>
      <c r="T126" s="378"/>
      <c r="U126" s="378"/>
      <c r="V126" s="378"/>
      <c r="W126" s="378"/>
      <c r="X126" s="378"/>
      <c r="Y126" s="378"/>
      <c r="Z126" s="378"/>
      <c r="AA126" s="378"/>
      <c r="AB126" s="378"/>
      <c r="AC126" s="378"/>
      <c r="AD126" s="378"/>
      <c r="AE126" s="378"/>
      <c r="AF126" s="378"/>
      <c r="AG126" s="378"/>
      <c r="AH126" s="378"/>
      <c r="AI126" s="378"/>
      <c r="AJ126" s="378"/>
      <c r="AK126" s="378"/>
      <c r="AL126" s="378"/>
      <c r="AM126" s="378"/>
      <c r="AN126" s="378"/>
      <c r="AO126" s="378"/>
      <c r="AP126" s="378"/>
      <c r="AQ126" s="378"/>
      <c r="AR126" s="378"/>
      <c r="AS126" s="378"/>
      <c r="AT126" s="378"/>
      <c r="AU126" s="378"/>
      <c r="AV126" s="378"/>
      <c r="AW126" s="378"/>
      <c r="AX126" s="378"/>
      <c r="AY126" s="378"/>
      <c r="AZ126" s="378"/>
      <c r="BA126" s="378"/>
      <c r="BB126" s="378"/>
      <c r="BC126" s="378"/>
      <c r="BD126" s="378"/>
      <c r="BE126" s="378"/>
      <c r="BF126" s="378"/>
      <c r="BG126" s="378"/>
      <c r="BH126" s="378"/>
      <c r="BI126" s="378"/>
      <c r="BJ126" s="378"/>
      <c r="BK126" s="378"/>
      <c r="BL126" s="378"/>
      <c r="BM126" s="378"/>
      <c r="BN126" s="378"/>
      <c r="BO126" s="378"/>
      <c r="BP126" s="378"/>
      <c r="BQ126" s="378"/>
      <c r="BR126" s="378"/>
      <c r="BS126" s="378"/>
      <c r="BT126" s="378"/>
      <c r="BU126" s="378"/>
      <c r="BV126" s="378"/>
      <c r="BW126" s="378"/>
      <c r="BX126" s="378"/>
      <c r="BY126" s="378"/>
      <c r="BZ126" s="378"/>
      <c r="CA126" s="378"/>
      <c r="CB126" s="378"/>
      <c r="CC126" s="378"/>
      <c r="CD126" s="378"/>
      <c r="CE126" s="378"/>
      <c r="CF126" s="378"/>
      <c r="CG126" s="378"/>
      <c r="CH126" s="378"/>
      <c r="CI126" s="378"/>
      <c r="CJ126" s="378"/>
      <c r="CK126" s="378"/>
      <c r="CL126" s="378"/>
      <c r="CM126" s="378"/>
      <c r="CN126" s="378"/>
      <c r="CO126" s="378"/>
      <c r="CP126" s="378"/>
      <c r="CQ126" s="378"/>
      <c r="CR126" s="378"/>
      <c r="CS126" s="378"/>
      <c r="CT126" s="378"/>
    </row>
    <row r="127" spans="1:98" x14ac:dyDescent="0.25">
      <c r="A127" s="378"/>
      <c r="B127" s="378"/>
      <c r="C127" s="378"/>
      <c r="D127" s="378"/>
      <c r="E127" s="378"/>
      <c r="F127" s="378"/>
      <c r="G127" s="378"/>
      <c r="H127" s="378"/>
      <c r="I127" s="378"/>
      <c r="J127" s="378"/>
      <c r="K127" s="378"/>
      <c r="L127" s="378"/>
      <c r="M127" s="378"/>
      <c r="N127" s="378"/>
      <c r="O127" s="378"/>
      <c r="P127" s="378"/>
      <c r="Q127" s="378"/>
      <c r="R127" s="378"/>
      <c r="S127" s="378"/>
      <c r="T127" s="378"/>
      <c r="U127" s="378"/>
      <c r="V127" s="378"/>
      <c r="W127" s="378"/>
      <c r="X127" s="378"/>
      <c r="Y127" s="378"/>
      <c r="Z127" s="378"/>
      <c r="AA127" s="378"/>
      <c r="AB127" s="378"/>
      <c r="AC127" s="378"/>
      <c r="AD127" s="378"/>
      <c r="AE127" s="378"/>
      <c r="AF127" s="378"/>
      <c r="AG127" s="378"/>
      <c r="AH127" s="378"/>
      <c r="AI127" s="378"/>
      <c r="AJ127" s="378"/>
      <c r="AK127" s="378"/>
      <c r="AL127" s="378"/>
      <c r="AM127" s="378"/>
      <c r="AN127" s="378"/>
      <c r="AO127" s="378"/>
      <c r="AP127" s="378"/>
      <c r="AQ127" s="378"/>
      <c r="AR127" s="378"/>
      <c r="AS127" s="378"/>
      <c r="AT127" s="378"/>
      <c r="AU127" s="378"/>
      <c r="AV127" s="378"/>
      <c r="AW127" s="378"/>
      <c r="AX127" s="378"/>
      <c r="AY127" s="378"/>
      <c r="AZ127" s="378"/>
      <c r="BA127" s="378"/>
      <c r="BB127" s="378"/>
      <c r="BC127" s="378"/>
      <c r="BD127" s="378"/>
      <c r="BE127" s="378"/>
      <c r="BF127" s="378"/>
      <c r="BG127" s="378"/>
      <c r="BH127" s="378"/>
      <c r="BI127" s="378"/>
      <c r="BJ127" s="378"/>
      <c r="BK127" s="378"/>
      <c r="BL127" s="378"/>
      <c r="BM127" s="378"/>
      <c r="BN127" s="378"/>
      <c r="BO127" s="378"/>
      <c r="BP127" s="378"/>
      <c r="BQ127" s="378"/>
      <c r="BR127" s="378"/>
      <c r="BS127" s="378"/>
      <c r="BT127" s="378"/>
      <c r="BU127" s="378"/>
      <c r="BV127" s="378"/>
      <c r="BW127" s="378"/>
      <c r="BX127" s="378"/>
      <c r="BY127" s="378"/>
      <c r="BZ127" s="378"/>
      <c r="CA127" s="378"/>
      <c r="CB127" s="378"/>
      <c r="CC127" s="378"/>
      <c r="CD127" s="378"/>
      <c r="CE127" s="378"/>
      <c r="CF127" s="378"/>
      <c r="CG127" s="378"/>
      <c r="CH127" s="378"/>
      <c r="CI127" s="378"/>
      <c r="CJ127" s="378"/>
      <c r="CK127" s="378"/>
      <c r="CL127" s="378"/>
      <c r="CM127" s="378"/>
      <c r="CN127" s="378"/>
      <c r="CO127" s="378"/>
      <c r="CP127" s="378"/>
      <c r="CQ127" s="378"/>
      <c r="CR127" s="378"/>
      <c r="CS127" s="378"/>
      <c r="CT127" s="378"/>
    </row>
    <row r="128" spans="1:98" x14ac:dyDescent="0.25">
      <c r="A128" s="378"/>
      <c r="B128" s="378"/>
      <c r="C128" s="378"/>
      <c r="D128" s="378"/>
      <c r="E128" s="378"/>
      <c r="F128" s="378"/>
      <c r="G128" s="378"/>
      <c r="H128" s="378"/>
      <c r="I128" s="378"/>
      <c r="J128" s="378"/>
      <c r="K128" s="378"/>
      <c r="L128" s="378"/>
      <c r="M128" s="378"/>
      <c r="N128" s="378"/>
      <c r="O128" s="378"/>
      <c r="P128" s="378"/>
      <c r="Q128" s="378"/>
      <c r="R128" s="378"/>
      <c r="S128" s="378"/>
      <c r="T128" s="378"/>
      <c r="U128" s="378"/>
      <c r="V128" s="378"/>
      <c r="W128" s="378"/>
      <c r="X128" s="378"/>
      <c r="Y128" s="378"/>
      <c r="Z128" s="378"/>
      <c r="AA128" s="378"/>
      <c r="AB128" s="378"/>
      <c r="AC128" s="378"/>
      <c r="AD128" s="378"/>
      <c r="AE128" s="378"/>
      <c r="AF128" s="378"/>
      <c r="AG128" s="378"/>
      <c r="AH128" s="378"/>
      <c r="AI128" s="378"/>
      <c r="AJ128" s="378"/>
      <c r="AK128" s="378"/>
      <c r="AL128" s="378"/>
      <c r="AM128" s="378"/>
      <c r="AN128" s="378"/>
      <c r="AO128" s="378"/>
      <c r="AP128" s="378"/>
      <c r="AQ128" s="378"/>
      <c r="AR128" s="378"/>
      <c r="AS128" s="378"/>
      <c r="AT128" s="378"/>
      <c r="AU128" s="378"/>
      <c r="AV128" s="378"/>
      <c r="AW128" s="378"/>
      <c r="AX128" s="378"/>
      <c r="AY128" s="378"/>
      <c r="AZ128" s="378"/>
      <c r="BA128" s="378"/>
      <c r="BB128" s="378"/>
      <c r="BC128" s="378"/>
      <c r="BD128" s="378"/>
      <c r="BE128" s="378"/>
      <c r="BF128" s="378"/>
      <c r="BG128" s="378"/>
      <c r="BH128" s="378"/>
      <c r="BI128" s="378"/>
      <c r="BJ128" s="378"/>
      <c r="BK128" s="378"/>
      <c r="BL128" s="378"/>
      <c r="BM128" s="378"/>
      <c r="BN128" s="378"/>
      <c r="BO128" s="378"/>
      <c r="BP128" s="378"/>
      <c r="BQ128" s="378"/>
      <c r="BR128" s="378"/>
      <c r="BS128" s="378"/>
      <c r="BT128" s="378"/>
      <c r="BU128" s="378"/>
      <c r="BV128" s="378"/>
      <c r="BW128" s="378"/>
      <c r="BX128" s="378"/>
      <c r="BY128" s="378"/>
      <c r="BZ128" s="378"/>
      <c r="CA128" s="378"/>
      <c r="CB128" s="378"/>
      <c r="CC128" s="378"/>
      <c r="CD128" s="378"/>
      <c r="CE128" s="378"/>
      <c r="CF128" s="378"/>
      <c r="CG128" s="378"/>
      <c r="CH128" s="378"/>
      <c r="CI128" s="378"/>
      <c r="CJ128" s="378"/>
      <c r="CK128" s="378"/>
      <c r="CL128" s="378"/>
      <c r="CM128" s="378"/>
      <c r="CN128" s="378"/>
      <c r="CO128" s="378"/>
      <c r="CP128" s="378"/>
      <c r="CQ128" s="378"/>
      <c r="CR128" s="378"/>
      <c r="CS128" s="378"/>
      <c r="CT128" s="378"/>
    </row>
    <row r="129" spans="1:98" x14ac:dyDescent="0.25">
      <c r="A129" s="378"/>
      <c r="B129" s="378"/>
      <c r="C129" s="378"/>
      <c r="D129" s="378"/>
      <c r="E129" s="378"/>
      <c r="F129" s="378"/>
      <c r="G129" s="378"/>
      <c r="H129" s="378"/>
      <c r="I129" s="378"/>
      <c r="J129" s="378"/>
      <c r="K129" s="378"/>
      <c r="L129" s="378"/>
      <c r="M129" s="378"/>
      <c r="N129" s="378"/>
      <c r="O129" s="378"/>
      <c r="P129" s="378"/>
      <c r="Q129" s="378"/>
      <c r="R129" s="378"/>
      <c r="S129" s="378"/>
      <c r="T129" s="378"/>
      <c r="U129" s="378"/>
      <c r="V129" s="378"/>
      <c r="W129" s="378"/>
      <c r="X129" s="378"/>
      <c r="Y129" s="378"/>
      <c r="Z129" s="378"/>
      <c r="AA129" s="378"/>
      <c r="AB129" s="378"/>
      <c r="AC129" s="378"/>
      <c r="AD129" s="378"/>
      <c r="AE129" s="378"/>
      <c r="AF129" s="378"/>
      <c r="AG129" s="378"/>
      <c r="AH129" s="378"/>
      <c r="AI129" s="378"/>
      <c r="AJ129" s="378"/>
      <c r="AK129" s="378"/>
      <c r="AL129" s="378"/>
      <c r="AM129" s="378"/>
      <c r="AN129" s="378"/>
      <c r="AO129" s="378"/>
      <c r="AP129" s="378"/>
      <c r="AQ129" s="378"/>
      <c r="AR129" s="378"/>
      <c r="AS129" s="378"/>
      <c r="AT129" s="378"/>
      <c r="AU129" s="378"/>
      <c r="AV129" s="378"/>
      <c r="AW129" s="378"/>
      <c r="AX129" s="378"/>
      <c r="AY129" s="378"/>
      <c r="AZ129" s="378"/>
      <c r="BA129" s="378"/>
      <c r="BB129" s="378"/>
      <c r="BC129" s="378"/>
      <c r="BD129" s="378"/>
      <c r="BE129" s="378"/>
      <c r="BF129" s="378"/>
      <c r="BG129" s="378"/>
      <c r="BH129" s="378"/>
      <c r="BI129" s="378"/>
      <c r="BJ129" s="378"/>
      <c r="BK129" s="378"/>
      <c r="BL129" s="378"/>
      <c r="BM129" s="378"/>
      <c r="BN129" s="378"/>
      <c r="BO129" s="378"/>
      <c r="BP129" s="378"/>
      <c r="BQ129" s="378"/>
      <c r="BR129" s="378"/>
      <c r="BS129" s="378"/>
      <c r="BT129" s="378"/>
      <c r="BU129" s="378"/>
      <c r="BV129" s="378"/>
      <c r="BW129" s="378"/>
      <c r="BX129" s="378"/>
      <c r="BY129" s="378"/>
      <c r="BZ129" s="378"/>
      <c r="CA129" s="378"/>
      <c r="CB129" s="378"/>
      <c r="CC129" s="378"/>
      <c r="CD129" s="378"/>
      <c r="CE129" s="378"/>
      <c r="CF129" s="378"/>
      <c r="CG129" s="378"/>
      <c r="CH129" s="378"/>
      <c r="CI129" s="378"/>
      <c r="CJ129" s="378"/>
      <c r="CK129" s="378"/>
      <c r="CL129" s="378"/>
      <c r="CM129" s="378"/>
      <c r="CN129" s="378"/>
      <c r="CO129" s="378"/>
      <c r="CP129" s="378"/>
      <c r="CQ129" s="378"/>
      <c r="CR129" s="378"/>
      <c r="CS129" s="378"/>
      <c r="CT129" s="378"/>
    </row>
    <row r="130" spans="1:98" x14ac:dyDescent="0.25">
      <c r="A130" s="378"/>
      <c r="B130" s="378"/>
      <c r="C130" s="378"/>
      <c r="D130" s="378"/>
      <c r="E130" s="378"/>
      <c r="F130" s="378"/>
      <c r="G130" s="378"/>
      <c r="H130" s="378"/>
      <c r="I130" s="378"/>
      <c r="J130" s="378"/>
      <c r="K130" s="378"/>
      <c r="L130" s="378"/>
      <c r="M130" s="378"/>
      <c r="N130" s="378"/>
      <c r="O130" s="378"/>
      <c r="P130" s="378"/>
      <c r="Q130" s="378"/>
      <c r="R130" s="378"/>
      <c r="S130" s="378"/>
      <c r="T130" s="378"/>
      <c r="U130" s="378"/>
      <c r="V130" s="378"/>
      <c r="W130" s="378"/>
      <c r="X130" s="378"/>
      <c r="Y130" s="378"/>
      <c r="Z130" s="378"/>
      <c r="AA130" s="378"/>
      <c r="AB130" s="378"/>
      <c r="AC130" s="378"/>
      <c r="AD130" s="378"/>
      <c r="AE130" s="378"/>
      <c r="AF130" s="378"/>
      <c r="AG130" s="378"/>
      <c r="AH130" s="378"/>
      <c r="AI130" s="378"/>
      <c r="AJ130" s="378"/>
      <c r="AK130" s="378"/>
      <c r="AL130" s="378"/>
      <c r="AM130" s="378"/>
      <c r="AN130" s="378"/>
      <c r="AO130" s="378"/>
      <c r="AP130" s="378"/>
      <c r="AQ130" s="378"/>
      <c r="AR130" s="378"/>
      <c r="AS130" s="378"/>
      <c r="AT130" s="378"/>
      <c r="AU130" s="378"/>
      <c r="AV130" s="378"/>
      <c r="AW130" s="378"/>
      <c r="AX130" s="378"/>
      <c r="AY130" s="378"/>
      <c r="AZ130" s="378"/>
      <c r="BA130" s="378"/>
      <c r="BB130" s="378"/>
      <c r="BC130" s="378"/>
      <c r="BD130" s="378"/>
      <c r="BE130" s="378"/>
      <c r="BF130" s="378"/>
      <c r="BG130" s="378"/>
      <c r="BH130" s="378"/>
      <c r="BI130" s="378"/>
      <c r="BJ130" s="378"/>
      <c r="BK130" s="378"/>
      <c r="BL130" s="378"/>
      <c r="BM130" s="378"/>
      <c r="BN130" s="378"/>
      <c r="BO130" s="378"/>
      <c r="BP130" s="378"/>
      <c r="BQ130" s="378"/>
      <c r="BR130" s="378"/>
      <c r="BS130" s="378"/>
      <c r="BT130" s="378"/>
      <c r="BU130" s="378"/>
      <c r="BV130" s="378"/>
      <c r="BW130" s="378"/>
      <c r="BX130" s="378"/>
      <c r="BY130" s="378"/>
      <c r="BZ130" s="378"/>
      <c r="CA130" s="378"/>
      <c r="CB130" s="378"/>
      <c r="CC130" s="378"/>
      <c r="CD130" s="378"/>
      <c r="CE130" s="378"/>
      <c r="CF130" s="378"/>
      <c r="CG130" s="378"/>
      <c r="CH130" s="378"/>
      <c r="CI130" s="378"/>
      <c r="CJ130" s="378"/>
      <c r="CK130" s="378"/>
      <c r="CL130" s="378"/>
      <c r="CM130" s="378"/>
      <c r="CN130" s="378"/>
      <c r="CO130" s="378"/>
      <c r="CP130" s="378"/>
      <c r="CQ130" s="378"/>
      <c r="CR130" s="378"/>
      <c r="CS130" s="378"/>
      <c r="CT130" s="378"/>
    </row>
    <row r="131" spans="1:98" x14ac:dyDescent="0.25">
      <c r="A131" s="378"/>
      <c r="B131" s="378"/>
      <c r="C131" s="378"/>
      <c r="D131" s="378"/>
      <c r="E131" s="378"/>
      <c r="F131" s="378"/>
      <c r="G131" s="378"/>
      <c r="H131" s="378"/>
      <c r="I131" s="378"/>
      <c r="J131" s="378"/>
      <c r="K131" s="378"/>
      <c r="L131" s="378"/>
      <c r="M131" s="378"/>
      <c r="N131" s="378"/>
      <c r="O131" s="378"/>
      <c r="P131" s="378"/>
      <c r="Q131" s="378"/>
      <c r="R131" s="378"/>
      <c r="S131" s="378"/>
      <c r="T131" s="378"/>
      <c r="U131" s="378"/>
      <c r="V131" s="378"/>
      <c r="W131" s="378"/>
      <c r="X131" s="378"/>
      <c r="Y131" s="378"/>
      <c r="Z131" s="378"/>
      <c r="AA131" s="378"/>
      <c r="AB131" s="378"/>
      <c r="AC131" s="378"/>
      <c r="AD131" s="378"/>
      <c r="AE131" s="378"/>
      <c r="AF131" s="378"/>
      <c r="AG131" s="378"/>
      <c r="AH131" s="378"/>
      <c r="AI131" s="378"/>
      <c r="AJ131" s="378"/>
      <c r="AK131" s="378"/>
      <c r="AL131" s="378"/>
      <c r="AM131" s="378"/>
      <c r="AN131" s="378"/>
      <c r="AO131" s="378"/>
      <c r="AP131" s="378"/>
      <c r="AQ131" s="378"/>
      <c r="AR131" s="378"/>
      <c r="AS131" s="378"/>
      <c r="AT131" s="378"/>
      <c r="AU131" s="378"/>
      <c r="AV131" s="378"/>
      <c r="AW131" s="378"/>
      <c r="AX131" s="378"/>
      <c r="AY131" s="378"/>
      <c r="AZ131" s="378"/>
      <c r="BA131" s="378"/>
      <c r="BB131" s="378"/>
      <c r="BC131" s="378"/>
      <c r="BD131" s="378"/>
      <c r="BE131" s="378"/>
      <c r="BF131" s="378"/>
      <c r="BG131" s="378"/>
      <c r="BH131" s="378"/>
      <c r="BI131" s="378"/>
      <c r="BJ131" s="378"/>
      <c r="BK131" s="378"/>
      <c r="BL131" s="378"/>
      <c r="BM131" s="378"/>
      <c r="BN131" s="378"/>
      <c r="BO131" s="378"/>
      <c r="BP131" s="378"/>
      <c r="BQ131" s="378"/>
      <c r="BR131" s="378"/>
      <c r="BS131" s="378"/>
      <c r="BT131" s="378"/>
      <c r="BU131" s="378"/>
      <c r="BV131" s="378"/>
      <c r="BW131" s="378"/>
      <c r="BX131" s="378"/>
      <c r="BY131" s="378"/>
      <c r="BZ131" s="378"/>
      <c r="CA131" s="378"/>
      <c r="CB131" s="378"/>
      <c r="CC131" s="378"/>
      <c r="CD131" s="378"/>
      <c r="CE131" s="378"/>
      <c r="CF131" s="378"/>
      <c r="CG131" s="378"/>
      <c r="CH131" s="378"/>
      <c r="CI131" s="378"/>
      <c r="CJ131" s="378"/>
      <c r="CK131" s="378"/>
      <c r="CL131" s="378"/>
      <c r="CM131" s="378"/>
      <c r="CN131" s="378"/>
      <c r="CO131" s="378"/>
      <c r="CP131" s="378"/>
      <c r="CQ131" s="378"/>
      <c r="CR131" s="378"/>
      <c r="CS131" s="378"/>
      <c r="CT131" s="378"/>
    </row>
    <row r="132" spans="1:98" x14ac:dyDescent="0.25">
      <c r="A132" s="378"/>
      <c r="B132" s="378"/>
      <c r="C132" s="378"/>
      <c r="D132" s="378"/>
      <c r="E132" s="378"/>
      <c r="F132" s="378"/>
      <c r="G132" s="378"/>
      <c r="H132" s="378"/>
      <c r="I132" s="378"/>
      <c r="J132" s="378"/>
      <c r="K132" s="378"/>
      <c r="L132" s="378"/>
      <c r="M132" s="378"/>
      <c r="N132" s="378"/>
      <c r="O132" s="378"/>
      <c r="P132" s="378"/>
      <c r="Q132" s="378"/>
      <c r="R132" s="378"/>
      <c r="S132" s="378"/>
      <c r="T132" s="378"/>
      <c r="U132" s="378"/>
      <c r="V132" s="378"/>
      <c r="W132" s="378"/>
      <c r="X132" s="378"/>
      <c r="Y132" s="378"/>
      <c r="Z132" s="378"/>
      <c r="AA132" s="378"/>
      <c r="AB132" s="378"/>
      <c r="AC132" s="378"/>
      <c r="AD132" s="378"/>
      <c r="AE132" s="378"/>
      <c r="AF132" s="378"/>
      <c r="AG132" s="378"/>
      <c r="AH132" s="378"/>
      <c r="AI132" s="378"/>
      <c r="AJ132" s="378"/>
      <c r="AK132" s="378"/>
      <c r="AL132" s="378"/>
      <c r="AM132" s="378"/>
      <c r="AN132" s="378"/>
      <c r="AO132" s="378"/>
      <c r="AP132" s="378"/>
      <c r="AQ132" s="378"/>
      <c r="AR132" s="378"/>
      <c r="AS132" s="378"/>
      <c r="AT132" s="378"/>
      <c r="AU132" s="378"/>
      <c r="AV132" s="378"/>
      <c r="AW132" s="378"/>
      <c r="AX132" s="378"/>
      <c r="AY132" s="378"/>
      <c r="AZ132" s="378"/>
      <c r="BA132" s="378"/>
      <c r="BB132" s="378"/>
      <c r="BC132" s="378"/>
      <c r="BD132" s="378"/>
      <c r="BE132" s="378"/>
      <c r="BF132" s="378"/>
      <c r="BG132" s="378"/>
      <c r="BH132" s="378"/>
      <c r="BI132" s="378"/>
      <c r="BJ132" s="378"/>
      <c r="BK132" s="378"/>
      <c r="BL132" s="378"/>
      <c r="BM132" s="378"/>
      <c r="BN132" s="378"/>
      <c r="BO132" s="378"/>
      <c r="BP132" s="378"/>
      <c r="BQ132" s="378"/>
      <c r="BR132" s="378"/>
      <c r="BS132" s="378"/>
      <c r="BT132" s="378"/>
      <c r="BU132" s="378"/>
      <c r="BV132" s="378"/>
      <c r="BW132" s="378"/>
      <c r="BX132" s="378"/>
      <c r="BY132" s="378"/>
      <c r="BZ132" s="378"/>
      <c r="CA132" s="378"/>
      <c r="CB132" s="378"/>
      <c r="CC132" s="378"/>
      <c r="CD132" s="378"/>
      <c r="CE132" s="378"/>
      <c r="CF132" s="378"/>
      <c r="CG132" s="378"/>
      <c r="CH132" s="378"/>
      <c r="CI132" s="378"/>
      <c r="CJ132" s="378"/>
      <c r="CK132" s="378"/>
      <c r="CL132" s="378"/>
      <c r="CM132" s="378"/>
      <c r="CN132" s="378"/>
      <c r="CO132" s="378"/>
      <c r="CP132" s="378"/>
      <c r="CQ132" s="378"/>
      <c r="CR132" s="378"/>
      <c r="CS132" s="378"/>
      <c r="CT132" s="378"/>
    </row>
    <row r="133" spans="1:98" x14ac:dyDescent="0.25">
      <c r="A133" s="378"/>
      <c r="B133" s="378"/>
      <c r="C133" s="378"/>
      <c r="D133" s="378"/>
      <c r="E133" s="378"/>
      <c r="F133" s="378"/>
      <c r="G133" s="378"/>
      <c r="H133" s="378"/>
      <c r="I133" s="378"/>
      <c r="J133" s="378"/>
      <c r="K133" s="378"/>
      <c r="L133" s="378"/>
      <c r="M133" s="378"/>
      <c r="N133" s="378"/>
      <c r="O133" s="378"/>
      <c r="P133" s="378"/>
      <c r="Q133" s="378"/>
      <c r="R133" s="378"/>
      <c r="S133" s="378"/>
      <c r="T133" s="378"/>
      <c r="U133" s="378"/>
      <c r="V133" s="378"/>
      <c r="W133" s="378"/>
      <c r="X133" s="378"/>
      <c r="Y133" s="378"/>
      <c r="Z133" s="378"/>
      <c r="AA133" s="378"/>
      <c r="AB133" s="378"/>
      <c r="AC133" s="378"/>
      <c r="AD133" s="378"/>
      <c r="AE133" s="378"/>
      <c r="AF133" s="378"/>
      <c r="AG133" s="378"/>
      <c r="AH133" s="378"/>
      <c r="AI133" s="378"/>
      <c r="AJ133" s="378"/>
      <c r="AK133" s="378"/>
      <c r="AL133" s="378"/>
      <c r="AM133" s="378"/>
      <c r="AN133" s="378"/>
      <c r="AO133" s="378"/>
      <c r="AP133" s="378"/>
      <c r="AQ133" s="378"/>
      <c r="AR133" s="378"/>
      <c r="AS133" s="378"/>
      <c r="AT133" s="378"/>
      <c r="AU133" s="378"/>
      <c r="AV133" s="378"/>
      <c r="AW133" s="378"/>
      <c r="AX133" s="378"/>
      <c r="AY133" s="378"/>
      <c r="AZ133" s="378"/>
      <c r="BA133" s="378"/>
      <c r="BB133" s="378"/>
      <c r="BC133" s="378"/>
      <c r="BD133" s="378"/>
      <c r="BE133" s="378"/>
      <c r="BF133" s="378"/>
      <c r="BG133" s="378"/>
      <c r="BH133" s="378"/>
      <c r="BI133" s="378"/>
      <c r="BJ133" s="378"/>
      <c r="BK133" s="378"/>
      <c r="BL133" s="378"/>
      <c r="BM133" s="378"/>
      <c r="BN133" s="378"/>
      <c r="BO133" s="378"/>
      <c r="BP133" s="378"/>
      <c r="BQ133" s="378"/>
      <c r="BR133" s="378"/>
      <c r="BS133" s="378"/>
      <c r="BT133" s="378"/>
      <c r="BU133" s="378"/>
      <c r="BV133" s="378"/>
      <c r="BW133" s="378"/>
      <c r="BX133" s="378"/>
      <c r="BY133" s="378"/>
      <c r="BZ133" s="378"/>
      <c r="CA133" s="378"/>
      <c r="CB133" s="378"/>
      <c r="CC133" s="378"/>
      <c r="CD133" s="378"/>
      <c r="CE133" s="378"/>
      <c r="CF133" s="378"/>
      <c r="CG133" s="378"/>
      <c r="CH133" s="378"/>
      <c r="CI133" s="378"/>
      <c r="CJ133" s="378"/>
      <c r="CK133" s="378"/>
      <c r="CL133" s="378"/>
      <c r="CM133" s="378"/>
      <c r="CN133" s="378"/>
      <c r="CO133" s="378"/>
      <c r="CP133" s="378"/>
      <c r="CQ133" s="378"/>
      <c r="CR133" s="378"/>
      <c r="CS133" s="378"/>
      <c r="CT133" s="378"/>
    </row>
    <row r="134" spans="1:98" x14ac:dyDescent="0.25">
      <c r="A134" s="378"/>
      <c r="B134" s="378"/>
      <c r="C134" s="378"/>
      <c r="D134" s="378"/>
      <c r="E134" s="378"/>
      <c r="F134" s="378"/>
      <c r="G134" s="378"/>
      <c r="H134" s="378"/>
      <c r="I134" s="378"/>
      <c r="J134" s="378"/>
      <c r="K134" s="378"/>
      <c r="L134" s="378"/>
      <c r="M134" s="378"/>
      <c r="N134" s="378"/>
      <c r="O134" s="378"/>
      <c r="P134" s="378"/>
      <c r="Q134" s="378"/>
      <c r="R134" s="378"/>
      <c r="S134" s="378"/>
      <c r="T134" s="378"/>
      <c r="U134" s="378"/>
      <c r="V134" s="378"/>
      <c r="W134" s="378"/>
      <c r="X134" s="378"/>
      <c r="Y134" s="378"/>
      <c r="Z134" s="378"/>
      <c r="AA134" s="378"/>
      <c r="AB134" s="378"/>
      <c r="AC134" s="378"/>
      <c r="AD134" s="378"/>
      <c r="AE134" s="378"/>
      <c r="AF134" s="378"/>
      <c r="AG134" s="378"/>
      <c r="AH134" s="378"/>
      <c r="AI134" s="378"/>
      <c r="AJ134" s="378"/>
      <c r="AK134" s="378"/>
      <c r="AL134" s="378"/>
      <c r="AM134" s="378"/>
      <c r="AN134" s="378"/>
      <c r="AO134" s="378"/>
      <c r="AP134" s="378"/>
      <c r="AQ134" s="378"/>
      <c r="AR134" s="378"/>
      <c r="AS134" s="378"/>
      <c r="AT134" s="378"/>
      <c r="AU134" s="378"/>
      <c r="AV134" s="378"/>
      <c r="AW134" s="378"/>
      <c r="AX134" s="378"/>
      <c r="AY134" s="378"/>
      <c r="AZ134" s="378"/>
      <c r="BA134" s="378"/>
      <c r="BB134" s="378"/>
      <c r="BC134" s="378"/>
      <c r="BD134" s="378"/>
      <c r="BE134" s="378"/>
      <c r="BF134" s="378"/>
      <c r="BG134" s="378"/>
      <c r="BH134" s="378"/>
      <c r="BI134" s="378"/>
      <c r="BJ134" s="378"/>
      <c r="BK134" s="378"/>
      <c r="BL134" s="378"/>
      <c r="BM134" s="378"/>
      <c r="BN134" s="378"/>
      <c r="BO134" s="378"/>
      <c r="BP134" s="378"/>
      <c r="BQ134" s="378"/>
      <c r="BR134" s="378"/>
      <c r="BS134" s="378"/>
      <c r="BT134" s="378"/>
      <c r="BU134" s="378"/>
      <c r="BV134" s="378"/>
      <c r="BW134" s="378"/>
      <c r="BX134" s="378"/>
      <c r="BY134" s="378"/>
      <c r="BZ134" s="378"/>
      <c r="CA134" s="378"/>
      <c r="CB134" s="378"/>
      <c r="CC134" s="378"/>
      <c r="CD134" s="378"/>
      <c r="CE134" s="378"/>
      <c r="CF134" s="378"/>
      <c r="CG134" s="378"/>
      <c r="CH134" s="378"/>
      <c r="CI134" s="378"/>
      <c r="CJ134" s="378"/>
      <c r="CK134" s="378"/>
      <c r="CL134" s="378"/>
      <c r="CM134" s="378"/>
      <c r="CN134" s="378"/>
      <c r="CO134" s="378"/>
      <c r="CP134" s="378"/>
      <c r="CQ134" s="378"/>
      <c r="CR134" s="378"/>
      <c r="CS134" s="378"/>
      <c r="CT134" s="378"/>
    </row>
    <row r="135" spans="1:98" x14ac:dyDescent="0.25">
      <c r="A135" s="378"/>
      <c r="B135" s="378"/>
      <c r="C135" s="378"/>
      <c r="D135" s="378"/>
      <c r="E135" s="378"/>
      <c r="F135" s="378"/>
      <c r="G135" s="378"/>
      <c r="H135" s="378"/>
      <c r="I135" s="378"/>
      <c r="J135" s="378"/>
      <c r="K135" s="378"/>
      <c r="L135" s="378"/>
      <c r="M135" s="378"/>
      <c r="N135" s="378"/>
      <c r="O135" s="378"/>
      <c r="P135" s="378"/>
      <c r="Q135" s="378"/>
      <c r="R135" s="378"/>
      <c r="S135" s="378"/>
      <c r="T135" s="378"/>
      <c r="U135" s="378"/>
      <c r="V135" s="378"/>
      <c r="W135" s="378"/>
      <c r="X135" s="378"/>
      <c r="Y135" s="378"/>
      <c r="Z135" s="378"/>
      <c r="AA135" s="378"/>
      <c r="AB135" s="378"/>
      <c r="AC135" s="378"/>
      <c r="AD135" s="378"/>
      <c r="AE135" s="378"/>
      <c r="AF135" s="378"/>
      <c r="AG135" s="378"/>
      <c r="AH135" s="378"/>
      <c r="AI135" s="378"/>
      <c r="AJ135" s="378"/>
      <c r="AK135" s="378"/>
      <c r="AL135" s="378"/>
      <c r="AM135" s="378"/>
      <c r="AN135" s="378"/>
      <c r="AO135" s="378"/>
      <c r="AP135" s="378"/>
      <c r="AQ135" s="378"/>
      <c r="AR135" s="378"/>
      <c r="AS135" s="378"/>
      <c r="AT135" s="378"/>
      <c r="AU135" s="378"/>
      <c r="AV135" s="378"/>
      <c r="AW135" s="378"/>
      <c r="AX135" s="378"/>
      <c r="AY135" s="378"/>
      <c r="AZ135" s="378"/>
      <c r="BA135" s="378"/>
      <c r="BB135" s="378"/>
      <c r="BC135" s="378"/>
      <c r="BD135" s="378"/>
      <c r="BE135" s="378"/>
      <c r="BF135" s="378"/>
      <c r="BG135" s="378"/>
      <c r="BH135" s="378"/>
      <c r="BI135" s="378"/>
      <c r="BJ135" s="378"/>
      <c r="BK135" s="378"/>
      <c r="BL135" s="378"/>
      <c r="BM135" s="378"/>
      <c r="BN135" s="378"/>
      <c r="BO135" s="378"/>
      <c r="BP135" s="378"/>
      <c r="BQ135" s="378"/>
      <c r="BR135" s="378"/>
      <c r="BS135" s="378"/>
      <c r="BT135" s="378"/>
      <c r="BU135" s="378"/>
      <c r="BV135" s="378"/>
      <c r="BW135" s="378"/>
      <c r="BX135" s="378"/>
      <c r="BY135" s="378"/>
      <c r="BZ135" s="378"/>
      <c r="CA135" s="378"/>
      <c r="CB135" s="378"/>
      <c r="CC135" s="378"/>
      <c r="CD135" s="378"/>
      <c r="CE135" s="378"/>
      <c r="CF135" s="378"/>
      <c r="CG135" s="378"/>
      <c r="CH135" s="378"/>
      <c r="CI135" s="378"/>
      <c r="CJ135" s="378"/>
      <c r="CK135" s="378"/>
      <c r="CL135" s="378"/>
      <c r="CM135" s="378"/>
      <c r="CN135" s="378"/>
      <c r="CO135" s="378"/>
      <c r="CP135" s="378"/>
      <c r="CQ135" s="378"/>
      <c r="CR135" s="378"/>
      <c r="CS135" s="378"/>
      <c r="CT135" s="378"/>
    </row>
    <row r="136" spans="1:98" x14ac:dyDescent="0.25">
      <c r="A136" s="378"/>
      <c r="B136" s="378"/>
      <c r="C136" s="378"/>
      <c r="D136" s="378"/>
      <c r="E136" s="378"/>
      <c r="F136" s="378"/>
      <c r="G136" s="378"/>
      <c r="H136" s="378"/>
      <c r="I136" s="378"/>
      <c r="J136" s="378"/>
      <c r="K136" s="378"/>
      <c r="L136" s="378"/>
      <c r="M136" s="378"/>
      <c r="N136" s="378"/>
      <c r="O136" s="378"/>
      <c r="P136" s="378"/>
      <c r="Q136" s="378"/>
      <c r="R136" s="378"/>
      <c r="S136" s="378"/>
      <c r="T136" s="378"/>
      <c r="U136" s="378"/>
      <c r="V136" s="378"/>
      <c r="W136" s="378"/>
      <c r="X136" s="378"/>
      <c r="Y136" s="378"/>
      <c r="Z136" s="378"/>
      <c r="AA136" s="378"/>
      <c r="AB136" s="378"/>
      <c r="AC136" s="378"/>
      <c r="AD136" s="378"/>
      <c r="AE136" s="378"/>
      <c r="AF136" s="378"/>
      <c r="AG136" s="378"/>
      <c r="AH136" s="378"/>
      <c r="AI136" s="378"/>
      <c r="AJ136" s="378"/>
      <c r="AK136" s="378"/>
      <c r="AL136" s="378"/>
      <c r="AM136" s="378"/>
      <c r="AN136" s="378"/>
      <c r="AO136" s="378"/>
      <c r="AP136" s="378"/>
      <c r="AQ136" s="378"/>
      <c r="AR136" s="378"/>
      <c r="AS136" s="378"/>
      <c r="AT136" s="378"/>
      <c r="AU136" s="378"/>
      <c r="AV136" s="378"/>
      <c r="AW136" s="378"/>
      <c r="AX136" s="378"/>
      <c r="AY136" s="378"/>
      <c r="AZ136" s="378"/>
      <c r="BA136" s="378"/>
      <c r="BB136" s="378"/>
      <c r="BC136" s="378"/>
      <c r="BD136" s="378"/>
      <c r="BE136" s="378"/>
      <c r="BF136" s="378"/>
      <c r="BG136" s="378"/>
      <c r="BH136" s="378"/>
      <c r="BI136" s="378"/>
      <c r="BJ136" s="378"/>
      <c r="BK136" s="378"/>
      <c r="BL136" s="378"/>
      <c r="BM136" s="378"/>
      <c r="BN136" s="378"/>
      <c r="BO136" s="378"/>
      <c r="BP136" s="378"/>
      <c r="BQ136" s="378"/>
      <c r="BR136" s="378"/>
      <c r="BS136" s="378"/>
      <c r="BT136" s="378"/>
      <c r="BU136" s="378"/>
      <c r="BV136" s="378"/>
      <c r="BW136" s="378"/>
      <c r="BX136" s="378"/>
      <c r="BY136" s="378"/>
      <c r="BZ136" s="378"/>
      <c r="CA136" s="378"/>
      <c r="CB136" s="378"/>
      <c r="CC136" s="378"/>
      <c r="CD136" s="378"/>
      <c r="CE136" s="378"/>
      <c r="CF136" s="378"/>
      <c r="CG136" s="378"/>
      <c r="CH136" s="378"/>
      <c r="CI136" s="378"/>
      <c r="CJ136" s="378"/>
      <c r="CK136" s="378"/>
      <c r="CL136" s="378"/>
      <c r="CM136" s="378"/>
      <c r="CN136" s="378"/>
      <c r="CO136" s="378"/>
      <c r="CP136" s="378"/>
      <c r="CQ136" s="378"/>
      <c r="CR136" s="378"/>
      <c r="CS136" s="378"/>
      <c r="CT136" s="378"/>
    </row>
    <row r="137" spans="1:98" x14ac:dyDescent="0.25">
      <c r="A137" s="378"/>
      <c r="B137" s="378"/>
      <c r="C137" s="378"/>
      <c r="D137" s="378"/>
      <c r="E137" s="378"/>
      <c r="F137" s="378"/>
      <c r="G137" s="378"/>
      <c r="H137" s="378"/>
      <c r="I137" s="378"/>
      <c r="J137" s="378"/>
      <c r="K137" s="378"/>
      <c r="L137" s="378"/>
      <c r="M137" s="378"/>
      <c r="N137" s="378"/>
      <c r="O137" s="378"/>
      <c r="P137" s="378"/>
      <c r="Q137" s="378"/>
      <c r="R137" s="378"/>
      <c r="S137" s="378"/>
      <c r="T137" s="378"/>
      <c r="U137" s="378"/>
      <c r="V137" s="378"/>
      <c r="W137" s="378"/>
      <c r="X137" s="378"/>
      <c r="Y137" s="378"/>
      <c r="Z137" s="378"/>
      <c r="AA137" s="378"/>
      <c r="AB137" s="378"/>
      <c r="AC137" s="378"/>
      <c r="AD137" s="378"/>
      <c r="AE137" s="378"/>
      <c r="AF137" s="378"/>
      <c r="AG137" s="378"/>
      <c r="AH137" s="378"/>
      <c r="AI137" s="378"/>
      <c r="AJ137" s="378"/>
      <c r="AK137" s="378"/>
      <c r="AL137" s="378"/>
      <c r="AM137" s="378"/>
      <c r="AN137" s="378"/>
      <c r="AO137" s="378"/>
      <c r="AP137" s="378"/>
      <c r="AQ137" s="378"/>
      <c r="AR137" s="378"/>
      <c r="AS137" s="378"/>
      <c r="AT137" s="378"/>
      <c r="AU137" s="378"/>
      <c r="AV137" s="378"/>
      <c r="AW137" s="378"/>
      <c r="AX137" s="378"/>
      <c r="AY137" s="378"/>
      <c r="AZ137" s="378"/>
      <c r="BA137" s="378"/>
      <c r="BB137" s="378"/>
      <c r="BC137" s="378"/>
      <c r="BD137" s="378"/>
      <c r="BE137" s="378"/>
      <c r="BF137" s="378"/>
      <c r="BG137" s="378"/>
      <c r="BH137" s="378"/>
      <c r="BI137" s="378"/>
      <c r="BJ137" s="378"/>
      <c r="BK137" s="378"/>
      <c r="BL137" s="378"/>
      <c r="BM137" s="378"/>
      <c r="BN137" s="378"/>
      <c r="BO137" s="378"/>
      <c r="BP137" s="378"/>
      <c r="BQ137" s="378"/>
      <c r="BR137" s="378"/>
      <c r="BS137" s="378"/>
      <c r="BT137" s="378"/>
      <c r="BU137" s="378"/>
      <c r="BV137" s="378"/>
      <c r="BW137" s="378"/>
      <c r="BX137" s="378"/>
      <c r="BY137" s="378"/>
      <c r="BZ137" s="378"/>
      <c r="CA137" s="378"/>
      <c r="CB137" s="378"/>
      <c r="CC137" s="378"/>
      <c r="CD137" s="378"/>
      <c r="CE137" s="378"/>
      <c r="CF137" s="378"/>
      <c r="CG137" s="378"/>
      <c r="CH137" s="378"/>
      <c r="CI137" s="378"/>
      <c r="CJ137" s="378"/>
      <c r="CK137" s="378"/>
      <c r="CL137" s="378"/>
      <c r="CM137" s="378"/>
      <c r="CN137" s="378"/>
      <c r="CO137" s="378"/>
      <c r="CP137" s="378"/>
      <c r="CQ137" s="378"/>
      <c r="CR137" s="378"/>
      <c r="CS137" s="378"/>
      <c r="CT137" s="378"/>
    </row>
    <row r="138" spans="1:98" x14ac:dyDescent="0.25">
      <c r="A138" s="378"/>
      <c r="B138" s="378"/>
      <c r="C138" s="378"/>
      <c r="D138" s="378"/>
      <c r="E138" s="378"/>
      <c r="F138" s="378"/>
      <c r="G138" s="378"/>
      <c r="H138" s="378"/>
      <c r="I138" s="378"/>
      <c r="J138" s="378"/>
      <c r="K138" s="378"/>
      <c r="L138" s="378"/>
      <c r="M138" s="378"/>
      <c r="N138" s="378"/>
      <c r="O138" s="378"/>
      <c r="P138" s="378"/>
      <c r="Q138" s="378"/>
      <c r="R138" s="378"/>
      <c r="S138" s="378"/>
      <c r="T138" s="378"/>
      <c r="U138" s="378"/>
      <c r="V138" s="378"/>
      <c r="W138" s="378"/>
      <c r="X138" s="378"/>
      <c r="Y138" s="378"/>
      <c r="Z138" s="378"/>
      <c r="AA138" s="378"/>
      <c r="AB138" s="378"/>
      <c r="AC138" s="378"/>
      <c r="AD138" s="378"/>
      <c r="AE138" s="378"/>
      <c r="AF138" s="378"/>
      <c r="AG138" s="378"/>
      <c r="AH138" s="378"/>
      <c r="AI138" s="378"/>
      <c r="AJ138" s="378"/>
      <c r="AK138" s="378"/>
      <c r="AL138" s="378"/>
      <c r="AM138" s="378"/>
      <c r="AN138" s="378"/>
      <c r="AO138" s="378"/>
      <c r="AP138" s="378"/>
      <c r="AQ138" s="378"/>
      <c r="AR138" s="378"/>
      <c r="AS138" s="378"/>
      <c r="AT138" s="378"/>
      <c r="AU138" s="378"/>
      <c r="AV138" s="378"/>
      <c r="AW138" s="378"/>
      <c r="AX138" s="378"/>
      <c r="AY138" s="378"/>
      <c r="AZ138" s="378"/>
      <c r="BA138" s="378"/>
      <c r="BB138" s="378"/>
      <c r="BC138" s="378"/>
      <c r="BD138" s="378"/>
      <c r="BE138" s="378"/>
      <c r="BF138" s="378"/>
      <c r="BG138" s="378"/>
      <c r="BH138" s="378"/>
      <c r="BI138" s="378"/>
      <c r="BJ138" s="378"/>
      <c r="BK138" s="378"/>
      <c r="BL138" s="378"/>
      <c r="BM138" s="378"/>
      <c r="BN138" s="378"/>
      <c r="BO138" s="378"/>
      <c r="BP138" s="378"/>
      <c r="BQ138" s="378"/>
      <c r="BR138" s="378"/>
      <c r="BS138" s="378"/>
      <c r="BT138" s="378"/>
      <c r="BU138" s="378"/>
      <c r="BV138" s="378"/>
      <c r="BW138" s="378"/>
      <c r="BX138" s="378"/>
      <c r="BY138" s="378"/>
      <c r="BZ138" s="378"/>
      <c r="CA138" s="378"/>
      <c r="CB138" s="378"/>
      <c r="CC138" s="378"/>
      <c r="CD138" s="378"/>
      <c r="CE138" s="378"/>
      <c r="CF138" s="378"/>
      <c r="CG138" s="378"/>
      <c r="CH138" s="378"/>
      <c r="CI138" s="378"/>
      <c r="CJ138" s="378"/>
      <c r="CK138" s="378"/>
      <c r="CL138" s="378"/>
      <c r="CM138" s="378"/>
      <c r="CN138" s="378"/>
      <c r="CO138" s="378"/>
      <c r="CP138" s="378"/>
      <c r="CQ138" s="378"/>
      <c r="CR138" s="378"/>
      <c r="CS138" s="378"/>
      <c r="CT138" s="378"/>
    </row>
    <row r="139" spans="1:98" x14ac:dyDescent="0.25">
      <c r="A139" s="378"/>
      <c r="B139" s="378"/>
      <c r="C139" s="378"/>
      <c r="D139" s="378"/>
      <c r="E139" s="378"/>
      <c r="F139" s="378"/>
      <c r="G139" s="378"/>
      <c r="H139" s="378"/>
      <c r="I139" s="378"/>
      <c r="J139" s="378"/>
      <c r="K139" s="378"/>
      <c r="L139" s="378"/>
      <c r="M139" s="378"/>
      <c r="N139" s="378"/>
      <c r="O139" s="378"/>
      <c r="P139" s="378"/>
      <c r="Q139" s="378"/>
      <c r="R139" s="378"/>
      <c r="S139" s="378"/>
      <c r="T139" s="378"/>
      <c r="U139" s="378"/>
      <c r="V139" s="378"/>
      <c r="W139" s="378"/>
      <c r="X139" s="378"/>
      <c r="Y139" s="378"/>
      <c r="Z139" s="378"/>
      <c r="AA139" s="378"/>
      <c r="AB139" s="378"/>
      <c r="AC139" s="378"/>
      <c r="AD139" s="378"/>
      <c r="AE139" s="378"/>
      <c r="AF139" s="378"/>
      <c r="AG139" s="378"/>
      <c r="AH139" s="378"/>
      <c r="AI139" s="378"/>
      <c r="AJ139" s="378"/>
      <c r="AK139" s="378"/>
      <c r="AL139" s="378"/>
      <c r="AM139" s="378"/>
      <c r="AN139" s="378"/>
      <c r="AO139" s="378"/>
      <c r="AP139" s="378"/>
      <c r="AQ139" s="378"/>
      <c r="AR139" s="378"/>
      <c r="AS139" s="378"/>
      <c r="AT139" s="378"/>
      <c r="AU139" s="378"/>
      <c r="AV139" s="378"/>
      <c r="AW139" s="378"/>
      <c r="AX139" s="378"/>
      <c r="AY139" s="378"/>
      <c r="AZ139" s="378"/>
      <c r="BA139" s="378"/>
      <c r="BB139" s="378"/>
      <c r="BC139" s="378"/>
      <c r="BD139" s="378"/>
      <c r="BE139" s="378"/>
      <c r="BF139" s="378"/>
      <c r="BG139" s="378"/>
      <c r="BH139" s="378"/>
      <c r="BI139" s="378"/>
      <c r="BJ139" s="378"/>
      <c r="BK139" s="378"/>
      <c r="BL139" s="378"/>
      <c r="BM139" s="378"/>
      <c r="BN139" s="378"/>
      <c r="BO139" s="378"/>
      <c r="BP139" s="378"/>
      <c r="BQ139" s="378"/>
      <c r="BR139" s="378"/>
      <c r="BS139" s="378"/>
      <c r="BT139" s="378"/>
      <c r="BU139" s="378"/>
      <c r="BV139" s="378"/>
      <c r="BW139" s="378"/>
      <c r="BX139" s="378"/>
      <c r="BY139" s="378"/>
      <c r="BZ139" s="378"/>
      <c r="CA139" s="378"/>
      <c r="CB139" s="378"/>
      <c r="CC139" s="378"/>
      <c r="CD139" s="378"/>
      <c r="CE139" s="378"/>
      <c r="CF139" s="378"/>
      <c r="CG139" s="378"/>
      <c r="CH139" s="378"/>
      <c r="CI139" s="378"/>
      <c r="CJ139" s="378"/>
      <c r="CK139" s="378"/>
      <c r="CL139" s="378"/>
      <c r="CM139" s="378"/>
      <c r="CN139" s="378"/>
      <c r="CO139" s="378"/>
      <c r="CP139" s="378"/>
      <c r="CQ139" s="378"/>
      <c r="CR139" s="378"/>
      <c r="CS139" s="378"/>
      <c r="CT139" s="378"/>
    </row>
    <row r="140" spans="1:98" x14ac:dyDescent="0.25">
      <c r="A140" s="378"/>
      <c r="B140" s="378"/>
      <c r="C140" s="378"/>
      <c r="D140" s="378"/>
      <c r="E140" s="378"/>
      <c r="F140" s="378"/>
      <c r="G140" s="378"/>
      <c r="H140" s="378"/>
      <c r="I140" s="378"/>
      <c r="J140" s="378"/>
      <c r="K140" s="378"/>
      <c r="L140" s="378"/>
      <c r="M140" s="378"/>
      <c r="N140" s="378"/>
      <c r="O140" s="378"/>
      <c r="P140" s="378"/>
      <c r="Q140" s="378"/>
      <c r="R140" s="378"/>
      <c r="S140" s="378"/>
      <c r="T140" s="378"/>
      <c r="U140" s="378"/>
      <c r="V140" s="378"/>
      <c r="W140" s="378"/>
      <c r="X140" s="378"/>
      <c r="Y140" s="378"/>
      <c r="Z140" s="378"/>
      <c r="AA140" s="378"/>
      <c r="AB140" s="378"/>
      <c r="AC140" s="378"/>
      <c r="AD140" s="378"/>
      <c r="AE140" s="378"/>
      <c r="AF140" s="378"/>
      <c r="AG140" s="378"/>
      <c r="AH140" s="378"/>
      <c r="AI140" s="378"/>
      <c r="AJ140" s="378"/>
      <c r="AK140" s="378"/>
      <c r="AL140" s="378"/>
      <c r="AM140" s="378"/>
      <c r="AN140" s="378"/>
      <c r="AO140" s="378"/>
      <c r="AP140" s="378"/>
      <c r="AQ140" s="378"/>
      <c r="AR140" s="378"/>
      <c r="AS140" s="378"/>
      <c r="AT140" s="378"/>
      <c r="AU140" s="378"/>
      <c r="AV140" s="378"/>
      <c r="AW140" s="378"/>
      <c r="AX140" s="378"/>
      <c r="AY140" s="378"/>
      <c r="AZ140" s="378"/>
      <c r="BA140" s="378"/>
      <c r="BB140" s="378"/>
      <c r="BC140" s="378"/>
      <c r="BD140" s="378"/>
      <c r="BE140" s="378"/>
      <c r="BF140" s="378"/>
      <c r="BG140" s="378"/>
      <c r="BH140" s="378"/>
      <c r="BI140" s="378"/>
      <c r="BJ140" s="378"/>
      <c r="BK140" s="378"/>
      <c r="BL140" s="378"/>
      <c r="BM140" s="378"/>
      <c r="BN140" s="378"/>
      <c r="BO140" s="378"/>
      <c r="BP140" s="378"/>
      <c r="BQ140" s="378"/>
      <c r="BR140" s="378"/>
      <c r="BS140" s="378"/>
      <c r="BT140" s="378"/>
      <c r="BU140" s="378"/>
      <c r="BV140" s="378"/>
      <c r="BW140" s="378"/>
      <c r="BX140" s="378"/>
      <c r="BY140" s="378"/>
      <c r="BZ140" s="378"/>
      <c r="CA140" s="378"/>
      <c r="CB140" s="378"/>
      <c r="CC140" s="378"/>
      <c r="CD140" s="378"/>
      <c r="CE140" s="378"/>
      <c r="CF140" s="378"/>
      <c r="CG140" s="378"/>
      <c r="CH140" s="378"/>
      <c r="CI140" s="378"/>
      <c r="CJ140" s="378"/>
      <c r="CK140" s="378"/>
      <c r="CL140" s="378"/>
      <c r="CM140" s="378"/>
      <c r="CN140" s="378"/>
      <c r="CO140" s="378"/>
      <c r="CP140" s="378"/>
      <c r="CQ140" s="378"/>
      <c r="CR140" s="378"/>
      <c r="CS140" s="378"/>
      <c r="CT140" s="378"/>
    </row>
    <row r="141" spans="1:98" x14ac:dyDescent="0.25">
      <c r="A141" s="378"/>
      <c r="B141" s="378"/>
      <c r="C141" s="378"/>
      <c r="D141" s="378"/>
      <c r="E141" s="378"/>
      <c r="F141" s="378"/>
      <c r="G141" s="378"/>
      <c r="H141" s="378"/>
      <c r="I141" s="378"/>
      <c r="J141" s="378"/>
      <c r="K141" s="378"/>
      <c r="L141" s="378"/>
      <c r="M141" s="378"/>
      <c r="N141" s="378"/>
      <c r="O141" s="378"/>
      <c r="P141" s="378"/>
      <c r="Q141" s="378"/>
      <c r="R141" s="378"/>
      <c r="S141" s="378"/>
      <c r="T141" s="378"/>
      <c r="U141" s="378"/>
      <c r="V141" s="378"/>
      <c r="W141" s="378"/>
      <c r="X141" s="378"/>
      <c r="Y141" s="378"/>
      <c r="Z141" s="378"/>
      <c r="AA141" s="378"/>
      <c r="AB141" s="378"/>
      <c r="AC141" s="378"/>
      <c r="AD141" s="378"/>
      <c r="AE141" s="378"/>
      <c r="AF141" s="378"/>
      <c r="AG141" s="378"/>
      <c r="AH141" s="378"/>
      <c r="AI141" s="378"/>
      <c r="AJ141" s="378"/>
      <c r="AK141" s="378"/>
      <c r="AL141" s="378"/>
      <c r="AM141" s="378"/>
      <c r="AN141" s="378"/>
      <c r="AO141" s="378"/>
      <c r="AP141" s="378"/>
      <c r="AQ141" s="378"/>
      <c r="AR141" s="378"/>
      <c r="AS141" s="378"/>
      <c r="AT141" s="378"/>
      <c r="AU141" s="378"/>
      <c r="AV141" s="378"/>
      <c r="AW141" s="378"/>
      <c r="AX141" s="378"/>
      <c r="AY141" s="378"/>
      <c r="AZ141" s="378"/>
      <c r="BA141" s="378"/>
      <c r="BB141" s="378"/>
      <c r="BC141" s="378"/>
      <c r="BD141" s="378"/>
      <c r="BE141" s="378"/>
      <c r="BF141" s="378"/>
      <c r="BG141" s="378"/>
      <c r="BH141" s="378"/>
      <c r="BI141" s="378"/>
      <c r="BJ141" s="378"/>
      <c r="BK141" s="378"/>
      <c r="BL141" s="378"/>
      <c r="BM141" s="378"/>
      <c r="BN141" s="378"/>
      <c r="BO141" s="378"/>
      <c r="BP141" s="378"/>
      <c r="BQ141" s="378"/>
      <c r="BR141" s="378"/>
      <c r="BS141" s="378"/>
      <c r="BT141" s="378"/>
      <c r="BU141" s="378"/>
      <c r="BV141" s="378"/>
      <c r="BW141" s="378"/>
      <c r="BX141" s="378"/>
      <c r="BY141" s="378"/>
      <c r="BZ141" s="378"/>
      <c r="CA141" s="378"/>
      <c r="CB141" s="378"/>
      <c r="CC141" s="378"/>
      <c r="CD141" s="378"/>
      <c r="CE141" s="378"/>
      <c r="CF141" s="378"/>
      <c r="CG141" s="378"/>
      <c r="CH141" s="378"/>
      <c r="CI141" s="378"/>
      <c r="CJ141" s="378"/>
      <c r="CK141" s="378"/>
      <c r="CL141" s="378"/>
      <c r="CM141" s="378"/>
      <c r="CN141" s="378"/>
      <c r="CO141" s="378"/>
      <c r="CP141" s="378"/>
      <c r="CQ141" s="378"/>
      <c r="CR141" s="378"/>
      <c r="CS141" s="378"/>
      <c r="CT141" s="378"/>
    </row>
    <row r="142" spans="1:98" x14ac:dyDescent="0.25">
      <c r="A142" s="378"/>
      <c r="B142" s="378"/>
      <c r="C142" s="378"/>
      <c r="D142" s="378"/>
      <c r="E142" s="378"/>
      <c r="F142" s="378"/>
      <c r="G142" s="378"/>
      <c r="H142" s="378"/>
      <c r="I142" s="378"/>
      <c r="J142" s="378"/>
      <c r="K142" s="378"/>
      <c r="L142" s="378"/>
      <c r="M142" s="378"/>
      <c r="N142" s="378"/>
      <c r="O142" s="378"/>
      <c r="P142" s="378"/>
      <c r="Q142" s="378"/>
      <c r="R142" s="378"/>
      <c r="S142" s="378"/>
      <c r="T142" s="378"/>
      <c r="U142" s="378"/>
      <c r="V142" s="378"/>
      <c r="W142" s="378"/>
      <c r="X142" s="378"/>
      <c r="Y142" s="378"/>
      <c r="Z142" s="378"/>
      <c r="AA142" s="378"/>
      <c r="AB142" s="378"/>
      <c r="AC142" s="378"/>
      <c r="AD142" s="378"/>
      <c r="AE142" s="378"/>
      <c r="AF142" s="378"/>
      <c r="AG142" s="378"/>
      <c r="AH142" s="378"/>
      <c r="AI142" s="378"/>
      <c r="AJ142" s="378"/>
      <c r="AK142" s="378"/>
      <c r="AL142" s="378"/>
      <c r="AM142" s="378"/>
      <c r="AN142" s="378"/>
      <c r="AO142" s="378"/>
      <c r="AP142" s="378"/>
      <c r="AQ142" s="378"/>
      <c r="AR142" s="378"/>
      <c r="AS142" s="378"/>
      <c r="AT142" s="378"/>
      <c r="AU142" s="378"/>
      <c r="AV142" s="378"/>
      <c r="AW142" s="378"/>
      <c r="AX142" s="378"/>
      <c r="AY142" s="378"/>
      <c r="AZ142" s="378"/>
      <c r="BA142" s="378"/>
      <c r="BB142" s="378"/>
      <c r="BC142" s="378"/>
      <c r="BD142" s="378"/>
      <c r="BE142" s="378"/>
      <c r="BF142" s="378"/>
      <c r="BG142" s="378"/>
      <c r="BH142" s="378"/>
      <c r="BI142" s="378"/>
      <c r="BJ142" s="378"/>
      <c r="BK142" s="378"/>
      <c r="BL142" s="378"/>
      <c r="BM142" s="378"/>
      <c r="BN142" s="378"/>
      <c r="BO142" s="378"/>
      <c r="BP142" s="378"/>
      <c r="BQ142" s="378"/>
      <c r="BR142" s="378"/>
      <c r="BS142" s="378"/>
      <c r="BT142" s="378"/>
      <c r="BU142" s="378"/>
      <c r="BV142" s="378"/>
      <c r="BW142" s="378"/>
      <c r="BX142" s="378"/>
      <c r="BY142" s="378"/>
      <c r="BZ142" s="378"/>
      <c r="CA142" s="378"/>
      <c r="CB142" s="378"/>
      <c r="CC142" s="378"/>
      <c r="CD142" s="378"/>
      <c r="CE142" s="378"/>
      <c r="CF142" s="378"/>
      <c r="CG142" s="378"/>
      <c r="CH142" s="378"/>
      <c r="CI142" s="378"/>
      <c r="CJ142" s="378"/>
      <c r="CK142" s="378"/>
      <c r="CL142" s="378"/>
      <c r="CM142" s="378"/>
      <c r="CN142" s="378"/>
      <c r="CO142" s="378"/>
      <c r="CP142" s="378"/>
      <c r="CQ142" s="378"/>
      <c r="CR142" s="378"/>
      <c r="CS142" s="378"/>
      <c r="CT142" s="378"/>
    </row>
    <row r="143" spans="1:98" x14ac:dyDescent="0.25">
      <c r="A143" s="378"/>
      <c r="B143" s="378"/>
      <c r="C143" s="378"/>
      <c r="D143" s="378"/>
      <c r="E143" s="378"/>
      <c r="F143" s="378"/>
      <c r="G143" s="378"/>
      <c r="H143" s="378"/>
      <c r="I143" s="378"/>
      <c r="J143" s="378"/>
      <c r="K143" s="378"/>
      <c r="L143" s="378"/>
      <c r="M143" s="378"/>
      <c r="N143" s="378"/>
      <c r="O143" s="378"/>
      <c r="P143" s="378"/>
      <c r="Q143" s="378"/>
      <c r="R143" s="378"/>
      <c r="S143" s="378"/>
      <c r="T143" s="378"/>
      <c r="U143" s="378"/>
      <c r="V143" s="378"/>
      <c r="W143" s="378"/>
      <c r="X143" s="378"/>
      <c r="Y143" s="378"/>
      <c r="Z143" s="378"/>
      <c r="AA143" s="378"/>
      <c r="AB143" s="378"/>
      <c r="AC143" s="378"/>
      <c r="AD143" s="378"/>
      <c r="AE143" s="378"/>
      <c r="AF143" s="378"/>
      <c r="AG143" s="378"/>
      <c r="AH143" s="378"/>
      <c r="AI143" s="378"/>
      <c r="AJ143" s="378"/>
      <c r="AK143" s="378"/>
      <c r="AL143" s="378"/>
      <c r="AM143" s="378"/>
      <c r="AN143" s="378"/>
      <c r="AO143" s="378"/>
      <c r="AP143" s="378"/>
      <c r="AQ143" s="378"/>
      <c r="AR143" s="378"/>
      <c r="AS143" s="378"/>
      <c r="AT143" s="378"/>
      <c r="AU143" s="378"/>
      <c r="AV143" s="378"/>
      <c r="AW143" s="378"/>
      <c r="AX143" s="378"/>
      <c r="AY143" s="378"/>
      <c r="AZ143" s="378"/>
      <c r="BA143" s="378"/>
      <c r="BB143" s="378"/>
      <c r="BC143" s="378"/>
      <c r="BD143" s="378"/>
      <c r="BE143" s="378"/>
      <c r="BF143" s="378"/>
      <c r="BG143" s="378"/>
      <c r="BH143" s="378"/>
      <c r="BI143" s="378"/>
      <c r="BJ143" s="378"/>
      <c r="BK143" s="378"/>
      <c r="BL143" s="378"/>
      <c r="BM143" s="378"/>
      <c r="BN143" s="378"/>
      <c r="BO143" s="378"/>
      <c r="BP143" s="378"/>
      <c r="BQ143" s="378"/>
      <c r="BR143" s="378"/>
      <c r="BS143" s="378"/>
      <c r="BT143" s="378"/>
      <c r="BU143" s="378"/>
      <c r="BV143" s="378"/>
      <c r="BW143" s="378"/>
      <c r="BX143" s="378"/>
      <c r="BY143" s="378"/>
      <c r="BZ143" s="378"/>
      <c r="CA143" s="378"/>
      <c r="CB143" s="378"/>
      <c r="CC143" s="378"/>
      <c r="CD143" s="378"/>
      <c r="CE143" s="378"/>
      <c r="CF143" s="378"/>
      <c r="CG143" s="378"/>
      <c r="CH143" s="378"/>
      <c r="CI143" s="378"/>
      <c r="CJ143" s="378"/>
      <c r="CK143" s="378"/>
      <c r="CL143" s="378"/>
      <c r="CM143" s="378"/>
      <c r="CN143" s="378"/>
      <c r="CO143" s="378"/>
      <c r="CP143" s="378"/>
      <c r="CQ143" s="378"/>
      <c r="CR143" s="378"/>
      <c r="CS143" s="378"/>
      <c r="CT143" s="378"/>
    </row>
    <row r="144" spans="1:98" x14ac:dyDescent="0.25">
      <c r="A144" s="378"/>
      <c r="B144" s="378"/>
      <c r="C144" s="378"/>
      <c r="D144" s="378"/>
      <c r="E144" s="378"/>
      <c r="F144" s="378"/>
      <c r="G144" s="378"/>
      <c r="H144" s="378"/>
      <c r="I144" s="378"/>
      <c r="J144" s="378"/>
      <c r="K144" s="378"/>
      <c r="L144" s="378"/>
      <c r="M144" s="378"/>
      <c r="N144" s="378"/>
      <c r="O144" s="378"/>
      <c r="P144" s="378"/>
      <c r="Q144" s="378"/>
      <c r="R144" s="378"/>
      <c r="S144" s="378"/>
      <c r="T144" s="378"/>
      <c r="U144" s="378"/>
      <c r="V144" s="378"/>
      <c r="W144" s="378"/>
      <c r="X144" s="378"/>
      <c r="Y144" s="378"/>
      <c r="Z144" s="378"/>
      <c r="AA144" s="378"/>
      <c r="AB144" s="378"/>
      <c r="AC144" s="378"/>
      <c r="AD144" s="378"/>
      <c r="AE144" s="378"/>
      <c r="AF144" s="378"/>
      <c r="AG144" s="378"/>
      <c r="AH144" s="378"/>
      <c r="AI144" s="378"/>
      <c r="AJ144" s="378"/>
      <c r="AK144" s="378"/>
      <c r="AL144" s="378"/>
      <c r="AM144" s="378"/>
      <c r="AN144" s="378"/>
      <c r="AO144" s="378"/>
      <c r="AP144" s="378"/>
      <c r="AQ144" s="378"/>
      <c r="AR144" s="378"/>
      <c r="AS144" s="378"/>
      <c r="AT144" s="378"/>
      <c r="AU144" s="378"/>
      <c r="AV144" s="378"/>
      <c r="AW144" s="378"/>
      <c r="AX144" s="378"/>
      <c r="AY144" s="378"/>
      <c r="AZ144" s="378"/>
      <c r="BA144" s="378"/>
      <c r="BB144" s="378"/>
      <c r="BC144" s="378"/>
      <c r="BD144" s="378"/>
      <c r="BE144" s="378"/>
      <c r="BF144" s="378"/>
      <c r="BG144" s="378"/>
      <c r="BH144" s="378"/>
      <c r="BI144" s="378"/>
      <c r="BJ144" s="378"/>
      <c r="BK144" s="378"/>
      <c r="BL144" s="378"/>
      <c r="BM144" s="378"/>
      <c r="BN144" s="378"/>
      <c r="BO144" s="378"/>
      <c r="BP144" s="378"/>
      <c r="BQ144" s="378"/>
      <c r="BR144" s="378"/>
      <c r="BS144" s="378"/>
      <c r="BT144" s="378"/>
      <c r="BU144" s="378"/>
      <c r="BV144" s="378"/>
      <c r="BW144" s="378"/>
      <c r="BX144" s="378"/>
      <c r="BY144" s="378"/>
      <c r="BZ144" s="378"/>
      <c r="CA144" s="378"/>
      <c r="CB144" s="378"/>
      <c r="CC144" s="378"/>
      <c r="CD144" s="378"/>
      <c r="CE144" s="378"/>
      <c r="CF144" s="378"/>
      <c r="CG144" s="378"/>
      <c r="CH144" s="378"/>
      <c r="CI144" s="378"/>
      <c r="CJ144" s="378"/>
      <c r="CK144" s="378"/>
      <c r="CL144" s="378"/>
      <c r="CM144" s="378"/>
      <c r="CN144" s="378"/>
      <c r="CO144" s="378"/>
      <c r="CP144" s="378"/>
      <c r="CQ144" s="378"/>
      <c r="CR144" s="378"/>
      <c r="CS144" s="378"/>
      <c r="CT144" s="378"/>
    </row>
    <row r="145" spans="1:98" x14ac:dyDescent="0.25">
      <c r="A145" s="378"/>
      <c r="B145" s="378"/>
      <c r="C145" s="378"/>
      <c r="D145" s="378"/>
      <c r="E145" s="378"/>
      <c r="F145" s="378"/>
      <c r="G145" s="378"/>
      <c r="H145" s="378"/>
      <c r="I145" s="378"/>
      <c r="J145" s="378"/>
      <c r="K145" s="378"/>
      <c r="L145" s="378"/>
      <c r="M145" s="378"/>
      <c r="N145" s="378"/>
      <c r="O145" s="378"/>
      <c r="P145" s="378"/>
      <c r="Q145" s="378"/>
      <c r="R145" s="378"/>
      <c r="S145" s="378"/>
      <c r="T145" s="378"/>
      <c r="U145" s="378"/>
      <c r="V145" s="378"/>
      <c r="W145" s="378"/>
      <c r="X145" s="378"/>
      <c r="Y145" s="378"/>
      <c r="Z145" s="378"/>
      <c r="AA145" s="378"/>
      <c r="AB145" s="378"/>
      <c r="AC145" s="378"/>
      <c r="AD145" s="378"/>
      <c r="AE145" s="378"/>
      <c r="AF145" s="378"/>
      <c r="AG145" s="378"/>
      <c r="AH145" s="378"/>
      <c r="AI145" s="378"/>
      <c r="AJ145" s="378"/>
      <c r="AK145" s="378"/>
      <c r="AL145" s="378"/>
      <c r="AM145" s="378"/>
      <c r="AN145" s="378"/>
      <c r="AO145" s="378"/>
      <c r="AP145" s="378"/>
      <c r="AQ145" s="378"/>
      <c r="AR145" s="378"/>
      <c r="AS145" s="378"/>
      <c r="AT145" s="378"/>
      <c r="AU145" s="378"/>
      <c r="AV145" s="378"/>
      <c r="AW145" s="378"/>
      <c r="AX145" s="378"/>
      <c r="AY145" s="378"/>
      <c r="AZ145" s="378"/>
      <c r="BA145" s="378"/>
      <c r="BB145" s="378"/>
      <c r="BC145" s="378"/>
      <c r="BD145" s="378"/>
      <c r="BE145" s="378"/>
      <c r="BF145" s="378"/>
      <c r="BG145" s="378"/>
      <c r="BH145" s="378"/>
      <c r="BI145" s="378"/>
      <c r="BJ145" s="378"/>
      <c r="BK145" s="378"/>
      <c r="BL145" s="378"/>
      <c r="BM145" s="378"/>
      <c r="BN145" s="378"/>
      <c r="BO145" s="378"/>
      <c r="BP145" s="378"/>
      <c r="BQ145" s="378"/>
      <c r="BR145" s="378"/>
      <c r="BS145" s="378"/>
      <c r="BT145" s="378"/>
      <c r="BU145" s="378"/>
      <c r="BV145" s="378"/>
      <c r="BW145" s="378"/>
      <c r="BX145" s="378"/>
      <c r="BY145" s="378"/>
      <c r="BZ145" s="378"/>
      <c r="CA145" s="378"/>
      <c r="CB145" s="378"/>
      <c r="CC145" s="378"/>
      <c r="CD145" s="378"/>
      <c r="CE145" s="378"/>
      <c r="CF145" s="378"/>
      <c r="CG145" s="378"/>
      <c r="CH145" s="378"/>
      <c r="CI145" s="378"/>
      <c r="CJ145" s="378"/>
      <c r="CK145" s="378"/>
      <c r="CL145" s="378"/>
      <c r="CM145" s="378"/>
      <c r="CN145" s="378"/>
      <c r="CO145" s="378"/>
      <c r="CP145" s="378"/>
      <c r="CQ145" s="378"/>
      <c r="CR145" s="378"/>
      <c r="CS145" s="378"/>
      <c r="CT145" s="378"/>
    </row>
    <row r="146" spans="1:98" x14ac:dyDescent="0.25">
      <c r="A146" s="378"/>
      <c r="B146" s="378"/>
      <c r="C146" s="378"/>
      <c r="D146" s="378"/>
      <c r="E146" s="378"/>
      <c r="F146" s="378"/>
      <c r="G146" s="378"/>
      <c r="H146" s="378"/>
      <c r="I146" s="378"/>
      <c r="J146" s="378"/>
      <c r="K146" s="378"/>
      <c r="L146" s="378"/>
      <c r="M146" s="378"/>
      <c r="N146" s="378"/>
      <c r="O146" s="378"/>
      <c r="P146" s="378"/>
      <c r="Q146" s="378"/>
      <c r="R146" s="378"/>
      <c r="S146" s="378"/>
      <c r="T146" s="378"/>
      <c r="U146" s="378"/>
      <c r="V146" s="378"/>
      <c r="W146" s="378"/>
      <c r="X146" s="378"/>
      <c r="Y146" s="378"/>
      <c r="Z146" s="378"/>
      <c r="AA146" s="378"/>
      <c r="AB146" s="378"/>
      <c r="AC146" s="378"/>
      <c r="AD146" s="378"/>
      <c r="AE146" s="378"/>
      <c r="AF146" s="378"/>
      <c r="AG146" s="378"/>
      <c r="AH146" s="378"/>
      <c r="AI146" s="378"/>
      <c r="AJ146" s="378"/>
      <c r="AK146" s="378"/>
      <c r="AL146" s="378"/>
      <c r="AM146" s="378"/>
      <c r="AN146" s="378"/>
      <c r="AO146" s="378"/>
      <c r="AP146" s="378"/>
      <c r="AQ146" s="378"/>
      <c r="AR146" s="378"/>
      <c r="AS146" s="378"/>
      <c r="AT146" s="378"/>
      <c r="AU146" s="378"/>
      <c r="AV146" s="378"/>
      <c r="AW146" s="378"/>
      <c r="AX146" s="378"/>
      <c r="AY146" s="378"/>
      <c r="AZ146" s="378"/>
      <c r="BA146" s="378"/>
      <c r="BB146" s="378"/>
      <c r="BC146" s="378"/>
      <c r="BD146" s="378"/>
      <c r="BE146" s="378"/>
      <c r="BF146" s="378"/>
      <c r="BG146" s="378"/>
      <c r="BH146" s="378"/>
      <c r="BI146" s="378"/>
      <c r="BJ146" s="378"/>
      <c r="BK146" s="378"/>
      <c r="BL146" s="378"/>
      <c r="BM146" s="378"/>
      <c r="BN146" s="378"/>
      <c r="BO146" s="378"/>
      <c r="BP146" s="378"/>
      <c r="BQ146" s="378"/>
      <c r="BR146" s="378"/>
      <c r="BS146" s="378"/>
      <c r="BT146" s="378"/>
      <c r="BU146" s="378"/>
      <c r="BV146" s="378"/>
      <c r="BW146" s="378"/>
      <c r="BX146" s="378"/>
      <c r="BY146" s="378"/>
      <c r="BZ146" s="378"/>
      <c r="CA146" s="378"/>
      <c r="CB146" s="378"/>
      <c r="CC146" s="378"/>
      <c r="CD146" s="378"/>
      <c r="CE146" s="378"/>
      <c r="CF146" s="378"/>
      <c r="CG146" s="378"/>
      <c r="CH146" s="378"/>
      <c r="CI146" s="378"/>
      <c r="CJ146" s="378"/>
      <c r="CK146" s="378"/>
      <c r="CL146" s="378"/>
      <c r="CM146" s="378"/>
      <c r="CN146" s="378"/>
      <c r="CO146" s="378"/>
      <c r="CP146" s="378"/>
      <c r="CQ146" s="378"/>
      <c r="CR146" s="378"/>
      <c r="CS146" s="378"/>
      <c r="CT146" s="378"/>
    </row>
    <row r="147" spans="1:98" x14ac:dyDescent="0.25">
      <c r="A147" s="378"/>
      <c r="B147" s="378"/>
      <c r="C147" s="378"/>
      <c r="D147" s="378"/>
      <c r="E147" s="378"/>
      <c r="F147" s="378"/>
      <c r="G147" s="378"/>
      <c r="H147" s="378"/>
      <c r="I147" s="378"/>
      <c r="J147" s="378"/>
      <c r="K147" s="378"/>
      <c r="L147" s="378"/>
      <c r="M147" s="378"/>
      <c r="N147" s="378"/>
      <c r="O147" s="378"/>
      <c r="P147" s="378"/>
      <c r="Q147" s="378"/>
      <c r="R147" s="378"/>
      <c r="S147" s="378"/>
      <c r="T147" s="378"/>
      <c r="U147" s="378"/>
      <c r="V147" s="378"/>
      <c r="W147" s="378"/>
      <c r="X147" s="378"/>
      <c r="Y147" s="378"/>
      <c r="Z147" s="378"/>
      <c r="AA147" s="378"/>
      <c r="AB147" s="378"/>
      <c r="AC147" s="378"/>
      <c r="AD147" s="378"/>
      <c r="AE147" s="378"/>
      <c r="AF147" s="378"/>
      <c r="AG147" s="378"/>
      <c r="AH147" s="378"/>
      <c r="AI147" s="378"/>
      <c r="AJ147" s="378"/>
      <c r="AK147" s="378"/>
      <c r="AL147" s="378"/>
      <c r="AM147" s="378"/>
      <c r="AN147" s="378"/>
      <c r="AO147" s="378"/>
      <c r="AP147" s="378"/>
      <c r="AQ147" s="378"/>
      <c r="AR147" s="378"/>
      <c r="AS147" s="378"/>
      <c r="AT147" s="378"/>
      <c r="AU147" s="378"/>
      <c r="AV147" s="378"/>
      <c r="AW147" s="378"/>
      <c r="AX147" s="378"/>
      <c r="AY147" s="378"/>
      <c r="AZ147" s="378"/>
      <c r="BA147" s="378"/>
      <c r="BB147" s="378"/>
      <c r="BC147" s="378"/>
      <c r="BD147" s="378"/>
      <c r="BE147" s="378"/>
      <c r="BF147" s="378"/>
      <c r="BG147" s="378"/>
      <c r="BH147" s="378"/>
      <c r="BI147" s="378"/>
      <c r="BJ147" s="378"/>
      <c r="BK147" s="378"/>
      <c r="BL147" s="378"/>
      <c r="BM147" s="378"/>
      <c r="BN147" s="378"/>
      <c r="BO147" s="378"/>
      <c r="BP147" s="378"/>
      <c r="BQ147" s="378"/>
      <c r="BR147" s="378"/>
      <c r="BS147" s="378"/>
      <c r="BT147" s="378"/>
      <c r="BU147" s="378"/>
      <c r="BV147" s="378"/>
      <c r="BW147" s="378"/>
      <c r="BX147" s="378"/>
      <c r="BY147" s="378"/>
      <c r="BZ147" s="378"/>
      <c r="CA147" s="378"/>
      <c r="CB147" s="378"/>
      <c r="CC147" s="378"/>
      <c r="CD147" s="378"/>
      <c r="CE147" s="378"/>
      <c r="CF147" s="378"/>
      <c r="CG147" s="378"/>
      <c r="CH147" s="378"/>
      <c r="CI147" s="378"/>
      <c r="CJ147" s="378"/>
      <c r="CK147" s="378"/>
      <c r="CL147" s="378"/>
      <c r="CM147" s="378"/>
      <c r="CN147" s="378"/>
      <c r="CO147" s="378"/>
      <c r="CP147" s="378"/>
      <c r="CQ147" s="378"/>
      <c r="CR147" s="378"/>
      <c r="CS147" s="378"/>
      <c r="CT147" s="378"/>
    </row>
    <row r="148" spans="1:98" x14ac:dyDescent="0.25">
      <c r="A148" s="378"/>
      <c r="B148" s="378"/>
      <c r="C148" s="378"/>
      <c r="D148" s="378"/>
      <c r="E148" s="378"/>
      <c r="F148" s="378"/>
      <c r="G148" s="378"/>
      <c r="H148" s="378"/>
      <c r="I148" s="378"/>
      <c r="J148" s="378"/>
      <c r="K148" s="378"/>
      <c r="L148" s="378"/>
      <c r="M148" s="378"/>
      <c r="N148" s="378"/>
      <c r="O148" s="378"/>
      <c r="P148" s="378"/>
      <c r="Q148" s="378"/>
      <c r="R148" s="378"/>
      <c r="S148" s="378"/>
      <c r="T148" s="378"/>
      <c r="U148" s="378"/>
      <c r="V148" s="378"/>
      <c r="W148" s="378"/>
      <c r="X148" s="378"/>
      <c r="Y148" s="378"/>
      <c r="Z148" s="378"/>
      <c r="AA148" s="378"/>
      <c r="AB148" s="378"/>
      <c r="AC148" s="378"/>
      <c r="AD148" s="378"/>
      <c r="AE148" s="378"/>
      <c r="AF148" s="378"/>
      <c r="AG148" s="378"/>
      <c r="AH148" s="378"/>
      <c r="AI148" s="378"/>
      <c r="AJ148" s="378"/>
      <c r="AK148" s="378"/>
      <c r="AL148" s="378"/>
      <c r="AM148" s="378"/>
      <c r="AN148" s="378"/>
      <c r="AO148" s="378"/>
      <c r="AP148" s="378"/>
      <c r="AQ148" s="378"/>
      <c r="AR148" s="378"/>
      <c r="AS148" s="378"/>
      <c r="AT148" s="378"/>
      <c r="AU148" s="378"/>
      <c r="AV148" s="378"/>
      <c r="AW148" s="378"/>
      <c r="AX148" s="378"/>
      <c r="AY148" s="378"/>
      <c r="AZ148" s="378"/>
      <c r="BA148" s="378"/>
      <c r="BB148" s="378"/>
      <c r="BC148" s="378"/>
      <c r="BD148" s="378"/>
      <c r="BE148" s="378"/>
      <c r="BF148" s="378"/>
      <c r="BG148" s="378"/>
      <c r="BH148" s="378"/>
      <c r="BI148" s="378"/>
      <c r="BJ148" s="378"/>
      <c r="BK148" s="378"/>
      <c r="BL148" s="378"/>
      <c r="BM148" s="378"/>
      <c r="BN148" s="378"/>
      <c r="BO148" s="378"/>
      <c r="BP148" s="378"/>
      <c r="BQ148" s="378"/>
      <c r="BR148" s="378"/>
      <c r="BS148" s="378"/>
      <c r="BT148" s="378"/>
      <c r="BU148" s="378"/>
      <c r="BV148" s="378"/>
      <c r="BW148" s="378"/>
      <c r="BX148" s="378"/>
      <c r="BY148" s="378"/>
      <c r="BZ148" s="378"/>
      <c r="CA148" s="378"/>
      <c r="CB148" s="378"/>
      <c r="CC148" s="378"/>
      <c r="CD148" s="378"/>
      <c r="CE148" s="378"/>
      <c r="CF148" s="378"/>
      <c r="CG148" s="378"/>
      <c r="CH148" s="378"/>
      <c r="CI148" s="378"/>
      <c r="CJ148" s="378"/>
      <c r="CK148" s="378"/>
      <c r="CL148" s="378"/>
      <c r="CM148" s="378"/>
      <c r="CN148" s="378"/>
      <c r="CO148" s="378"/>
      <c r="CP148" s="378"/>
      <c r="CQ148" s="378"/>
      <c r="CR148" s="378"/>
      <c r="CS148" s="378"/>
      <c r="CT148" s="378"/>
    </row>
    <row r="149" spans="1:98" x14ac:dyDescent="0.25">
      <c r="A149" s="378"/>
      <c r="B149" s="378"/>
      <c r="C149" s="378"/>
      <c r="D149" s="378"/>
      <c r="E149" s="378"/>
      <c r="F149" s="378"/>
      <c r="G149" s="378"/>
      <c r="H149" s="378"/>
      <c r="I149" s="378"/>
      <c r="J149" s="378"/>
      <c r="K149" s="378"/>
      <c r="L149" s="378"/>
      <c r="M149" s="378"/>
      <c r="N149" s="378"/>
      <c r="O149" s="378"/>
      <c r="P149" s="378"/>
      <c r="Q149" s="378"/>
      <c r="R149" s="378"/>
      <c r="S149" s="378"/>
      <c r="T149" s="378"/>
      <c r="U149" s="378"/>
      <c r="V149" s="378"/>
      <c r="W149" s="378"/>
      <c r="X149" s="378"/>
      <c r="Y149" s="378"/>
      <c r="Z149" s="378"/>
      <c r="AA149" s="378"/>
      <c r="AB149" s="378"/>
      <c r="AC149" s="378"/>
      <c r="AD149" s="378"/>
      <c r="AE149" s="378"/>
      <c r="AF149" s="378"/>
      <c r="AG149" s="378"/>
      <c r="AH149" s="378"/>
      <c r="AI149" s="378"/>
      <c r="AJ149" s="378"/>
      <c r="AK149" s="378"/>
      <c r="AL149" s="378"/>
      <c r="AM149" s="378"/>
      <c r="AN149" s="378"/>
      <c r="AO149" s="378"/>
      <c r="AP149" s="378"/>
      <c r="AQ149" s="378"/>
      <c r="AR149" s="378"/>
      <c r="AS149" s="378"/>
      <c r="AT149" s="378"/>
      <c r="AU149" s="378"/>
      <c r="AV149" s="378"/>
      <c r="AW149" s="378"/>
      <c r="AX149" s="378"/>
      <c r="AY149" s="378"/>
      <c r="AZ149" s="378"/>
      <c r="BA149" s="378"/>
      <c r="BB149" s="378"/>
      <c r="BC149" s="378"/>
      <c r="BD149" s="378"/>
      <c r="BE149" s="378"/>
      <c r="BF149" s="378"/>
      <c r="BG149" s="378"/>
      <c r="BH149" s="378"/>
      <c r="BI149" s="378"/>
      <c r="BJ149" s="378"/>
      <c r="BK149" s="378"/>
      <c r="BL149" s="378"/>
      <c r="BM149" s="378"/>
      <c r="BN149" s="378"/>
      <c r="BO149" s="378"/>
      <c r="BP149" s="378"/>
      <c r="BQ149" s="378"/>
      <c r="BR149" s="378"/>
      <c r="BS149" s="378"/>
      <c r="BT149" s="378"/>
      <c r="BU149" s="378"/>
      <c r="BV149" s="378"/>
      <c r="BW149" s="378"/>
      <c r="BX149" s="378"/>
      <c r="BY149" s="378"/>
      <c r="BZ149" s="378"/>
      <c r="CA149" s="378"/>
      <c r="CB149" s="378"/>
      <c r="CC149" s="378"/>
      <c r="CD149" s="378"/>
      <c r="CE149" s="378"/>
      <c r="CF149" s="378"/>
      <c r="CG149" s="378"/>
      <c r="CH149" s="378"/>
      <c r="CI149" s="378"/>
      <c r="CJ149" s="378"/>
      <c r="CK149" s="378"/>
      <c r="CL149" s="378"/>
      <c r="CM149" s="378"/>
      <c r="CN149" s="378"/>
      <c r="CO149" s="378"/>
      <c r="CP149" s="378"/>
      <c r="CQ149" s="378"/>
      <c r="CR149" s="378"/>
      <c r="CS149" s="378"/>
      <c r="CT149" s="378"/>
    </row>
    <row r="150" spans="1:98" x14ac:dyDescent="0.25">
      <c r="A150" s="378"/>
      <c r="B150" s="378"/>
      <c r="C150" s="378"/>
      <c r="D150" s="378"/>
      <c r="E150" s="378"/>
      <c r="F150" s="378"/>
      <c r="G150" s="378"/>
      <c r="H150" s="378"/>
      <c r="I150" s="378"/>
      <c r="J150" s="378"/>
      <c r="K150" s="378"/>
      <c r="L150" s="378"/>
      <c r="M150" s="378"/>
      <c r="N150" s="378"/>
      <c r="O150" s="378"/>
      <c r="P150" s="378"/>
      <c r="Q150" s="378"/>
      <c r="R150" s="378"/>
      <c r="S150" s="378"/>
      <c r="T150" s="378"/>
      <c r="U150" s="378"/>
      <c r="V150" s="378"/>
      <c r="W150" s="378"/>
      <c r="X150" s="378"/>
      <c r="Y150" s="378"/>
      <c r="Z150" s="378"/>
      <c r="AA150" s="378"/>
      <c r="AB150" s="378"/>
      <c r="AC150" s="378"/>
      <c r="AD150" s="378"/>
      <c r="AE150" s="378"/>
      <c r="AF150" s="378"/>
      <c r="AG150" s="378"/>
      <c r="AH150" s="378"/>
      <c r="AI150" s="378"/>
      <c r="AJ150" s="378"/>
      <c r="AK150" s="378"/>
      <c r="AL150" s="378"/>
      <c r="AM150" s="378"/>
      <c r="AN150" s="378"/>
      <c r="AO150" s="378"/>
      <c r="AP150" s="378"/>
      <c r="AQ150" s="378"/>
      <c r="AR150" s="378"/>
      <c r="AS150" s="378"/>
      <c r="AT150" s="378"/>
      <c r="AU150" s="378"/>
      <c r="AV150" s="378"/>
      <c r="AW150" s="378"/>
      <c r="AX150" s="378"/>
      <c r="AY150" s="378"/>
      <c r="AZ150" s="378"/>
      <c r="BA150" s="378"/>
      <c r="BB150" s="378"/>
      <c r="BC150" s="378"/>
      <c r="BD150" s="378"/>
      <c r="BE150" s="378"/>
      <c r="BF150" s="378"/>
      <c r="BG150" s="378"/>
      <c r="BH150" s="378"/>
      <c r="BI150" s="378"/>
      <c r="BJ150" s="378"/>
      <c r="BK150" s="378"/>
      <c r="BL150" s="378"/>
      <c r="BM150" s="378"/>
      <c r="BN150" s="378"/>
      <c r="BO150" s="378"/>
      <c r="BP150" s="378"/>
      <c r="BQ150" s="378"/>
      <c r="BR150" s="378"/>
      <c r="BS150" s="378"/>
      <c r="BT150" s="378"/>
      <c r="BU150" s="378"/>
      <c r="BV150" s="378"/>
      <c r="BW150" s="378"/>
      <c r="BX150" s="378"/>
      <c r="BY150" s="378"/>
      <c r="BZ150" s="378"/>
      <c r="CA150" s="378"/>
      <c r="CB150" s="378"/>
      <c r="CC150" s="378"/>
      <c r="CD150" s="378"/>
      <c r="CE150" s="378"/>
      <c r="CF150" s="378"/>
      <c r="CG150" s="378"/>
      <c r="CH150" s="378"/>
      <c r="CI150" s="378"/>
      <c r="CJ150" s="378"/>
      <c r="CK150" s="378"/>
      <c r="CL150" s="378"/>
      <c r="CM150" s="378"/>
      <c r="CN150" s="378"/>
      <c r="CO150" s="378"/>
      <c r="CP150" s="378"/>
      <c r="CQ150" s="378"/>
      <c r="CR150" s="378"/>
      <c r="CS150" s="378"/>
      <c r="CT150" s="378"/>
    </row>
    <row r="151" spans="1:98" x14ac:dyDescent="0.25">
      <c r="A151" s="378"/>
      <c r="B151" s="378"/>
      <c r="C151" s="378"/>
      <c r="D151" s="378"/>
      <c r="E151" s="378"/>
      <c r="F151" s="378"/>
      <c r="G151" s="378"/>
      <c r="H151" s="378"/>
      <c r="I151" s="378"/>
      <c r="J151" s="378"/>
      <c r="K151" s="378"/>
      <c r="L151" s="378"/>
      <c r="M151" s="378"/>
      <c r="N151" s="378"/>
      <c r="O151" s="378"/>
      <c r="P151" s="378"/>
      <c r="Q151" s="378"/>
      <c r="R151" s="378"/>
      <c r="S151" s="378"/>
      <c r="T151" s="378"/>
      <c r="U151" s="378"/>
      <c r="V151" s="378"/>
      <c r="W151" s="378"/>
      <c r="X151" s="378"/>
      <c r="Y151" s="378"/>
      <c r="Z151" s="378"/>
      <c r="AA151" s="378"/>
      <c r="AB151" s="378"/>
      <c r="AC151" s="378"/>
      <c r="AD151" s="378"/>
      <c r="AE151" s="378"/>
      <c r="AF151" s="378"/>
      <c r="AG151" s="378"/>
      <c r="AH151" s="378"/>
      <c r="AI151" s="378"/>
      <c r="AJ151" s="378"/>
      <c r="AK151" s="378"/>
      <c r="AL151" s="378"/>
      <c r="AM151" s="378"/>
      <c r="AN151" s="378"/>
      <c r="AO151" s="378"/>
      <c r="AP151" s="378"/>
      <c r="AQ151" s="378"/>
      <c r="AR151" s="378"/>
      <c r="AS151" s="378"/>
      <c r="AT151" s="378"/>
      <c r="AU151" s="378"/>
      <c r="AV151" s="378"/>
      <c r="AW151" s="378"/>
      <c r="AX151" s="378"/>
      <c r="AY151" s="378"/>
      <c r="AZ151" s="378"/>
      <c r="BA151" s="378"/>
      <c r="BB151" s="378"/>
      <c r="BC151" s="378"/>
      <c r="BD151" s="378"/>
      <c r="BE151" s="378"/>
      <c r="BF151" s="378"/>
      <c r="BG151" s="378"/>
      <c r="BH151" s="378"/>
      <c r="BI151" s="378"/>
      <c r="BJ151" s="378"/>
      <c r="BK151" s="378"/>
      <c r="BL151" s="378"/>
      <c r="BM151" s="378"/>
      <c r="BN151" s="378"/>
      <c r="BO151" s="378"/>
      <c r="BP151" s="378"/>
      <c r="BQ151" s="378"/>
      <c r="BR151" s="378"/>
      <c r="BS151" s="378"/>
      <c r="BT151" s="378"/>
      <c r="BU151" s="378"/>
      <c r="BV151" s="378"/>
      <c r="BW151" s="378"/>
      <c r="BX151" s="378"/>
      <c r="BY151" s="378"/>
      <c r="BZ151" s="378"/>
      <c r="CA151" s="378"/>
      <c r="CB151" s="378"/>
      <c r="CC151" s="378"/>
      <c r="CD151" s="378"/>
      <c r="CE151" s="378"/>
      <c r="CF151" s="378"/>
      <c r="CG151" s="378"/>
      <c r="CH151" s="378"/>
      <c r="CI151" s="378"/>
      <c r="CJ151" s="378"/>
      <c r="CK151" s="378"/>
      <c r="CL151" s="378"/>
      <c r="CM151" s="378"/>
      <c r="CN151" s="378"/>
      <c r="CO151" s="378"/>
      <c r="CP151" s="378"/>
      <c r="CQ151" s="378"/>
      <c r="CR151" s="378"/>
      <c r="CS151" s="378"/>
      <c r="CT151" s="378"/>
    </row>
    <row r="152" spans="1:98" x14ac:dyDescent="0.25">
      <c r="A152" s="378"/>
      <c r="B152" s="378"/>
      <c r="C152" s="378"/>
      <c r="D152" s="378"/>
      <c r="E152" s="378"/>
      <c r="F152" s="378"/>
      <c r="G152" s="378"/>
      <c r="H152" s="378"/>
      <c r="I152" s="378"/>
      <c r="J152" s="378"/>
      <c r="K152" s="378"/>
      <c r="L152" s="378"/>
      <c r="M152" s="378"/>
      <c r="N152" s="378"/>
      <c r="O152" s="378"/>
      <c r="P152" s="378"/>
      <c r="Q152" s="378"/>
      <c r="R152" s="378"/>
      <c r="S152" s="378"/>
      <c r="T152" s="378"/>
      <c r="U152" s="378"/>
      <c r="V152" s="378"/>
      <c r="W152" s="378"/>
      <c r="X152" s="378"/>
      <c r="Y152" s="378"/>
      <c r="Z152" s="378"/>
      <c r="AA152" s="378"/>
      <c r="AB152" s="378"/>
      <c r="AC152" s="378"/>
      <c r="AD152" s="378"/>
      <c r="AE152" s="378"/>
      <c r="AF152" s="378"/>
      <c r="AG152" s="378"/>
      <c r="AH152" s="378"/>
      <c r="AI152" s="378"/>
      <c r="AJ152" s="378"/>
      <c r="AK152" s="378"/>
      <c r="AL152" s="378"/>
      <c r="AM152" s="378"/>
      <c r="AN152" s="378"/>
      <c r="AO152" s="378"/>
      <c r="AP152" s="378"/>
      <c r="AQ152" s="378"/>
      <c r="AR152" s="378"/>
      <c r="AS152" s="378"/>
      <c r="AT152" s="378"/>
      <c r="AU152" s="378"/>
      <c r="AV152" s="378"/>
      <c r="AW152" s="378"/>
      <c r="AX152" s="378"/>
      <c r="AY152" s="378"/>
      <c r="AZ152" s="378"/>
      <c r="BA152" s="378"/>
      <c r="BB152" s="378"/>
      <c r="BC152" s="378"/>
      <c r="BD152" s="378"/>
      <c r="BE152" s="378"/>
      <c r="BF152" s="378"/>
      <c r="BG152" s="378"/>
      <c r="BH152" s="378"/>
      <c r="BI152" s="378"/>
      <c r="BJ152" s="378"/>
      <c r="BK152" s="378"/>
      <c r="BL152" s="378"/>
      <c r="BM152" s="378"/>
      <c r="BN152" s="378"/>
      <c r="BO152" s="378"/>
      <c r="BP152" s="378"/>
      <c r="BQ152" s="378"/>
      <c r="BR152" s="378"/>
      <c r="BS152" s="378"/>
      <c r="BT152" s="378"/>
      <c r="BU152" s="378"/>
      <c r="BV152" s="378"/>
      <c r="BW152" s="378"/>
      <c r="BX152" s="378"/>
      <c r="BY152" s="378"/>
      <c r="BZ152" s="378"/>
      <c r="CA152" s="378"/>
      <c r="CB152" s="378"/>
      <c r="CC152" s="378"/>
      <c r="CD152" s="378"/>
      <c r="CE152" s="378"/>
      <c r="CF152" s="378"/>
      <c r="CG152" s="378"/>
      <c r="CH152" s="378"/>
      <c r="CI152" s="378"/>
      <c r="CJ152" s="378"/>
      <c r="CK152" s="378"/>
      <c r="CL152" s="378"/>
      <c r="CM152" s="378"/>
      <c r="CN152" s="378"/>
      <c r="CO152" s="378"/>
      <c r="CP152" s="378"/>
      <c r="CQ152" s="378"/>
      <c r="CR152" s="378"/>
      <c r="CS152" s="378"/>
      <c r="CT152" s="378"/>
    </row>
    <row r="153" spans="1:98" x14ac:dyDescent="0.25">
      <c r="A153" s="378"/>
      <c r="B153" s="378"/>
      <c r="C153" s="378"/>
      <c r="D153" s="378"/>
      <c r="E153" s="378"/>
      <c r="F153" s="378"/>
      <c r="G153" s="378"/>
      <c r="H153" s="378"/>
      <c r="I153" s="378"/>
      <c r="J153" s="378"/>
      <c r="K153" s="378"/>
      <c r="L153" s="378"/>
      <c r="M153" s="378"/>
      <c r="N153" s="378"/>
      <c r="O153" s="378"/>
      <c r="P153" s="378"/>
      <c r="Q153" s="378"/>
      <c r="R153" s="378"/>
      <c r="S153" s="378"/>
      <c r="T153" s="378"/>
      <c r="U153" s="378"/>
      <c r="V153" s="378"/>
      <c r="W153" s="378"/>
      <c r="X153" s="378"/>
      <c r="Y153" s="378"/>
      <c r="Z153" s="378"/>
      <c r="AA153" s="378"/>
      <c r="AB153" s="378"/>
      <c r="AC153" s="378"/>
      <c r="AD153" s="378"/>
      <c r="AE153" s="378"/>
      <c r="AF153" s="378"/>
      <c r="AG153" s="378"/>
      <c r="AH153" s="378"/>
      <c r="AI153" s="378"/>
      <c r="AJ153" s="378"/>
      <c r="AK153" s="378"/>
      <c r="AL153" s="378"/>
      <c r="AM153" s="378"/>
      <c r="AN153" s="378"/>
      <c r="AO153" s="378"/>
      <c r="AP153" s="378"/>
      <c r="AQ153" s="378"/>
      <c r="AR153" s="378"/>
      <c r="AS153" s="378"/>
      <c r="AT153" s="378"/>
      <c r="AU153" s="378"/>
      <c r="AV153" s="378"/>
      <c r="AW153" s="378"/>
      <c r="AX153" s="378"/>
      <c r="AY153" s="378"/>
      <c r="AZ153" s="378"/>
      <c r="BA153" s="378"/>
      <c r="BB153" s="378"/>
      <c r="BC153" s="378"/>
      <c r="BD153" s="378"/>
      <c r="BE153" s="378"/>
      <c r="BF153" s="378"/>
      <c r="BG153" s="378"/>
      <c r="BH153" s="378"/>
      <c r="BI153" s="378"/>
      <c r="BJ153" s="378"/>
      <c r="BK153" s="378"/>
      <c r="BL153" s="378"/>
      <c r="BM153" s="378"/>
      <c r="BN153" s="378"/>
      <c r="BO153" s="378"/>
      <c r="BP153" s="378"/>
      <c r="BQ153" s="378"/>
      <c r="BR153" s="378"/>
      <c r="BS153" s="378"/>
      <c r="BT153" s="378"/>
      <c r="BU153" s="378"/>
      <c r="BV153" s="378"/>
      <c r="BW153" s="378"/>
      <c r="BX153" s="378"/>
      <c r="BY153" s="378"/>
      <c r="BZ153" s="378"/>
      <c r="CA153" s="378"/>
      <c r="CB153" s="378"/>
      <c r="CC153" s="378"/>
      <c r="CD153" s="378"/>
      <c r="CE153" s="378"/>
      <c r="CF153" s="378"/>
      <c r="CG153" s="378"/>
      <c r="CH153" s="378"/>
      <c r="CI153" s="378"/>
      <c r="CJ153" s="378"/>
      <c r="CK153" s="378"/>
      <c r="CL153" s="378"/>
      <c r="CM153" s="378"/>
      <c r="CN153" s="378"/>
      <c r="CO153" s="378"/>
      <c r="CP153" s="378"/>
      <c r="CQ153" s="378"/>
      <c r="CR153" s="378"/>
      <c r="CS153" s="378"/>
      <c r="CT153" s="378"/>
    </row>
    <row r="154" spans="1:98" x14ac:dyDescent="0.25">
      <c r="A154" s="378"/>
      <c r="B154" s="378"/>
      <c r="C154" s="378"/>
      <c r="D154" s="378"/>
      <c r="E154" s="378"/>
      <c r="F154" s="378"/>
      <c r="G154" s="378"/>
      <c r="H154" s="378"/>
      <c r="I154" s="378"/>
      <c r="J154" s="378"/>
      <c r="K154" s="378"/>
      <c r="L154" s="378"/>
      <c r="M154" s="378"/>
      <c r="N154" s="378"/>
      <c r="O154" s="378"/>
      <c r="P154" s="378"/>
      <c r="Q154" s="378"/>
      <c r="R154" s="378"/>
      <c r="S154" s="378"/>
      <c r="T154" s="378"/>
      <c r="U154" s="378"/>
      <c r="V154" s="378"/>
      <c r="W154" s="378"/>
      <c r="X154" s="378"/>
      <c r="Y154" s="378"/>
      <c r="Z154" s="378"/>
      <c r="AA154" s="378"/>
      <c r="AB154" s="378"/>
      <c r="AC154" s="378"/>
      <c r="AD154" s="378"/>
      <c r="AE154" s="378"/>
      <c r="AF154" s="378"/>
      <c r="AG154" s="378"/>
      <c r="AH154" s="378"/>
      <c r="AI154" s="378"/>
      <c r="AJ154" s="378"/>
      <c r="AK154" s="378"/>
      <c r="AL154" s="378"/>
      <c r="AM154" s="378"/>
      <c r="AN154" s="378"/>
      <c r="AO154" s="378"/>
      <c r="AP154" s="378"/>
      <c r="AQ154" s="378"/>
      <c r="AR154" s="378"/>
      <c r="AS154" s="378"/>
      <c r="AT154" s="378"/>
      <c r="AU154" s="378"/>
      <c r="AV154" s="378"/>
      <c r="AW154" s="378"/>
      <c r="AX154" s="378"/>
      <c r="AY154" s="378"/>
      <c r="AZ154" s="378"/>
      <c r="BA154" s="378"/>
      <c r="BB154" s="378"/>
      <c r="BC154" s="378"/>
      <c r="BD154" s="378"/>
      <c r="BE154" s="378"/>
      <c r="BF154" s="378"/>
      <c r="BG154" s="378"/>
      <c r="BH154" s="378"/>
      <c r="BI154" s="378"/>
      <c r="BJ154" s="378"/>
      <c r="BK154" s="378"/>
      <c r="BL154" s="378"/>
      <c r="BM154" s="378"/>
      <c r="BN154" s="378"/>
      <c r="BO154" s="378"/>
      <c r="BP154" s="378"/>
      <c r="BQ154" s="378"/>
      <c r="BR154" s="378"/>
      <c r="BS154" s="378"/>
      <c r="BT154" s="378"/>
      <c r="BU154" s="378"/>
      <c r="BV154" s="378"/>
      <c r="BW154" s="378"/>
      <c r="BX154" s="378"/>
      <c r="BY154" s="378"/>
      <c r="BZ154" s="378"/>
      <c r="CA154" s="378"/>
      <c r="CB154" s="378"/>
      <c r="CC154" s="378"/>
      <c r="CD154" s="378"/>
      <c r="CE154" s="378"/>
      <c r="CF154" s="378"/>
      <c r="CG154" s="378"/>
      <c r="CH154" s="378"/>
      <c r="CI154" s="378"/>
      <c r="CJ154" s="378"/>
      <c r="CK154" s="378"/>
      <c r="CL154" s="378"/>
      <c r="CM154" s="378"/>
      <c r="CN154" s="378"/>
      <c r="CO154" s="378"/>
      <c r="CP154" s="378"/>
      <c r="CQ154" s="378"/>
      <c r="CR154" s="378"/>
      <c r="CS154" s="378"/>
      <c r="CT154" s="378"/>
    </row>
    <row r="155" spans="1:98" x14ac:dyDescent="0.25">
      <c r="A155" s="378"/>
      <c r="B155" s="378"/>
      <c r="C155" s="378"/>
      <c r="D155" s="378"/>
      <c r="E155" s="378"/>
      <c r="F155" s="378"/>
      <c r="G155" s="378"/>
      <c r="H155" s="378"/>
      <c r="I155" s="378"/>
      <c r="J155" s="378"/>
      <c r="K155" s="378"/>
      <c r="L155" s="378"/>
      <c r="M155" s="378"/>
      <c r="N155" s="378"/>
      <c r="O155" s="378"/>
      <c r="P155" s="378"/>
      <c r="Q155" s="378"/>
      <c r="R155" s="378"/>
      <c r="S155" s="378"/>
      <c r="T155" s="378"/>
      <c r="U155" s="378"/>
      <c r="V155" s="378"/>
      <c r="W155" s="378"/>
      <c r="X155" s="378"/>
      <c r="Y155" s="378"/>
      <c r="Z155" s="378"/>
      <c r="AA155" s="378"/>
      <c r="AB155" s="378"/>
      <c r="AC155" s="378"/>
      <c r="AD155" s="378"/>
      <c r="AE155" s="378"/>
      <c r="AF155" s="378"/>
      <c r="AG155" s="378"/>
      <c r="AH155" s="378"/>
      <c r="AI155" s="378"/>
      <c r="AJ155" s="378"/>
      <c r="AK155" s="378"/>
      <c r="AL155" s="378"/>
      <c r="AM155" s="378"/>
      <c r="AN155" s="378"/>
      <c r="AO155" s="378"/>
      <c r="AP155" s="378"/>
      <c r="AQ155" s="378"/>
      <c r="AR155" s="378"/>
      <c r="AS155" s="378"/>
      <c r="AT155" s="378"/>
      <c r="AU155" s="378"/>
      <c r="AV155" s="378"/>
      <c r="AW155" s="378"/>
      <c r="AX155" s="378"/>
      <c r="AY155" s="378"/>
      <c r="AZ155" s="378"/>
      <c r="BA155" s="378"/>
      <c r="BB155" s="378"/>
      <c r="BC155" s="378"/>
      <c r="BD155" s="378"/>
      <c r="BE155" s="378"/>
      <c r="BF155" s="378"/>
      <c r="BG155" s="378"/>
      <c r="BH155" s="378"/>
      <c r="BI155" s="378"/>
      <c r="BJ155" s="378"/>
      <c r="BK155" s="378"/>
      <c r="BL155" s="378"/>
      <c r="BM155" s="378"/>
      <c r="BN155" s="378"/>
      <c r="BO155" s="378"/>
      <c r="BP155" s="378"/>
      <c r="BQ155" s="378"/>
      <c r="BR155" s="378"/>
      <c r="BS155" s="378"/>
      <c r="BT155" s="378"/>
      <c r="BU155" s="378"/>
      <c r="BV155" s="378"/>
      <c r="BW155" s="378"/>
      <c r="BX155" s="378"/>
      <c r="BY155" s="378"/>
      <c r="BZ155" s="378"/>
      <c r="CA155" s="378"/>
      <c r="CB155" s="378"/>
      <c r="CC155" s="378"/>
      <c r="CD155" s="378"/>
      <c r="CE155" s="378"/>
      <c r="CF155" s="378"/>
      <c r="CG155" s="378"/>
      <c r="CH155" s="378"/>
      <c r="CI155" s="378"/>
      <c r="CJ155" s="378"/>
      <c r="CK155" s="378"/>
      <c r="CL155" s="378"/>
      <c r="CM155" s="378"/>
      <c r="CN155" s="378"/>
      <c r="CO155" s="378"/>
      <c r="CP155" s="378"/>
      <c r="CQ155" s="378"/>
      <c r="CR155" s="378"/>
      <c r="CS155" s="378"/>
      <c r="CT155" s="378"/>
    </row>
    <row r="156" spans="1:98" x14ac:dyDescent="0.25">
      <c r="A156" s="378"/>
      <c r="B156" s="378"/>
      <c r="C156" s="378"/>
      <c r="D156" s="378"/>
      <c r="E156" s="378"/>
      <c r="F156" s="378"/>
      <c r="G156" s="378"/>
      <c r="H156" s="378"/>
      <c r="I156" s="378"/>
      <c r="J156" s="378"/>
      <c r="K156" s="378"/>
      <c r="L156" s="378"/>
      <c r="M156" s="378"/>
      <c r="N156" s="378"/>
      <c r="O156" s="378"/>
      <c r="P156" s="378"/>
      <c r="Q156" s="378"/>
      <c r="R156" s="378"/>
      <c r="S156" s="378"/>
      <c r="T156" s="378"/>
      <c r="U156" s="378"/>
      <c r="V156" s="378"/>
      <c r="W156" s="378"/>
      <c r="X156" s="378"/>
      <c r="Y156" s="378"/>
      <c r="Z156" s="378"/>
      <c r="AA156" s="378"/>
      <c r="AB156" s="378"/>
      <c r="AC156" s="378"/>
      <c r="AD156" s="378"/>
      <c r="AE156" s="378"/>
      <c r="AF156" s="378"/>
      <c r="AG156" s="378"/>
      <c r="AH156" s="378"/>
      <c r="AI156" s="378"/>
      <c r="AJ156" s="378"/>
      <c r="AK156" s="378"/>
      <c r="AL156" s="378"/>
      <c r="AM156" s="378"/>
      <c r="AN156" s="378"/>
      <c r="AO156" s="378"/>
      <c r="AP156" s="378"/>
      <c r="AQ156" s="378"/>
      <c r="AR156" s="378"/>
      <c r="AS156" s="378"/>
      <c r="AT156" s="378"/>
      <c r="AU156" s="378"/>
      <c r="AV156" s="378"/>
      <c r="AW156" s="378"/>
      <c r="AX156" s="378"/>
      <c r="AY156" s="378"/>
      <c r="AZ156" s="378"/>
      <c r="BA156" s="378"/>
      <c r="BB156" s="378"/>
      <c r="BC156" s="378"/>
      <c r="BD156" s="378"/>
      <c r="BE156" s="378"/>
      <c r="BF156" s="378"/>
      <c r="BG156" s="378"/>
      <c r="BH156" s="378"/>
      <c r="BI156" s="378"/>
      <c r="BJ156" s="378"/>
      <c r="BK156" s="378"/>
      <c r="BL156" s="378"/>
      <c r="BM156" s="378"/>
      <c r="BN156" s="378"/>
      <c r="BO156" s="378"/>
      <c r="BP156" s="378"/>
      <c r="BQ156" s="378"/>
      <c r="BR156" s="378"/>
      <c r="BS156" s="378"/>
      <c r="BT156" s="378"/>
      <c r="BU156" s="378"/>
      <c r="BV156" s="378"/>
      <c r="BW156" s="378"/>
      <c r="BX156" s="378"/>
      <c r="BY156" s="378"/>
      <c r="BZ156" s="378"/>
      <c r="CA156" s="378"/>
      <c r="CB156" s="378"/>
      <c r="CC156" s="378"/>
      <c r="CD156" s="378"/>
      <c r="CE156" s="378"/>
      <c r="CF156" s="378"/>
      <c r="CG156" s="378"/>
      <c r="CH156" s="378"/>
      <c r="CI156" s="378"/>
      <c r="CJ156" s="378"/>
      <c r="CK156" s="378"/>
      <c r="CL156" s="378"/>
      <c r="CM156" s="378"/>
      <c r="CN156" s="378"/>
      <c r="CO156" s="378"/>
      <c r="CP156" s="378"/>
      <c r="CQ156" s="378"/>
      <c r="CR156" s="378"/>
      <c r="CS156" s="378"/>
      <c r="CT156" s="378"/>
    </row>
    <row r="157" spans="1:98" x14ac:dyDescent="0.25">
      <c r="A157" s="378"/>
      <c r="B157" s="378"/>
      <c r="C157" s="378"/>
      <c r="D157" s="378"/>
      <c r="E157" s="378"/>
      <c r="F157" s="378"/>
      <c r="G157" s="378"/>
      <c r="H157" s="378"/>
      <c r="I157" s="378"/>
      <c r="J157" s="378"/>
      <c r="K157" s="378"/>
      <c r="L157" s="378"/>
      <c r="M157" s="378"/>
      <c r="N157" s="378"/>
      <c r="O157" s="378"/>
      <c r="P157" s="378"/>
      <c r="Q157" s="378"/>
      <c r="R157" s="378"/>
      <c r="S157" s="378"/>
      <c r="T157" s="378"/>
      <c r="U157" s="378"/>
      <c r="V157" s="378"/>
      <c r="W157" s="378"/>
      <c r="X157" s="378"/>
      <c r="Y157" s="378"/>
      <c r="Z157" s="378"/>
      <c r="AA157" s="378"/>
      <c r="AB157" s="378"/>
      <c r="AC157" s="378"/>
      <c r="AD157" s="378"/>
      <c r="AE157" s="378"/>
      <c r="AF157" s="378"/>
      <c r="AG157" s="378"/>
      <c r="AH157" s="378"/>
      <c r="AI157" s="378"/>
      <c r="AJ157" s="378"/>
      <c r="AK157" s="378"/>
      <c r="AL157" s="378"/>
      <c r="AM157" s="378"/>
      <c r="AN157" s="378"/>
      <c r="AO157" s="378"/>
      <c r="AP157" s="378"/>
      <c r="AQ157" s="378"/>
      <c r="AR157" s="378"/>
      <c r="AS157" s="378"/>
      <c r="AT157" s="378"/>
      <c r="AU157" s="378"/>
      <c r="AV157" s="378"/>
      <c r="AW157" s="378"/>
      <c r="AX157" s="378"/>
      <c r="AY157" s="378"/>
      <c r="AZ157" s="378"/>
      <c r="BA157" s="378"/>
      <c r="BB157" s="378"/>
      <c r="BC157" s="378"/>
      <c r="BD157" s="378"/>
      <c r="BE157" s="378"/>
      <c r="BF157" s="378"/>
      <c r="BG157" s="378"/>
      <c r="BH157" s="378"/>
      <c r="BI157" s="378"/>
      <c r="BJ157" s="378"/>
      <c r="BK157" s="378"/>
      <c r="BL157" s="378"/>
      <c r="BM157" s="378"/>
      <c r="BN157" s="378"/>
      <c r="BO157" s="378"/>
      <c r="BP157" s="378"/>
      <c r="BQ157" s="378"/>
      <c r="BR157" s="378"/>
      <c r="BS157" s="378"/>
      <c r="BT157" s="378"/>
      <c r="BU157" s="378"/>
      <c r="BV157" s="378"/>
      <c r="BW157" s="378"/>
      <c r="BX157" s="378"/>
      <c r="BY157" s="378"/>
      <c r="BZ157" s="378"/>
      <c r="CA157" s="378"/>
      <c r="CB157" s="378"/>
      <c r="CC157" s="378"/>
      <c r="CD157" s="378"/>
      <c r="CE157" s="378"/>
      <c r="CF157" s="378"/>
      <c r="CG157" s="378"/>
      <c r="CH157" s="378"/>
      <c r="CI157" s="378"/>
      <c r="CJ157" s="378"/>
      <c r="CK157" s="378"/>
      <c r="CL157" s="378"/>
      <c r="CM157" s="378"/>
      <c r="CN157" s="378"/>
      <c r="CO157" s="378"/>
      <c r="CP157" s="378"/>
      <c r="CQ157" s="378"/>
      <c r="CR157" s="378"/>
      <c r="CS157" s="378"/>
      <c r="CT157" s="378"/>
    </row>
    <row r="158" spans="1:98" x14ac:dyDescent="0.25">
      <c r="A158" s="378"/>
      <c r="B158" s="378"/>
      <c r="C158" s="378"/>
      <c r="D158" s="378"/>
      <c r="E158" s="378"/>
      <c r="F158" s="378"/>
      <c r="G158" s="378"/>
      <c r="H158" s="378"/>
      <c r="I158" s="378"/>
      <c r="J158" s="378"/>
      <c r="K158" s="378"/>
      <c r="L158" s="378"/>
      <c r="M158" s="378"/>
      <c r="N158" s="378"/>
      <c r="O158" s="378"/>
      <c r="P158" s="378"/>
      <c r="Q158" s="378"/>
      <c r="R158" s="378"/>
      <c r="S158" s="378"/>
      <c r="T158" s="378"/>
      <c r="U158" s="378"/>
      <c r="V158" s="378"/>
      <c r="W158" s="378"/>
      <c r="X158" s="378"/>
      <c r="Y158" s="378"/>
      <c r="Z158" s="378"/>
      <c r="AA158" s="378"/>
      <c r="AB158" s="378"/>
      <c r="AC158" s="378"/>
      <c r="AD158" s="378"/>
      <c r="AE158" s="378"/>
      <c r="AF158" s="378"/>
      <c r="AG158" s="378"/>
      <c r="AH158" s="378"/>
      <c r="AI158" s="378"/>
      <c r="AJ158" s="378"/>
      <c r="AK158" s="378"/>
      <c r="AL158" s="378"/>
      <c r="AM158" s="378"/>
      <c r="AN158" s="378"/>
      <c r="AO158" s="378"/>
      <c r="AP158" s="378"/>
      <c r="AQ158" s="378"/>
      <c r="AR158" s="378"/>
      <c r="AS158" s="378"/>
      <c r="AT158" s="378"/>
      <c r="AU158" s="378"/>
      <c r="AV158" s="378"/>
      <c r="AW158" s="378"/>
      <c r="AX158" s="378"/>
      <c r="AY158" s="378"/>
      <c r="AZ158" s="378"/>
      <c r="BA158" s="378"/>
      <c r="BB158" s="378"/>
      <c r="BC158" s="378"/>
      <c r="BD158" s="378"/>
      <c r="BE158" s="378"/>
      <c r="BF158" s="378"/>
      <c r="BG158" s="378"/>
      <c r="BH158" s="378"/>
      <c r="BI158" s="378"/>
      <c r="BJ158" s="378"/>
      <c r="BK158" s="378"/>
      <c r="BL158" s="378"/>
      <c r="BM158" s="378"/>
      <c r="BN158" s="378"/>
      <c r="BO158" s="378"/>
      <c r="BP158" s="378"/>
      <c r="BQ158" s="378"/>
      <c r="BR158" s="378"/>
      <c r="BS158" s="378"/>
      <c r="BT158" s="378"/>
      <c r="BU158" s="378"/>
      <c r="BV158" s="378"/>
      <c r="BW158" s="378"/>
      <c r="BX158" s="378"/>
      <c r="BY158" s="378"/>
      <c r="BZ158" s="378"/>
      <c r="CA158" s="378"/>
      <c r="CB158" s="378"/>
      <c r="CC158" s="378"/>
      <c r="CD158" s="378"/>
      <c r="CE158" s="378"/>
      <c r="CF158" s="378"/>
      <c r="CG158" s="378"/>
      <c r="CH158" s="378"/>
      <c r="CI158" s="378"/>
      <c r="CJ158" s="378"/>
      <c r="CK158" s="378"/>
      <c r="CL158" s="378"/>
      <c r="CM158" s="378"/>
      <c r="CN158" s="378"/>
      <c r="CO158" s="378"/>
      <c r="CP158" s="378"/>
      <c r="CQ158" s="378"/>
      <c r="CR158" s="378"/>
      <c r="CS158" s="378"/>
      <c r="CT158" s="378"/>
    </row>
    <row r="159" spans="1:98" x14ac:dyDescent="0.25">
      <c r="A159" s="378"/>
      <c r="B159" s="378"/>
      <c r="C159" s="378"/>
      <c r="D159" s="378"/>
      <c r="E159" s="378"/>
      <c r="F159" s="378"/>
      <c r="G159" s="378"/>
      <c r="H159" s="378"/>
      <c r="I159" s="378"/>
      <c r="J159" s="378"/>
      <c r="K159" s="378"/>
      <c r="L159" s="378"/>
      <c r="M159" s="378"/>
      <c r="N159" s="378"/>
      <c r="O159" s="378"/>
      <c r="P159" s="378"/>
      <c r="Q159" s="378"/>
      <c r="R159" s="378"/>
      <c r="S159" s="378"/>
      <c r="T159" s="378"/>
      <c r="U159" s="378"/>
      <c r="V159" s="378"/>
      <c r="W159" s="378"/>
      <c r="X159" s="378"/>
      <c r="Y159" s="378"/>
      <c r="Z159" s="378"/>
      <c r="AA159" s="378"/>
      <c r="AB159" s="378"/>
      <c r="AC159" s="378"/>
      <c r="AD159" s="378"/>
      <c r="AE159" s="378"/>
      <c r="AF159" s="378"/>
      <c r="AG159" s="378"/>
      <c r="AH159" s="378"/>
      <c r="AI159" s="378"/>
      <c r="AJ159" s="378"/>
      <c r="AK159" s="378"/>
      <c r="AL159" s="378"/>
      <c r="AM159" s="378"/>
      <c r="AN159" s="378"/>
      <c r="AO159" s="378"/>
      <c r="AP159" s="378"/>
      <c r="AQ159" s="378"/>
      <c r="AR159" s="378"/>
      <c r="AS159" s="378"/>
      <c r="AT159" s="378"/>
      <c r="AU159" s="378"/>
      <c r="AV159" s="378"/>
      <c r="AW159" s="378"/>
      <c r="AX159" s="378"/>
      <c r="AY159" s="378"/>
      <c r="AZ159" s="378"/>
      <c r="BA159" s="378"/>
      <c r="BB159" s="378"/>
      <c r="BC159" s="378"/>
      <c r="BD159" s="378"/>
      <c r="BE159" s="378"/>
      <c r="BF159" s="378"/>
      <c r="BG159" s="378"/>
      <c r="BH159" s="378"/>
      <c r="BI159" s="378"/>
      <c r="BJ159" s="378"/>
      <c r="BK159" s="378"/>
      <c r="BL159" s="378"/>
      <c r="BM159" s="378"/>
      <c r="BN159" s="378"/>
      <c r="BO159" s="378"/>
      <c r="BP159" s="378"/>
      <c r="BQ159" s="378"/>
      <c r="BR159" s="378"/>
      <c r="BS159" s="378"/>
      <c r="BT159" s="378"/>
      <c r="BU159" s="378"/>
      <c r="BV159" s="378"/>
      <c r="BW159" s="378"/>
      <c r="BX159" s="378"/>
      <c r="BY159" s="378"/>
      <c r="BZ159" s="378"/>
      <c r="CA159" s="378"/>
      <c r="CB159" s="378"/>
      <c r="CC159" s="378"/>
      <c r="CD159" s="378"/>
      <c r="CE159" s="378"/>
      <c r="CF159" s="378"/>
      <c r="CG159" s="378"/>
      <c r="CH159" s="378"/>
      <c r="CI159" s="378"/>
      <c r="CJ159" s="378"/>
      <c r="CK159" s="378"/>
      <c r="CL159" s="378"/>
      <c r="CM159" s="378"/>
      <c r="CN159" s="378"/>
      <c r="CO159" s="378"/>
      <c r="CP159" s="378"/>
      <c r="CQ159" s="378"/>
      <c r="CR159" s="378"/>
      <c r="CS159" s="378"/>
      <c r="CT159" s="378"/>
    </row>
    <row r="160" spans="1:98" x14ac:dyDescent="0.25">
      <c r="A160" s="378"/>
      <c r="B160" s="378"/>
      <c r="C160" s="378"/>
      <c r="D160" s="378"/>
      <c r="E160" s="378"/>
      <c r="F160" s="378"/>
      <c r="G160" s="378"/>
      <c r="H160" s="378"/>
      <c r="I160" s="378"/>
      <c r="J160" s="378"/>
      <c r="K160" s="378"/>
      <c r="L160" s="378"/>
      <c r="M160" s="378"/>
      <c r="N160" s="378"/>
      <c r="O160" s="378"/>
      <c r="P160" s="378"/>
      <c r="Q160" s="378"/>
      <c r="R160" s="378"/>
      <c r="S160" s="378"/>
      <c r="T160" s="378"/>
      <c r="U160" s="378"/>
      <c r="V160" s="378"/>
      <c r="W160" s="378"/>
      <c r="X160" s="378"/>
      <c r="Y160" s="378"/>
      <c r="Z160" s="378"/>
      <c r="AA160" s="378"/>
      <c r="AB160" s="378"/>
      <c r="AC160" s="378"/>
      <c r="AD160" s="378"/>
      <c r="AE160" s="378"/>
      <c r="AF160" s="378"/>
      <c r="AG160" s="378"/>
      <c r="AH160" s="378"/>
      <c r="AI160" s="378"/>
      <c r="AJ160" s="378"/>
      <c r="AK160" s="378"/>
      <c r="AL160" s="378"/>
      <c r="AM160" s="378"/>
      <c r="AN160" s="378"/>
      <c r="AO160" s="378"/>
      <c r="AP160" s="378"/>
      <c r="AQ160" s="378"/>
      <c r="AR160" s="378"/>
      <c r="AS160" s="378"/>
      <c r="AT160" s="378"/>
      <c r="AU160" s="378"/>
      <c r="AV160" s="378"/>
      <c r="AW160" s="378"/>
      <c r="AX160" s="378"/>
      <c r="AY160" s="378"/>
      <c r="AZ160" s="378"/>
      <c r="BA160" s="378"/>
      <c r="BB160" s="378"/>
      <c r="BC160" s="378"/>
      <c r="BD160" s="378"/>
      <c r="BE160" s="378"/>
      <c r="BF160" s="378"/>
      <c r="BG160" s="378"/>
      <c r="BH160" s="378"/>
      <c r="BI160" s="378"/>
      <c r="BJ160" s="378"/>
      <c r="BK160" s="378"/>
      <c r="BL160" s="378"/>
      <c r="BM160" s="378"/>
      <c r="BN160" s="378"/>
      <c r="BO160" s="378"/>
      <c r="BP160" s="378"/>
      <c r="BQ160" s="378"/>
      <c r="BR160" s="378"/>
      <c r="BS160" s="378"/>
      <c r="BT160" s="378"/>
      <c r="BU160" s="378"/>
      <c r="BV160" s="378"/>
      <c r="BW160" s="378"/>
      <c r="BX160" s="378"/>
      <c r="BY160" s="378"/>
      <c r="BZ160" s="378"/>
      <c r="CA160" s="378"/>
      <c r="CB160" s="378"/>
      <c r="CC160" s="378"/>
      <c r="CD160" s="378"/>
      <c r="CE160" s="378"/>
      <c r="CF160" s="378"/>
      <c r="CG160" s="378"/>
      <c r="CH160" s="378"/>
      <c r="CI160" s="378"/>
      <c r="CJ160" s="378"/>
      <c r="CK160" s="378"/>
      <c r="CL160" s="378"/>
      <c r="CM160" s="378"/>
      <c r="CN160" s="378"/>
      <c r="CO160" s="378"/>
      <c r="CP160" s="378"/>
      <c r="CQ160" s="378"/>
      <c r="CR160" s="378"/>
      <c r="CS160" s="378"/>
      <c r="CT160" s="378"/>
    </row>
    <row r="161" spans="1:98" x14ac:dyDescent="0.25">
      <c r="A161" s="378"/>
      <c r="B161" s="378"/>
      <c r="C161" s="378"/>
      <c r="D161" s="378"/>
      <c r="E161" s="378"/>
      <c r="F161" s="378"/>
      <c r="G161" s="378"/>
      <c r="H161" s="378"/>
      <c r="I161" s="378"/>
      <c r="J161" s="378"/>
      <c r="K161" s="378"/>
      <c r="L161" s="378"/>
      <c r="M161" s="378"/>
      <c r="N161" s="378"/>
      <c r="O161" s="378"/>
      <c r="P161" s="378"/>
      <c r="Q161" s="378"/>
      <c r="R161" s="378"/>
      <c r="S161" s="378"/>
      <c r="T161" s="378"/>
      <c r="U161" s="378"/>
      <c r="V161" s="378"/>
      <c r="W161" s="378"/>
      <c r="X161" s="378"/>
      <c r="Y161" s="378"/>
      <c r="Z161" s="378"/>
      <c r="AA161" s="378"/>
      <c r="AB161" s="378"/>
      <c r="AC161" s="378"/>
      <c r="AD161" s="378"/>
      <c r="AE161" s="378"/>
      <c r="AF161" s="378"/>
      <c r="AG161" s="378"/>
      <c r="AH161" s="378"/>
      <c r="AI161" s="378"/>
      <c r="AJ161" s="378"/>
      <c r="AK161" s="378"/>
      <c r="AL161" s="378"/>
      <c r="AM161" s="378"/>
      <c r="AN161" s="378"/>
      <c r="AO161" s="378"/>
      <c r="AP161" s="378"/>
      <c r="AQ161" s="378"/>
      <c r="AR161" s="378"/>
      <c r="AS161" s="378"/>
      <c r="AT161" s="378"/>
      <c r="AU161" s="378"/>
      <c r="AV161" s="378"/>
      <c r="AW161" s="378"/>
      <c r="AX161" s="378"/>
      <c r="AY161" s="378"/>
      <c r="AZ161" s="378"/>
      <c r="BA161" s="378"/>
      <c r="BB161" s="378"/>
      <c r="BC161" s="378"/>
      <c r="BD161" s="378"/>
      <c r="BE161" s="378"/>
      <c r="BF161" s="378"/>
      <c r="BG161" s="378"/>
      <c r="BH161" s="378"/>
      <c r="BI161" s="378"/>
      <c r="BJ161" s="378"/>
      <c r="BK161" s="378"/>
      <c r="BL161" s="378"/>
      <c r="BM161" s="378"/>
      <c r="BN161" s="378"/>
      <c r="BO161" s="378"/>
      <c r="BP161" s="378"/>
      <c r="BQ161" s="378"/>
      <c r="BR161" s="378"/>
      <c r="BS161" s="378"/>
      <c r="BT161" s="378"/>
      <c r="BU161" s="378"/>
      <c r="BV161" s="378"/>
      <c r="BW161" s="378"/>
      <c r="BX161" s="378"/>
      <c r="BY161" s="378"/>
      <c r="BZ161" s="378"/>
      <c r="CA161" s="378"/>
      <c r="CB161" s="378"/>
      <c r="CC161" s="378"/>
      <c r="CD161" s="378"/>
      <c r="CE161" s="378"/>
      <c r="CF161" s="378"/>
      <c r="CG161" s="378"/>
      <c r="CH161" s="378"/>
      <c r="CI161" s="378"/>
      <c r="CJ161" s="378"/>
      <c r="CK161" s="378"/>
      <c r="CL161" s="378"/>
      <c r="CM161" s="378"/>
      <c r="CN161" s="378"/>
      <c r="CO161" s="378"/>
      <c r="CP161" s="378"/>
      <c r="CQ161" s="378"/>
      <c r="CR161" s="378"/>
      <c r="CS161" s="378"/>
      <c r="CT161" s="378"/>
    </row>
    <row r="162" spans="1:98" x14ac:dyDescent="0.25">
      <c r="A162" s="378"/>
      <c r="B162" s="378"/>
      <c r="C162" s="378"/>
      <c r="D162" s="378"/>
      <c r="E162" s="378"/>
      <c r="F162" s="378"/>
      <c r="G162" s="378"/>
      <c r="H162" s="378"/>
      <c r="I162" s="378"/>
      <c r="J162" s="378"/>
      <c r="K162" s="378"/>
      <c r="L162" s="378"/>
      <c r="M162" s="378"/>
      <c r="N162" s="378"/>
      <c r="O162" s="378"/>
      <c r="P162" s="378"/>
      <c r="Q162" s="378"/>
      <c r="R162" s="378"/>
      <c r="S162" s="378"/>
      <c r="T162" s="378"/>
      <c r="U162" s="378"/>
      <c r="V162" s="378"/>
      <c r="W162" s="378"/>
      <c r="X162" s="378"/>
      <c r="Y162" s="378"/>
      <c r="Z162" s="378"/>
      <c r="AA162" s="378"/>
      <c r="AB162" s="378"/>
      <c r="AC162" s="378"/>
      <c r="AD162" s="378"/>
      <c r="AE162" s="378"/>
      <c r="AF162" s="378"/>
      <c r="AG162" s="378"/>
      <c r="AH162" s="378"/>
      <c r="AI162" s="378"/>
      <c r="AJ162" s="378"/>
      <c r="AK162" s="378"/>
      <c r="AL162" s="378"/>
      <c r="AM162" s="378"/>
      <c r="AN162" s="378"/>
      <c r="AO162" s="378"/>
      <c r="AP162" s="378"/>
      <c r="AQ162" s="378"/>
      <c r="AR162" s="378"/>
      <c r="AS162" s="378"/>
      <c r="AT162" s="378"/>
      <c r="AU162" s="378"/>
      <c r="AV162" s="378"/>
      <c r="AW162" s="378"/>
      <c r="AX162" s="378"/>
      <c r="AY162" s="378"/>
      <c r="AZ162" s="378"/>
      <c r="BA162" s="378"/>
      <c r="BB162" s="378"/>
      <c r="BC162" s="378"/>
      <c r="BD162" s="378"/>
      <c r="BE162" s="378"/>
      <c r="BF162" s="378"/>
      <c r="BG162" s="378"/>
      <c r="BH162" s="378"/>
      <c r="BI162" s="378"/>
      <c r="BJ162" s="378"/>
      <c r="BK162" s="378"/>
      <c r="BL162" s="378"/>
      <c r="BM162" s="378"/>
      <c r="BN162" s="378"/>
      <c r="BO162" s="378"/>
      <c r="BP162" s="378"/>
      <c r="BQ162" s="378"/>
      <c r="BR162" s="378"/>
      <c r="BS162" s="378"/>
      <c r="BT162" s="378"/>
      <c r="BU162" s="378"/>
      <c r="BV162" s="378"/>
      <c r="BW162" s="378"/>
      <c r="BX162" s="378"/>
      <c r="BY162" s="378"/>
      <c r="BZ162" s="378"/>
      <c r="CA162" s="378"/>
      <c r="CB162" s="378"/>
      <c r="CC162" s="378"/>
      <c r="CD162" s="378"/>
      <c r="CE162" s="378"/>
      <c r="CF162" s="378"/>
      <c r="CG162" s="378"/>
      <c r="CH162" s="378"/>
      <c r="CI162" s="378"/>
      <c r="CJ162" s="378"/>
      <c r="CK162" s="378"/>
      <c r="CL162" s="378"/>
      <c r="CM162" s="378"/>
      <c r="CN162" s="378"/>
      <c r="CO162" s="378"/>
      <c r="CP162" s="378"/>
      <c r="CQ162" s="378"/>
      <c r="CR162" s="378"/>
      <c r="CS162" s="378"/>
      <c r="CT162" s="378"/>
    </row>
    <row r="163" spans="1:98" x14ac:dyDescent="0.25">
      <c r="A163" s="378"/>
      <c r="B163" s="378"/>
      <c r="C163" s="378"/>
      <c r="D163" s="378"/>
      <c r="E163" s="378"/>
      <c r="F163" s="378"/>
      <c r="G163" s="378"/>
      <c r="H163" s="378"/>
      <c r="I163" s="378"/>
      <c r="J163" s="378"/>
      <c r="K163" s="378"/>
      <c r="L163" s="378"/>
      <c r="M163" s="378"/>
      <c r="N163" s="378"/>
      <c r="O163" s="378"/>
      <c r="P163" s="378"/>
      <c r="Q163" s="378"/>
      <c r="R163" s="378"/>
      <c r="S163" s="378"/>
      <c r="T163" s="378"/>
      <c r="U163" s="378"/>
      <c r="V163" s="378"/>
      <c r="W163" s="378"/>
      <c r="X163" s="378"/>
      <c r="Y163" s="378"/>
      <c r="Z163" s="378"/>
      <c r="AA163" s="378"/>
      <c r="AB163" s="378"/>
      <c r="AC163" s="378"/>
      <c r="AD163" s="378"/>
      <c r="AE163" s="378"/>
      <c r="AF163" s="378"/>
      <c r="AG163" s="378"/>
      <c r="AH163" s="378"/>
      <c r="AI163" s="378"/>
      <c r="AJ163" s="378"/>
      <c r="AK163" s="378"/>
      <c r="AL163" s="378"/>
      <c r="AM163" s="378"/>
      <c r="AN163" s="378"/>
      <c r="AO163" s="378"/>
      <c r="AP163" s="378"/>
      <c r="AQ163" s="378"/>
      <c r="AR163" s="378"/>
      <c r="AS163" s="378"/>
      <c r="AT163" s="378"/>
      <c r="AU163" s="378"/>
      <c r="AV163" s="378"/>
      <c r="AW163" s="378"/>
      <c r="AX163" s="378"/>
      <c r="AY163" s="378"/>
      <c r="AZ163" s="378"/>
      <c r="BA163" s="378"/>
      <c r="BB163" s="378"/>
      <c r="BC163" s="378"/>
      <c r="BD163" s="378"/>
      <c r="BE163" s="378"/>
      <c r="BF163" s="378"/>
      <c r="BG163" s="378"/>
      <c r="BH163" s="378"/>
      <c r="BI163" s="378"/>
      <c r="BJ163" s="378"/>
      <c r="BK163" s="378"/>
      <c r="BL163" s="378"/>
      <c r="BM163" s="378"/>
      <c r="BN163" s="378"/>
      <c r="BO163" s="378"/>
      <c r="BP163" s="378"/>
      <c r="BQ163" s="378"/>
      <c r="BR163" s="378"/>
      <c r="BS163" s="378"/>
      <c r="BT163" s="378"/>
      <c r="BU163" s="378"/>
      <c r="BV163" s="378"/>
      <c r="BW163" s="378"/>
      <c r="BX163" s="378"/>
      <c r="BY163" s="378"/>
      <c r="BZ163" s="378"/>
      <c r="CA163" s="378"/>
      <c r="CB163" s="378"/>
      <c r="CC163" s="378"/>
      <c r="CD163" s="378"/>
      <c r="CE163" s="378"/>
      <c r="CF163" s="378"/>
      <c r="CG163" s="378"/>
      <c r="CH163" s="378"/>
      <c r="CI163" s="378"/>
      <c r="CJ163" s="378"/>
      <c r="CK163" s="378"/>
      <c r="CL163" s="378"/>
      <c r="CM163" s="378"/>
      <c r="CN163" s="378"/>
      <c r="CO163" s="378"/>
      <c r="CP163" s="378"/>
      <c r="CQ163" s="378"/>
      <c r="CR163" s="378"/>
      <c r="CS163" s="378"/>
      <c r="CT163" s="378"/>
    </row>
    <row r="164" spans="1:98" x14ac:dyDescent="0.25">
      <c r="A164" s="378"/>
      <c r="B164" s="378"/>
      <c r="C164" s="378"/>
      <c r="D164" s="378"/>
      <c r="E164" s="378"/>
      <c r="F164" s="378"/>
      <c r="G164" s="378"/>
      <c r="H164" s="378"/>
      <c r="I164" s="378"/>
      <c r="J164" s="378"/>
      <c r="K164" s="378"/>
      <c r="L164" s="378"/>
      <c r="M164" s="378"/>
      <c r="N164" s="378"/>
      <c r="O164" s="378"/>
      <c r="P164" s="378"/>
      <c r="Q164" s="378"/>
      <c r="R164" s="378"/>
      <c r="S164" s="378"/>
      <c r="T164" s="378"/>
      <c r="U164" s="378"/>
      <c r="V164" s="378"/>
      <c r="W164" s="378"/>
      <c r="X164" s="378"/>
      <c r="Y164" s="378"/>
      <c r="Z164" s="378"/>
      <c r="AA164" s="378"/>
      <c r="AB164" s="378"/>
      <c r="AC164" s="378"/>
      <c r="AD164" s="378"/>
      <c r="AE164" s="378"/>
      <c r="AF164" s="378"/>
      <c r="AG164" s="378"/>
      <c r="AH164" s="378"/>
      <c r="AI164" s="378"/>
      <c r="AJ164" s="378"/>
      <c r="AK164" s="378"/>
      <c r="AL164" s="378"/>
      <c r="AM164" s="378"/>
      <c r="AN164" s="378"/>
      <c r="AO164" s="378"/>
      <c r="AP164" s="378"/>
      <c r="AQ164" s="378"/>
      <c r="AR164" s="378"/>
      <c r="AS164" s="378"/>
      <c r="AT164" s="378"/>
      <c r="AU164" s="378"/>
      <c r="AV164" s="378"/>
      <c r="AW164" s="378"/>
      <c r="AX164" s="378"/>
      <c r="AY164" s="378"/>
      <c r="AZ164" s="378"/>
      <c r="BA164" s="378"/>
      <c r="BB164" s="378"/>
      <c r="BC164" s="378"/>
      <c r="BD164" s="378"/>
      <c r="BE164" s="378"/>
      <c r="BF164" s="378"/>
      <c r="BG164" s="378"/>
      <c r="BH164" s="378"/>
      <c r="BI164" s="378"/>
      <c r="BJ164" s="378"/>
      <c r="BK164" s="378"/>
      <c r="BL164" s="378"/>
      <c r="BM164" s="378"/>
      <c r="BN164" s="378"/>
      <c r="BO164" s="378"/>
      <c r="BP164" s="378"/>
      <c r="BQ164" s="378"/>
      <c r="BR164" s="378"/>
      <c r="BS164" s="378"/>
      <c r="BT164" s="378"/>
      <c r="BU164" s="378"/>
      <c r="BV164" s="378"/>
      <c r="BW164" s="378"/>
      <c r="BX164" s="378"/>
      <c r="BY164" s="378"/>
      <c r="BZ164" s="378"/>
      <c r="CA164" s="378"/>
      <c r="CB164" s="378"/>
      <c r="CC164" s="378"/>
      <c r="CD164" s="378"/>
      <c r="CE164" s="378"/>
      <c r="CF164" s="378"/>
      <c r="CG164" s="378"/>
      <c r="CH164" s="378"/>
      <c r="CI164" s="378"/>
      <c r="CJ164" s="378"/>
      <c r="CK164" s="378"/>
      <c r="CL164" s="378"/>
      <c r="CM164" s="378"/>
      <c r="CN164" s="378"/>
      <c r="CO164" s="378"/>
      <c r="CP164" s="378"/>
      <c r="CQ164" s="378"/>
      <c r="CR164" s="378"/>
      <c r="CS164" s="378"/>
      <c r="CT164" s="378"/>
    </row>
    <row r="165" spans="1:98" x14ac:dyDescent="0.25">
      <c r="A165" s="378"/>
      <c r="B165" s="378"/>
      <c r="C165" s="378"/>
      <c r="D165" s="378"/>
      <c r="E165" s="378"/>
      <c r="F165" s="378"/>
      <c r="G165" s="378"/>
      <c r="H165" s="378"/>
      <c r="I165" s="378"/>
      <c r="J165" s="378"/>
      <c r="K165" s="378"/>
      <c r="L165" s="378"/>
      <c r="M165" s="378"/>
      <c r="N165" s="378"/>
      <c r="O165" s="378"/>
      <c r="P165" s="378"/>
      <c r="Q165" s="378"/>
      <c r="R165" s="378"/>
      <c r="S165" s="378"/>
      <c r="T165" s="378"/>
      <c r="U165" s="378"/>
      <c r="V165" s="378"/>
      <c r="W165" s="378"/>
      <c r="X165" s="378"/>
      <c r="Y165" s="378"/>
      <c r="Z165" s="378"/>
      <c r="AA165" s="378"/>
      <c r="AB165" s="378"/>
      <c r="AC165" s="378"/>
      <c r="AD165" s="378"/>
      <c r="AE165" s="378"/>
      <c r="AF165" s="378"/>
      <c r="AG165" s="378"/>
      <c r="AH165" s="378"/>
      <c r="AI165" s="378"/>
      <c r="AJ165" s="378"/>
      <c r="AK165" s="378"/>
      <c r="AL165" s="378"/>
      <c r="AM165" s="378"/>
      <c r="AN165" s="378"/>
      <c r="AO165" s="378"/>
      <c r="AP165" s="378"/>
      <c r="AQ165" s="378"/>
      <c r="AR165" s="378"/>
      <c r="AS165" s="378"/>
      <c r="AT165" s="378"/>
      <c r="AU165" s="378"/>
      <c r="AV165" s="378"/>
      <c r="AW165" s="378"/>
      <c r="AX165" s="378"/>
      <c r="AY165" s="378"/>
      <c r="AZ165" s="378"/>
      <c r="BA165" s="378"/>
      <c r="BB165" s="378"/>
      <c r="BC165" s="378"/>
      <c r="BD165" s="378"/>
      <c r="BE165" s="378"/>
      <c r="BF165" s="378"/>
      <c r="BG165" s="378"/>
      <c r="BH165" s="378"/>
      <c r="BI165" s="378"/>
      <c r="BJ165" s="378"/>
      <c r="BK165" s="378"/>
      <c r="BL165" s="378"/>
      <c r="BM165" s="378"/>
      <c r="BN165" s="378"/>
      <c r="BO165" s="378"/>
      <c r="BP165" s="378"/>
      <c r="BQ165" s="378"/>
      <c r="BR165" s="378"/>
      <c r="BS165" s="378"/>
      <c r="BT165" s="378"/>
      <c r="BU165" s="378"/>
      <c r="BV165" s="378"/>
      <c r="BW165" s="378"/>
      <c r="BX165" s="378"/>
      <c r="BY165" s="378"/>
      <c r="BZ165" s="378"/>
      <c r="CA165" s="378"/>
      <c r="CB165" s="378"/>
      <c r="CC165" s="378"/>
      <c r="CD165" s="378"/>
      <c r="CE165" s="378"/>
      <c r="CF165" s="378"/>
      <c r="CG165" s="378"/>
      <c r="CH165" s="378"/>
      <c r="CI165" s="378"/>
      <c r="CJ165" s="378"/>
      <c r="CK165" s="378"/>
      <c r="CL165" s="378"/>
      <c r="CM165" s="378"/>
      <c r="CN165" s="378"/>
      <c r="CO165" s="378"/>
      <c r="CP165" s="378"/>
      <c r="CQ165" s="378"/>
      <c r="CR165" s="378"/>
      <c r="CS165" s="378"/>
      <c r="CT165" s="378"/>
    </row>
    <row r="166" spans="1:98" x14ac:dyDescent="0.25">
      <c r="A166" s="378"/>
      <c r="B166" s="378"/>
      <c r="C166" s="378"/>
      <c r="D166" s="378"/>
      <c r="E166" s="378"/>
      <c r="F166" s="378"/>
      <c r="G166" s="378"/>
      <c r="H166" s="378"/>
      <c r="I166" s="378"/>
      <c r="J166" s="378"/>
      <c r="K166" s="378"/>
      <c r="L166" s="378"/>
      <c r="M166" s="378"/>
      <c r="N166" s="378"/>
      <c r="O166" s="378"/>
      <c r="P166" s="378"/>
      <c r="Q166" s="378"/>
      <c r="R166" s="378"/>
      <c r="S166" s="378"/>
      <c r="T166" s="378"/>
      <c r="U166" s="378"/>
      <c r="V166" s="378"/>
      <c r="W166" s="378"/>
      <c r="X166" s="378"/>
      <c r="Y166" s="378"/>
      <c r="Z166" s="378"/>
      <c r="AA166" s="378"/>
      <c r="AB166" s="378"/>
      <c r="AC166" s="378"/>
      <c r="AD166" s="378"/>
      <c r="AE166" s="378"/>
      <c r="AF166" s="378"/>
      <c r="AG166" s="378"/>
      <c r="AH166" s="378"/>
      <c r="AI166" s="378"/>
      <c r="AJ166" s="378"/>
      <c r="AK166" s="378"/>
      <c r="AL166" s="378"/>
      <c r="AM166" s="378"/>
      <c r="AN166" s="378"/>
      <c r="AO166" s="378"/>
      <c r="AP166" s="378"/>
      <c r="AQ166" s="378"/>
      <c r="AR166" s="378"/>
      <c r="AS166" s="378"/>
      <c r="AT166" s="378"/>
      <c r="AU166" s="378"/>
      <c r="AV166" s="378"/>
      <c r="AW166" s="378"/>
      <c r="AX166" s="378"/>
      <c r="AY166" s="378"/>
      <c r="AZ166" s="378"/>
      <c r="BA166" s="378"/>
      <c r="BB166" s="378"/>
      <c r="BC166" s="378"/>
      <c r="BD166" s="378"/>
      <c r="BE166" s="378"/>
      <c r="BF166" s="378"/>
      <c r="BG166" s="378"/>
      <c r="BH166" s="378"/>
      <c r="BI166" s="378"/>
      <c r="BJ166" s="378"/>
      <c r="BK166" s="378"/>
      <c r="BL166" s="378"/>
      <c r="BM166" s="378"/>
      <c r="BN166" s="378"/>
      <c r="BO166" s="378"/>
      <c r="BP166" s="378"/>
      <c r="BQ166" s="378"/>
      <c r="BR166" s="378"/>
      <c r="BS166" s="378"/>
      <c r="BT166" s="378"/>
      <c r="BU166" s="378"/>
      <c r="BV166" s="378"/>
      <c r="BW166" s="378"/>
      <c r="BX166" s="378"/>
      <c r="BY166" s="378"/>
      <c r="BZ166" s="378"/>
      <c r="CA166" s="378"/>
      <c r="CB166" s="378"/>
      <c r="CC166" s="378"/>
      <c r="CD166" s="378"/>
      <c r="CE166" s="378"/>
      <c r="CF166" s="378"/>
      <c r="CG166" s="378"/>
      <c r="CH166" s="378"/>
      <c r="CI166" s="378"/>
      <c r="CJ166" s="378"/>
      <c r="CK166" s="378"/>
      <c r="CL166" s="378"/>
      <c r="CM166" s="378"/>
      <c r="CN166" s="378"/>
      <c r="CO166" s="378"/>
      <c r="CP166" s="378"/>
      <c r="CQ166" s="378"/>
      <c r="CR166" s="378"/>
      <c r="CS166" s="378"/>
      <c r="CT166" s="378"/>
    </row>
    <row r="167" spans="1:98" x14ac:dyDescent="0.25">
      <c r="A167" s="378"/>
      <c r="B167" s="378"/>
      <c r="C167" s="378"/>
      <c r="D167" s="378"/>
      <c r="E167" s="378"/>
      <c r="F167" s="378"/>
      <c r="G167" s="378"/>
      <c r="H167" s="378"/>
      <c r="I167" s="378"/>
      <c r="J167" s="378"/>
      <c r="K167" s="378"/>
      <c r="L167" s="378"/>
      <c r="M167" s="378"/>
      <c r="N167" s="378"/>
      <c r="O167" s="378"/>
      <c r="P167" s="378"/>
      <c r="Q167" s="378"/>
      <c r="R167" s="378"/>
      <c r="S167" s="378"/>
      <c r="T167" s="378"/>
      <c r="U167" s="378"/>
      <c r="V167" s="378"/>
      <c r="W167" s="378"/>
      <c r="X167" s="378"/>
      <c r="Y167" s="378"/>
      <c r="Z167" s="378"/>
      <c r="AA167" s="378"/>
      <c r="AB167" s="378"/>
      <c r="AC167" s="378"/>
      <c r="AD167" s="378"/>
      <c r="AE167" s="378"/>
      <c r="AF167" s="378"/>
      <c r="AG167" s="378"/>
      <c r="AH167" s="378"/>
      <c r="AI167" s="378"/>
      <c r="AJ167" s="378"/>
      <c r="AK167" s="378"/>
      <c r="AL167" s="378"/>
      <c r="AM167" s="378"/>
      <c r="AN167" s="378"/>
      <c r="AO167" s="378"/>
      <c r="AP167" s="378"/>
      <c r="AQ167" s="378"/>
      <c r="AR167" s="378"/>
      <c r="AS167" s="378"/>
      <c r="AT167" s="378"/>
      <c r="AU167" s="378"/>
      <c r="AV167" s="378"/>
      <c r="AW167" s="378"/>
      <c r="AX167" s="378"/>
      <c r="AY167" s="378"/>
      <c r="AZ167" s="378"/>
      <c r="BA167" s="378"/>
      <c r="BB167" s="378"/>
      <c r="BC167" s="378"/>
      <c r="BD167" s="378"/>
      <c r="BE167" s="378"/>
      <c r="BF167" s="378"/>
      <c r="BG167" s="378"/>
      <c r="BH167" s="378"/>
      <c r="BI167" s="378"/>
      <c r="BJ167" s="378"/>
      <c r="BK167" s="378"/>
      <c r="BL167" s="378"/>
      <c r="BM167" s="378"/>
      <c r="BN167" s="378"/>
      <c r="BO167" s="378"/>
      <c r="BP167" s="378"/>
      <c r="BQ167" s="378"/>
      <c r="BR167" s="378"/>
      <c r="BS167" s="378"/>
      <c r="BT167" s="378"/>
      <c r="BU167" s="378"/>
      <c r="BV167" s="378"/>
      <c r="BW167" s="378"/>
      <c r="BX167" s="378"/>
      <c r="BY167" s="378"/>
      <c r="BZ167" s="378"/>
      <c r="CA167" s="378"/>
      <c r="CB167" s="378"/>
      <c r="CC167" s="378"/>
      <c r="CD167" s="378"/>
      <c r="CE167" s="378"/>
      <c r="CF167" s="378"/>
      <c r="CG167" s="378"/>
      <c r="CH167" s="378"/>
      <c r="CI167" s="378"/>
      <c r="CJ167" s="378"/>
      <c r="CK167" s="378"/>
      <c r="CL167" s="378"/>
      <c r="CM167" s="378"/>
      <c r="CN167" s="378"/>
      <c r="CO167" s="378"/>
      <c r="CP167" s="378"/>
      <c r="CQ167" s="378"/>
      <c r="CR167" s="378"/>
      <c r="CS167" s="378"/>
      <c r="CT167" s="378"/>
    </row>
    <row r="168" spans="1:98" x14ac:dyDescent="0.25">
      <c r="A168" s="378"/>
      <c r="B168" s="378"/>
      <c r="C168" s="378"/>
      <c r="D168" s="378"/>
      <c r="E168" s="378"/>
      <c r="F168" s="378"/>
      <c r="G168" s="378"/>
      <c r="H168" s="378"/>
      <c r="I168" s="378"/>
      <c r="J168" s="378"/>
      <c r="K168" s="378"/>
      <c r="L168" s="378"/>
      <c r="M168" s="378"/>
      <c r="N168" s="378"/>
      <c r="O168" s="378"/>
      <c r="P168" s="378"/>
      <c r="Q168" s="378"/>
      <c r="R168" s="378"/>
      <c r="S168" s="378"/>
      <c r="T168" s="378"/>
      <c r="U168" s="378"/>
      <c r="V168" s="378"/>
      <c r="W168" s="378"/>
      <c r="X168" s="378"/>
      <c r="Y168" s="378"/>
      <c r="Z168" s="378"/>
      <c r="AA168" s="378"/>
      <c r="AB168" s="378"/>
      <c r="AC168" s="378"/>
      <c r="AD168" s="378"/>
      <c r="AE168" s="378"/>
      <c r="AF168" s="378"/>
      <c r="AG168" s="378"/>
      <c r="AH168" s="378"/>
      <c r="AI168" s="378"/>
      <c r="AJ168" s="378"/>
      <c r="AK168" s="378"/>
      <c r="AL168" s="378"/>
      <c r="AM168" s="378"/>
      <c r="AN168" s="378"/>
      <c r="AO168" s="378"/>
      <c r="AP168" s="378"/>
      <c r="AQ168" s="378"/>
      <c r="AR168" s="378"/>
      <c r="AS168" s="378"/>
      <c r="AT168" s="378"/>
      <c r="AU168" s="378"/>
      <c r="AV168" s="378"/>
      <c r="AW168" s="378"/>
      <c r="AX168" s="378"/>
      <c r="AY168" s="378"/>
      <c r="AZ168" s="378"/>
      <c r="BA168" s="378"/>
      <c r="BB168" s="378"/>
      <c r="BC168" s="378"/>
      <c r="BD168" s="378"/>
      <c r="BE168" s="378"/>
      <c r="BF168" s="378"/>
      <c r="BG168" s="378"/>
      <c r="BH168" s="378"/>
      <c r="BI168" s="378"/>
      <c r="BJ168" s="378"/>
      <c r="BK168" s="378"/>
      <c r="BL168" s="378"/>
      <c r="BM168" s="378"/>
      <c r="BN168" s="378"/>
      <c r="BO168" s="378"/>
      <c r="BP168" s="378"/>
      <c r="BQ168" s="378"/>
      <c r="BR168" s="378"/>
      <c r="BS168" s="378"/>
      <c r="BT168" s="378"/>
      <c r="BU168" s="378"/>
      <c r="BV168" s="378"/>
      <c r="BW168" s="378"/>
      <c r="BX168" s="378"/>
      <c r="BY168" s="378"/>
      <c r="BZ168" s="378"/>
      <c r="CA168" s="378"/>
      <c r="CB168" s="378"/>
      <c r="CC168" s="378"/>
      <c r="CD168" s="378"/>
      <c r="CE168" s="378"/>
      <c r="CF168" s="378"/>
      <c r="CG168" s="378"/>
      <c r="CH168" s="378"/>
      <c r="CI168" s="378"/>
      <c r="CJ168" s="378"/>
      <c r="CK168" s="378"/>
      <c r="CL168" s="378"/>
      <c r="CM168" s="378"/>
      <c r="CN168" s="378"/>
      <c r="CO168" s="378"/>
      <c r="CP168" s="378"/>
      <c r="CQ168" s="378"/>
      <c r="CR168" s="378"/>
      <c r="CS168" s="378"/>
      <c r="CT168" s="378"/>
    </row>
    <row r="169" spans="1:98" x14ac:dyDescent="0.25">
      <c r="A169" s="378"/>
      <c r="B169" s="378"/>
      <c r="C169" s="378"/>
      <c r="D169" s="378"/>
      <c r="E169" s="378"/>
      <c r="F169" s="378"/>
      <c r="G169" s="378"/>
      <c r="H169" s="378"/>
      <c r="I169" s="378"/>
      <c r="J169" s="378"/>
      <c r="K169" s="378"/>
      <c r="L169" s="378"/>
      <c r="M169" s="378"/>
      <c r="N169" s="378"/>
      <c r="O169" s="378"/>
      <c r="P169" s="378"/>
      <c r="Q169" s="378"/>
      <c r="R169" s="378"/>
      <c r="S169" s="378"/>
      <c r="T169" s="378"/>
      <c r="U169" s="378"/>
      <c r="V169" s="378"/>
      <c r="W169" s="378"/>
      <c r="X169" s="378"/>
      <c r="Y169" s="378"/>
      <c r="Z169" s="378"/>
      <c r="AA169" s="378"/>
      <c r="AB169" s="378"/>
      <c r="AC169" s="378"/>
      <c r="AD169" s="378"/>
      <c r="AE169" s="378"/>
      <c r="AF169" s="378"/>
      <c r="AG169" s="378"/>
      <c r="AH169" s="378"/>
      <c r="AI169" s="378"/>
      <c r="AJ169" s="378"/>
      <c r="AK169" s="378"/>
      <c r="AL169" s="378"/>
      <c r="AM169" s="378"/>
      <c r="AN169" s="378"/>
      <c r="AO169" s="378"/>
      <c r="AP169" s="378"/>
      <c r="AQ169" s="378"/>
      <c r="AR169" s="378"/>
      <c r="AS169" s="378"/>
      <c r="AT169" s="378"/>
      <c r="AU169" s="378"/>
      <c r="AV169" s="378"/>
      <c r="AW169" s="378"/>
      <c r="AX169" s="378"/>
      <c r="AY169" s="378"/>
      <c r="AZ169" s="378"/>
      <c r="BA169" s="378"/>
      <c r="BB169" s="378"/>
      <c r="BC169" s="378"/>
      <c r="BD169" s="378"/>
      <c r="BE169" s="378"/>
      <c r="BF169" s="378"/>
      <c r="BG169" s="378"/>
      <c r="BH169" s="378"/>
      <c r="BI169" s="378"/>
      <c r="BJ169" s="378"/>
      <c r="BK169" s="378"/>
      <c r="BL169" s="378"/>
      <c r="BM169" s="378"/>
      <c r="BN169" s="378"/>
      <c r="BO169" s="378"/>
      <c r="BP169" s="378"/>
      <c r="BQ169" s="378"/>
      <c r="BR169" s="378"/>
      <c r="BS169" s="378"/>
      <c r="BT169" s="378"/>
      <c r="BU169" s="378"/>
      <c r="BV169" s="378"/>
      <c r="BW169" s="378"/>
      <c r="BX169" s="378"/>
      <c r="BY169" s="378"/>
      <c r="BZ169" s="378"/>
      <c r="CA169" s="378"/>
      <c r="CB169" s="378"/>
      <c r="CC169" s="378"/>
      <c r="CD169" s="378"/>
      <c r="CE169" s="378"/>
      <c r="CF169" s="378"/>
      <c r="CG169" s="378"/>
      <c r="CH169" s="378"/>
      <c r="CI169" s="378"/>
      <c r="CJ169" s="378"/>
      <c r="CK169" s="378"/>
      <c r="CL169" s="378"/>
      <c r="CM169" s="378"/>
      <c r="CN169" s="378"/>
      <c r="CO169" s="378"/>
      <c r="CP169" s="378"/>
      <c r="CQ169" s="378"/>
      <c r="CR169" s="378"/>
      <c r="CS169" s="378"/>
      <c r="CT169" s="378"/>
    </row>
    <row r="170" spans="1:98" x14ac:dyDescent="0.25">
      <c r="A170" s="378"/>
      <c r="B170" s="378"/>
      <c r="C170" s="378"/>
      <c r="D170" s="378"/>
      <c r="E170" s="378"/>
      <c r="F170" s="378"/>
      <c r="G170" s="378"/>
      <c r="H170" s="378"/>
      <c r="I170" s="378"/>
      <c r="J170" s="378"/>
      <c r="K170" s="378"/>
      <c r="L170" s="378"/>
      <c r="M170" s="378"/>
      <c r="N170" s="378"/>
      <c r="O170" s="378"/>
      <c r="P170" s="378"/>
      <c r="Q170" s="378"/>
      <c r="R170" s="378"/>
      <c r="S170" s="378"/>
      <c r="T170" s="378"/>
      <c r="U170" s="378"/>
      <c r="V170" s="378"/>
      <c r="W170" s="378"/>
      <c r="X170" s="378"/>
      <c r="Y170" s="378"/>
      <c r="Z170" s="378"/>
      <c r="AA170" s="378"/>
      <c r="AB170" s="378"/>
      <c r="AC170" s="378"/>
      <c r="AD170" s="378"/>
      <c r="AE170" s="378"/>
      <c r="AF170" s="378"/>
      <c r="AG170" s="378"/>
      <c r="AH170" s="378"/>
      <c r="AI170" s="378"/>
      <c r="AJ170" s="378"/>
      <c r="AK170" s="378"/>
      <c r="AL170" s="378"/>
      <c r="AM170" s="378"/>
      <c r="AN170" s="378"/>
      <c r="AO170" s="378"/>
      <c r="AP170" s="378"/>
      <c r="AQ170" s="378"/>
      <c r="AR170" s="378"/>
      <c r="AS170" s="378"/>
      <c r="AT170" s="378"/>
      <c r="AU170" s="378"/>
      <c r="AV170" s="378"/>
      <c r="AW170" s="378"/>
      <c r="AX170" s="378"/>
      <c r="AY170" s="378"/>
      <c r="AZ170" s="378"/>
      <c r="BA170" s="378"/>
      <c r="BB170" s="378"/>
      <c r="BC170" s="378"/>
      <c r="BD170" s="378"/>
      <c r="BE170" s="378"/>
      <c r="BF170" s="378"/>
      <c r="BG170" s="378"/>
      <c r="BH170" s="378"/>
      <c r="BI170" s="378"/>
      <c r="BJ170" s="378"/>
      <c r="BK170" s="378"/>
      <c r="BL170" s="378"/>
      <c r="BM170" s="378"/>
      <c r="BN170" s="378"/>
      <c r="BO170" s="378"/>
      <c r="BP170" s="378"/>
      <c r="BQ170" s="378"/>
      <c r="BR170" s="378"/>
      <c r="BS170" s="378"/>
      <c r="BT170" s="378"/>
      <c r="BU170" s="378"/>
      <c r="BV170" s="378"/>
      <c r="BW170" s="378"/>
      <c r="BX170" s="378"/>
      <c r="BY170" s="378"/>
      <c r="BZ170" s="378"/>
      <c r="CA170" s="378"/>
      <c r="CB170" s="378"/>
      <c r="CC170" s="378"/>
      <c r="CD170" s="378"/>
      <c r="CE170" s="378"/>
      <c r="CF170" s="378"/>
      <c r="CG170" s="378"/>
      <c r="CH170" s="378"/>
      <c r="CI170" s="378"/>
      <c r="CJ170" s="378"/>
      <c r="CK170" s="378"/>
      <c r="CL170" s="378"/>
      <c r="CM170" s="378"/>
      <c r="CN170" s="378"/>
      <c r="CO170" s="378"/>
      <c r="CP170" s="378"/>
      <c r="CQ170" s="378"/>
      <c r="CR170" s="378"/>
      <c r="CS170" s="378"/>
      <c r="CT170" s="378"/>
    </row>
    <row r="171" spans="1:98" x14ac:dyDescent="0.25">
      <c r="A171" s="378"/>
      <c r="B171" s="378"/>
      <c r="C171" s="378"/>
      <c r="D171" s="378"/>
      <c r="E171" s="378"/>
      <c r="F171" s="378"/>
      <c r="G171" s="378"/>
      <c r="H171" s="378"/>
      <c r="I171" s="378"/>
      <c r="J171" s="378"/>
      <c r="K171" s="378"/>
      <c r="L171" s="378"/>
      <c r="M171" s="378"/>
      <c r="N171" s="378"/>
      <c r="O171" s="378"/>
      <c r="P171" s="378"/>
      <c r="Q171" s="378"/>
      <c r="R171" s="378"/>
      <c r="S171" s="378"/>
      <c r="T171" s="378"/>
      <c r="U171" s="378"/>
      <c r="V171" s="378"/>
      <c r="W171" s="378"/>
      <c r="X171" s="378"/>
      <c r="Y171" s="378"/>
      <c r="Z171" s="378"/>
      <c r="AA171" s="378"/>
      <c r="AB171" s="378"/>
      <c r="AC171" s="378"/>
      <c r="AD171" s="378"/>
      <c r="AE171" s="378"/>
      <c r="AF171" s="378"/>
      <c r="AG171" s="378"/>
      <c r="AH171" s="378"/>
      <c r="AI171" s="378"/>
      <c r="AJ171" s="378"/>
      <c r="AK171" s="378"/>
      <c r="AL171" s="378"/>
      <c r="AM171" s="378"/>
      <c r="AN171" s="378"/>
      <c r="AO171" s="378"/>
      <c r="AP171" s="378"/>
      <c r="AQ171" s="378"/>
      <c r="AR171" s="378"/>
      <c r="AS171" s="378"/>
      <c r="AT171" s="378"/>
      <c r="AU171" s="378"/>
      <c r="AV171" s="378"/>
      <c r="AW171" s="378"/>
      <c r="AX171" s="378"/>
      <c r="AY171" s="378"/>
      <c r="AZ171" s="378"/>
      <c r="BA171" s="378"/>
      <c r="BB171" s="378"/>
      <c r="BC171" s="378"/>
      <c r="BD171" s="378"/>
      <c r="BE171" s="378"/>
      <c r="BF171" s="378"/>
      <c r="BG171" s="378"/>
      <c r="BH171" s="378"/>
      <c r="BI171" s="378"/>
      <c r="BJ171" s="378"/>
      <c r="BK171" s="378"/>
      <c r="BL171" s="378"/>
      <c r="BM171" s="378"/>
      <c r="BN171" s="378"/>
      <c r="BO171" s="378"/>
      <c r="BP171" s="378"/>
      <c r="BQ171" s="378"/>
      <c r="BR171" s="378"/>
      <c r="BS171" s="378"/>
      <c r="BT171" s="378"/>
      <c r="BU171" s="378"/>
      <c r="BV171" s="378"/>
      <c r="BW171" s="378"/>
      <c r="BX171" s="378"/>
      <c r="BY171" s="378"/>
      <c r="BZ171" s="378"/>
      <c r="CA171" s="378"/>
      <c r="CB171" s="378"/>
      <c r="CC171" s="378"/>
      <c r="CD171" s="378"/>
      <c r="CE171" s="378"/>
      <c r="CF171" s="378"/>
      <c r="CG171" s="378"/>
      <c r="CH171" s="378"/>
      <c r="CI171" s="378"/>
      <c r="CJ171" s="378"/>
      <c r="CK171" s="378"/>
      <c r="CL171" s="378"/>
      <c r="CM171" s="378"/>
      <c r="CN171" s="378"/>
      <c r="CO171" s="378"/>
      <c r="CP171" s="378"/>
      <c r="CQ171" s="378"/>
      <c r="CR171" s="378"/>
      <c r="CS171" s="378"/>
      <c r="CT171" s="378"/>
    </row>
    <row r="172" spans="1:98" x14ac:dyDescent="0.25">
      <c r="A172" s="378"/>
      <c r="B172" s="378"/>
      <c r="C172" s="378"/>
      <c r="D172" s="378"/>
      <c r="E172" s="378"/>
      <c r="F172" s="378"/>
      <c r="G172" s="378"/>
      <c r="H172" s="378"/>
      <c r="I172" s="378"/>
      <c r="J172" s="378"/>
      <c r="K172" s="378"/>
      <c r="L172" s="378"/>
      <c r="M172" s="378"/>
      <c r="N172" s="378"/>
      <c r="O172" s="378"/>
      <c r="P172" s="378"/>
      <c r="Q172" s="378"/>
      <c r="R172" s="378"/>
      <c r="S172" s="378"/>
      <c r="T172" s="378"/>
      <c r="U172" s="378"/>
      <c r="V172" s="378"/>
      <c r="W172" s="378"/>
      <c r="X172" s="378"/>
      <c r="Y172" s="378"/>
      <c r="Z172" s="378"/>
      <c r="AA172" s="378"/>
      <c r="AB172" s="378"/>
      <c r="AC172" s="378"/>
      <c r="AD172" s="378"/>
      <c r="AE172" s="378"/>
      <c r="AF172" s="378"/>
      <c r="AG172" s="378"/>
      <c r="AH172" s="378"/>
      <c r="AI172" s="378"/>
      <c r="AJ172" s="378"/>
      <c r="AK172" s="378"/>
      <c r="AL172" s="378"/>
      <c r="AM172" s="378"/>
      <c r="AN172" s="378"/>
      <c r="AO172" s="378"/>
      <c r="AP172" s="378"/>
      <c r="AQ172" s="378"/>
      <c r="AR172" s="378"/>
      <c r="AS172" s="378"/>
      <c r="AT172" s="378"/>
      <c r="AU172" s="378"/>
      <c r="AV172" s="378"/>
      <c r="AW172" s="378"/>
      <c r="AX172" s="378"/>
      <c r="AY172" s="378"/>
      <c r="AZ172" s="378"/>
      <c r="BA172" s="378"/>
      <c r="BB172" s="378"/>
      <c r="BC172" s="378"/>
      <c r="BD172" s="378"/>
      <c r="BE172" s="378"/>
      <c r="BF172" s="378"/>
      <c r="BG172" s="378"/>
      <c r="BH172" s="378"/>
      <c r="BI172" s="378"/>
      <c r="BJ172" s="378"/>
      <c r="BK172" s="378"/>
      <c r="BL172" s="378"/>
      <c r="BM172" s="378"/>
      <c r="BN172" s="378"/>
      <c r="BO172" s="378"/>
      <c r="BP172" s="378"/>
      <c r="BQ172" s="378"/>
      <c r="BR172" s="378"/>
      <c r="BS172" s="378"/>
      <c r="BT172" s="378"/>
      <c r="BU172" s="378"/>
      <c r="BV172" s="378"/>
      <c r="BW172" s="378"/>
      <c r="BX172" s="378"/>
      <c r="BY172" s="378"/>
      <c r="BZ172" s="378"/>
      <c r="CA172" s="378"/>
      <c r="CB172" s="378"/>
      <c r="CC172" s="378"/>
      <c r="CD172" s="378"/>
      <c r="CE172" s="378"/>
      <c r="CF172" s="378"/>
      <c r="CG172" s="378"/>
      <c r="CH172" s="378"/>
      <c r="CI172" s="378"/>
      <c r="CJ172" s="378"/>
      <c r="CK172" s="378"/>
      <c r="CL172" s="378"/>
      <c r="CM172" s="378"/>
      <c r="CN172" s="378"/>
      <c r="CO172" s="378"/>
      <c r="CP172" s="378"/>
      <c r="CQ172" s="378"/>
      <c r="CR172" s="378"/>
      <c r="CS172" s="378"/>
      <c r="CT172" s="378"/>
    </row>
    <row r="173" spans="1:98" x14ac:dyDescent="0.25">
      <c r="A173" s="378"/>
      <c r="B173" s="378"/>
      <c r="C173" s="378"/>
      <c r="D173" s="378"/>
      <c r="E173" s="378"/>
      <c r="F173" s="378"/>
      <c r="G173" s="378"/>
      <c r="H173" s="378"/>
      <c r="I173" s="378"/>
      <c r="J173" s="378"/>
      <c r="K173" s="378"/>
      <c r="L173" s="378"/>
      <c r="M173" s="378"/>
      <c r="N173" s="378"/>
      <c r="O173" s="378"/>
      <c r="P173" s="378"/>
      <c r="Q173" s="378"/>
      <c r="R173" s="378"/>
      <c r="S173" s="378"/>
      <c r="T173" s="378"/>
      <c r="U173" s="378"/>
      <c r="V173" s="378"/>
      <c r="W173" s="378"/>
      <c r="X173" s="378"/>
      <c r="Y173" s="378"/>
      <c r="Z173" s="378"/>
      <c r="AA173" s="378"/>
      <c r="AB173" s="378"/>
      <c r="AC173" s="378"/>
      <c r="AD173" s="378"/>
      <c r="AE173" s="378"/>
      <c r="AF173" s="378"/>
      <c r="AG173" s="378"/>
      <c r="AH173" s="378"/>
      <c r="AI173" s="378"/>
      <c r="AJ173" s="378"/>
      <c r="AK173" s="378"/>
      <c r="AL173" s="378"/>
      <c r="AM173" s="378"/>
      <c r="AN173" s="378"/>
      <c r="AO173" s="378"/>
      <c r="AP173" s="378"/>
      <c r="AQ173" s="378"/>
      <c r="AR173" s="378"/>
      <c r="AS173" s="378"/>
      <c r="AT173" s="378"/>
      <c r="AU173" s="378"/>
      <c r="AV173" s="378"/>
      <c r="AW173" s="378"/>
      <c r="AX173" s="378"/>
      <c r="AY173" s="378"/>
      <c r="AZ173" s="378"/>
      <c r="BA173" s="378"/>
      <c r="BB173" s="378"/>
      <c r="BC173" s="378"/>
      <c r="BD173" s="378"/>
      <c r="BE173" s="378"/>
      <c r="BF173" s="378"/>
      <c r="BG173" s="378"/>
      <c r="BH173" s="378"/>
      <c r="BI173" s="378"/>
      <c r="BJ173" s="378"/>
      <c r="BK173" s="378"/>
      <c r="BL173" s="378"/>
      <c r="BM173" s="378"/>
      <c r="BN173" s="378"/>
      <c r="BO173" s="378"/>
      <c r="BP173" s="378"/>
      <c r="BQ173" s="378"/>
      <c r="BR173" s="378"/>
      <c r="BS173" s="378"/>
      <c r="BT173" s="378"/>
      <c r="BU173" s="378"/>
      <c r="BV173" s="378"/>
      <c r="BW173" s="378"/>
      <c r="BX173" s="378"/>
      <c r="BY173" s="378"/>
      <c r="BZ173" s="378"/>
      <c r="CA173" s="378"/>
      <c r="CB173" s="378"/>
      <c r="CC173" s="378"/>
      <c r="CD173" s="378"/>
      <c r="CE173" s="378"/>
      <c r="CF173" s="378"/>
      <c r="CG173" s="378"/>
      <c r="CH173" s="378"/>
      <c r="CI173" s="378"/>
      <c r="CJ173" s="378"/>
      <c r="CK173" s="378"/>
      <c r="CL173" s="378"/>
      <c r="CM173" s="378"/>
      <c r="CN173" s="378"/>
      <c r="CO173" s="378"/>
      <c r="CP173" s="378"/>
      <c r="CQ173" s="378"/>
      <c r="CR173" s="378"/>
      <c r="CS173" s="378"/>
      <c r="CT173" s="378"/>
    </row>
    <row r="174" spans="1:98" x14ac:dyDescent="0.25">
      <c r="A174" s="378"/>
      <c r="B174" s="378"/>
      <c r="C174" s="378"/>
      <c r="D174" s="378"/>
      <c r="E174" s="378"/>
      <c r="F174" s="378"/>
      <c r="G174" s="378"/>
      <c r="H174" s="378"/>
      <c r="I174" s="378"/>
      <c r="J174" s="378"/>
      <c r="K174" s="378"/>
      <c r="L174" s="378"/>
      <c r="M174" s="378"/>
      <c r="N174" s="378"/>
      <c r="O174" s="378"/>
      <c r="P174" s="378"/>
      <c r="Q174" s="378"/>
      <c r="R174" s="378"/>
      <c r="S174" s="378"/>
      <c r="T174" s="378"/>
      <c r="U174" s="378"/>
      <c r="V174" s="378"/>
      <c r="W174" s="378"/>
      <c r="X174" s="378"/>
      <c r="Y174" s="378"/>
      <c r="Z174" s="378"/>
      <c r="AA174" s="378"/>
      <c r="AB174" s="378"/>
      <c r="AC174" s="378"/>
      <c r="AD174" s="378"/>
      <c r="AE174" s="378"/>
      <c r="AF174" s="378"/>
      <c r="AG174" s="378"/>
      <c r="AH174" s="378"/>
      <c r="AI174" s="378"/>
      <c r="AJ174" s="378"/>
      <c r="AK174" s="378"/>
      <c r="AL174" s="378"/>
      <c r="AM174" s="378"/>
      <c r="AN174" s="378"/>
      <c r="AO174" s="378"/>
      <c r="AP174" s="378"/>
      <c r="AQ174" s="378"/>
      <c r="AR174" s="378"/>
      <c r="AS174" s="378"/>
      <c r="AT174" s="378"/>
      <c r="AU174" s="378"/>
      <c r="AV174" s="378"/>
      <c r="AW174" s="378"/>
      <c r="AX174" s="378"/>
      <c r="AY174" s="378"/>
      <c r="AZ174" s="378"/>
      <c r="BA174" s="378"/>
      <c r="BB174" s="378"/>
      <c r="BC174" s="378"/>
      <c r="BD174" s="378"/>
      <c r="BE174" s="378"/>
      <c r="BF174" s="378"/>
      <c r="BG174" s="378"/>
      <c r="BH174" s="378"/>
      <c r="BI174" s="378"/>
      <c r="BJ174" s="378"/>
      <c r="BK174" s="378"/>
      <c r="BL174" s="378"/>
      <c r="BM174" s="378"/>
      <c r="BN174" s="378"/>
      <c r="BO174" s="378"/>
      <c r="BP174" s="378"/>
      <c r="BQ174" s="378"/>
      <c r="BR174" s="378"/>
      <c r="BS174" s="378"/>
      <c r="BT174" s="378"/>
      <c r="BU174" s="378"/>
      <c r="BV174" s="378"/>
      <c r="BW174" s="378"/>
      <c r="BX174" s="378"/>
      <c r="BY174" s="378"/>
      <c r="BZ174" s="378"/>
      <c r="CA174" s="378"/>
      <c r="CB174" s="378"/>
      <c r="CC174" s="378"/>
      <c r="CD174" s="378"/>
      <c r="CE174" s="378"/>
      <c r="CF174" s="378"/>
      <c r="CG174" s="378"/>
      <c r="CH174" s="378"/>
      <c r="CI174" s="378"/>
      <c r="CJ174" s="378"/>
      <c r="CK174" s="378"/>
      <c r="CL174" s="378"/>
      <c r="CM174" s="378"/>
      <c r="CN174" s="378"/>
      <c r="CO174" s="378"/>
      <c r="CP174" s="378"/>
      <c r="CQ174" s="378"/>
      <c r="CR174" s="378"/>
      <c r="CS174" s="378"/>
      <c r="CT174" s="378"/>
    </row>
    <row r="175" spans="1:98" x14ac:dyDescent="0.25">
      <c r="A175" s="378"/>
      <c r="B175" s="378"/>
      <c r="C175" s="378"/>
      <c r="D175" s="378"/>
      <c r="E175" s="378"/>
      <c r="F175" s="378"/>
      <c r="G175" s="378"/>
      <c r="H175" s="378"/>
      <c r="I175" s="378"/>
      <c r="J175" s="378"/>
      <c r="K175" s="378"/>
      <c r="L175" s="378"/>
      <c r="M175" s="378"/>
      <c r="N175" s="378"/>
      <c r="O175" s="378"/>
      <c r="P175" s="378"/>
      <c r="Q175" s="378"/>
      <c r="R175" s="378"/>
      <c r="S175" s="378"/>
      <c r="T175" s="378"/>
      <c r="U175" s="378"/>
      <c r="V175" s="378"/>
      <c r="W175" s="378"/>
      <c r="X175" s="378"/>
      <c r="Y175" s="378"/>
      <c r="Z175" s="378"/>
      <c r="AA175" s="378"/>
      <c r="AB175" s="378"/>
      <c r="AC175" s="378"/>
      <c r="AD175" s="378"/>
      <c r="AE175" s="378"/>
      <c r="AF175" s="378"/>
      <c r="AG175" s="378"/>
      <c r="AH175" s="378"/>
      <c r="AI175" s="378"/>
      <c r="AJ175" s="378"/>
      <c r="AK175" s="378"/>
      <c r="AL175" s="378"/>
      <c r="AM175" s="378"/>
      <c r="AN175" s="378"/>
      <c r="AO175" s="378"/>
      <c r="AP175" s="378"/>
      <c r="AQ175" s="378"/>
      <c r="AR175" s="378"/>
      <c r="AS175" s="378"/>
      <c r="AT175" s="378"/>
      <c r="AU175" s="378"/>
      <c r="AV175" s="378"/>
      <c r="AW175" s="378"/>
      <c r="AX175" s="378"/>
      <c r="AY175" s="378"/>
      <c r="AZ175" s="378"/>
      <c r="BA175" s="378"/>
      <c r="BB175" s="378"/>
      <c r="BC175" s="378"/>
      <c r="BD175" s="378"/>
      <c r="BE175" s="378"/>
      <c r="BF175" s="378"/>
      <c r="BG175" s="378"/>
      <c r="BH175" s="378"/>
      <c r="BI175" s="378"/>
      <c r="BJ175" s="378"/>
      <c r="BK175" s="378"/>
      <c r="BL175" s="378"/>
      <c r="BM175" s="378"/>
      <c r="BN175" s="378"/>
      <c r="BO175" s="378"/>
      <c r="BP175" s="378"/>
      <c r="BQ175" s="378"/>
      <c r="BR175" s="378"/>
      <c r="BS175" s="378"/>
      <c r="BT175" s="378"/>
      <c r="BU175" s="378"/>
      <c r="BV175" s="378"/>
      <c r="BW175" s="378"/>
      <c r="BX175" s="378"/>
      <c r="BY175" s="378"/>
      <c r="BZ175" s="378"/>
      <c r="CA175" s="378"/>
      <c r="CB175" s="378"/>
      <c r="CC175" s="378"/>
      <c r="CD175" s="378"/>
      <c r="CE175" s="378"/>
      <c r="CF175" s="378"/>
      <c r="CG175" s="378"/>
      <c r="CH175" s="378"/>
      <c r="CI175" s="378"/>
      <c r="CJ175" s="378"/>
      <c r="CK175" s="378"/>
      <c r="CL175" s="378"/>
      <c r="CM175" s="378"/>
      <c r="CN175" s="378"/>
      <c r="CO175" s="378"/>
      <c r="CP175" s="378"/>
      <c r="CQ175" s="378"/>
      <c r="CR175" s="378"/>
      <c r="CS175" s="378"/>
      <c r="CT175" s="378"/>
    </row>
    <row r="176" spans="1:98" x14ac:dyDescent="0.25">
      <c r="A176" s="378"/>
      <c r="B176" s="378"/>
      <c r="C176" s="378"/>
      <c r="D176" s="378"/>
      <c r="E176" s="378"/>
      <c r="F176" s="378"/>
      <c r="G176" s="378"/>
      <c r="H176" s="378"/>
      <c r="I176" s="378"/>
      <c r="J176" s="378"/>
      <c r="K176" s="378"/>
      <c r="L176" s="378"/>
      <c r="M176" s="378"/>
      <c r="N176" s="378"/>
      <c r="O176" s="378"/>
      <c r="P176" s="378"/>
      <c r="Q176" s="378"/>
      <c r="R176" s="378"/>
      <c r="S176" s="378"/>
      <c r="T176" s="378"/>
      <c r="U176" s="378"/>
      <c r="V176" s="378"/>
      <c r="W176" s="378"/>
      <c r="X176" s="378"/>
      <c r="Y176" s="378"/>
      <c r="Z176" s="378"/>
      <c r="AA176" s="378"/>
      <c r="AB176" s="378"/>
      <c r="AC176" s="378"/>
      <c r="AD176" s="378"/>
      <c r="AE176" s="378"/>
      <c r="AF176" s="378"/>
      <c r="AG176" s="378"/>
      <c r="AH176" s="378"/>
      <c r="AI176" s="378"/>
      <c r="AJ176" s="378"/>
      <c r="AK176" s="378"/>
      <c r="AL176" s="378"/>
      <c r="AM176" s="378"/>
      <c r="AN176" s="378"/>
      <c r="AO176" s="378"/>
      <c r="AP176" s="378"/>
      <c r="AQ176" s="378"/>
      <c r="AR176" s="378"/>
      <c r="AS176" s="378"/>
      <c r="AT176" s="378"/>
      <c r="AU176" s="378"/>
      <c r="AV176" s="378"/>
      <c r="AW176" s="378"/>
      <c r="AX176" s="378"/>
      <c r="AY176" s="378"/>
      <c r="AZ176" s="378"/>
      <c r="BA176" s="378"/>
      <c r="BB176" s="378"/>
      <c r="BC176" s="378"/>
      <c r="BD176" s="378"/>
      <c r="BE176" s="378"/>
      <c r="BF176" s="378"/>
      <c r="BG176" s="378"/>
      <c r="BH176" s="378"/>
      <c r="BI176" s="378"/>
      <c r="BJ176" s="378"/>
      <c r="BK176" s="378"/>
      <c r="BL176" s="378"/>
      <c r="BM176" s="378"/>
      <c r="BN176" s="378"/>
      <c r="BO176" s="378"/>
      <c r="BP176" s="378"/>
      <c r="BQ176" s="378"/>
      <c r="BR176" s="378"/>
      <c r="BS176" s="378"/>
      <c r="BT176" s="378"/>
      <c r="BU176" s="378"/>
      <c r="BV176" s="378"/>
      <c r="BW176" s="378"/>
      <c r="BX176" s="378"/>
      <c r="BY176" s="378"/>
      <c r="BZ176" s="378"/>
      <c r="CA176" s="378"/>
      <c r="CB176" s="378"/>
      <c r="CC176" s="378"/>
      <c r="CD176" s="378"/>
      <c r="CE176" s="378"/>
      <c r="CF176" s="378"/>
      <c r="CG176" s="378"/>
      <c r="CH176" s="378"/>
      <c r="CI176" s="378"/>
      <c r="CJ176" s="378"/>
      <c r="CK176" s="378"/>
      <c r="CL176" s="378"/>
      <c r="CM176" s="378"/>
      <c r="CN176" s="378"/>
      <c r="CO176" s="378"/>
      <c r="CP176" s="378"/>
      <c r="CQ176" s="378"/>
      <c r="CR176" s="378"/>
      <c r="CS176" s="378"/>
      <c r="CT176" s="378"/>
    </row>
    <row r="177" spans="1:98" x14ac:dyDescent="0.25">
      <c r="A177" s="378"/>
      <c r="B177" s="378"/>
      <c r="C177" s="378"/>
      <c r="D177" s="378"/>
      <c r="E177" s="378"/>
      <c r="F177" s="378"/>
      <c r="G177" s="378"/>
      <c r="H177" s="378"/>
      <c r="I177" s="378"/>
      <c r="J177" s="378"/>
      <c r="K177" s="378"/>
      <c r="L177" s="378"/>
      <c r="M177" s="378"/>
      <c r="N177" s="378"/>
      <c r="O177" s="378"/>
      <c r="P177" s="378"/>
      <c r="Q177" s="378"/>
      <c r="R177" s="378"/>
      <c r="S177" s="378"/>
      <c r="T177" s="378"/>
      <c r="U177" s="378"/>
      <c r="V177" s="378"/>
      <c r="W177" s="378"/>
      <c r="X177" s="378"/>
      <c r="Y177" s="378"/>
      <c r="Z177" s="378"/>
      <c r="AA177" s="378"/>
      <c r="AB177" s="378"/>
      <c r="AC177" s="378"/>
      <c r="AD177" s="378"/>
      <c r="AE177" s="378"/>
      <c r="AF177" s="378"/>
      <c r="AG177" s="378"/>
      <c r="AH177" s="378"/>
      <c r="AI177" s="378"/>
      <c r="AJ177" s="378"/>
      <c r="AK177" s="378"/>
      <c r="AL177" s="378"/>
      <c r="AM177" s="378"/>
      <c r="AN177" s="378"/>
      <c r="AO177" s="378"/>
      <c r="AP177" s="378"/>
      <c r="AQ177" s="378"/>
      <c r="AR177" s="378"/>
      <c r="AS177" s="378"/>
      <c r="AT177" s="378"/>
      <c r="AU177" s="378"/>
      <c r="AV177" s="378"/>
      <c r="AW177" s="378"/>
      <c r="AX177" s="378"/>
      <c r="AY177" s="378"/>
      <c r="AZ177" s="378"/>
      <c r="BA177" s="378"/>
      <c r="BB177" s="378"/>
      <c r="BC177" s="378"/>
      <c r="BD177" s="378"/>
      <c r="BE177" s="378"/>
      <c r="BF177" s="378"/>
      <c r="BG177" s="378"/>
      <c r="BH177" s="378"/>
      <c r="BI177" s="378"/>
      <c r="BJ177" s="378"/>
      <c r="BK177" s="378"/>
      <c r="BL177" s="378"/>
      <c r="BM177" s="378"/>
      <c r="BN177" s="378"/>
      <c r="BO177" s="378"/>
      <c r="BP177" s="378"/>
      <c r="BQ177" s="378"/>
      <c r="BR177" s="378"/>
      <c r="BS177" s="378"/>
      <c r="BT177" s="378"/>
      <c r="BU177" s="378"/>
      <c r="BV177" s="378"/>
      <c r="BW177" s="378"/>
      <c r="BX177" s="378"/>
      <c r="BY177" s="378"/>
      <c r="BZ177" s="378"/>
      <c r="CA177" s="378"/>
      <c r="CB177" s="378"/>
      <c r="CC177" s="378"/>
      <c r="CD177" s="378"/>
      <c r="CE177" s="378"/>
      <c r="CF177" s="378"/>
      <c r="CG177" s="378"/>
      <c r="CH177" s="378"/>
      <c r="CI177" s="378"/>
      <c r="CJ177" s="378"/>
      <c r="CK177" s="378"/>
      <c r="CL177" s="378"/>
      <c r="CM177" s="378"/>
      <c r="CN177" s="378"/>
      <c r="CO177" s="378"/>
      <c r="CP177" s="378"/>
      <c r="CQ177" s="378"/>
      <c r="CR177" s="378"/>
      <c r="CS177" s="378"/>
      <c r="CT177" s="378"/>
    </row>
    <row r="178" spans="1:98" x14ac:dyDescent="0.25">
      <c r="A178" s="378"/>
      <c r="B178" s="378"/>
      <c r="C178" s="378"/>
      <c r="D178" s="378"/>
      <c r="E178" s="378"/>
      <c r="F178" s="378"/>
      <c r="G178" s="378"/>
      <c r="H178" s="378"/>
      <c r="I178" s="378"/>
      <c r="J178" s="378"/>
      <c r="K178" s="378"/>
      <c r="L178" s="378"/>
      <c r="M178" s="378"/>
      <c r="N178" s="378"/>
      <c r="O178" s="378"/>
      <c r="P178" s="378"/>
      <c r="Q178" s="378"/>
      <c r="R178" s="378"/>
      <c r="S178" s="378"/>
      <c r="T178" s="378"/>
      <c r="U178" s="378"/>
      <c r="V178" s="378"/>
      <c r="W178" s="378"/>
      <c r="X178" s="378"/>
      <c r="Y178" s="378"/>
      <c r="Z178" s="378"/>
      <c r="AA178" s="378"/>
      <c r="AB178" s="378"/>
      <c r="AC178" s="378"/>
      <c r="AD178" s="378"/>
      <c r="AE178" s="378"/>
      <c r="AF178" s="378"/>
      <c r="AG178" s="378"/>
      <c r="AH178" s="378"/>
      <c r="AI178" s="378"/>
      <c r="AJ178" s="378"/>
      <c r="AK178" s="378"/>
      <c r="AL178" s="378"/>
      <c r="AM178" s="378"/>
      <c r="AN178" s="378"/>
      <c r="AO178" s="378"/>
      <c r="AP178" s="378"/>
      <c r="AQ178" s="378"/>
      <c r="AR178" s="378"/>
      <c r="AS178" s="378"/>
      <c r="AT178" s="378"/>
      <c r="AU178" s="378"/>
      <c r="AV178" s="378"/>
      <c r="AW178" s="378"/>
      <c r="AX178" s="378"/>
      <c r="AY178" s="378"/>
      <c r="AZ178" s="378"/>
      <c r="BA178" s="378"/>
      <c r="BB178" s="378"/>
      <c r="BC178" s="378"/>
      <c r="BD178" s="378"/>
      <c r="BE178" s="378"/>
      <c r="BF178" s="378"/>
      <c r="BG178" s="378"/>
      <c r="BH178" s="378"/>
      <c r="BI178" s="378"/>
      <c r="BJ178" s="378"/>
      <c r="BK178" s="378"/>
      <c r="BL178" s="378"/>
      <c r="BM178" s="378"/>
      <c r="BN178" s="378"/>
      <c r="BO178" s="378"/>
      <c r="BP178" s="378"/>
      <c r="BQ178" s="378"/>
      <c r="BR178" s="378"/>
      <c r="BS178" s="378"/>
      <c r="BT178" s="378"/>
      <c r="BU178" s="378"/>
      <c r="BV178" s="378"/>
      <c r="BW178" s="378"/>
      <c r="BX178" s="378"/>
      <c r="BY178" s="378"/>
      <c r="BZ178" s="378"/>
      <c r="CA178" s="378"/>
      <c r="CB178" s="378"/>
      <c r="CC178" s="378"/>
      <c r="CD178" s="378"/>
      <c r="CE178" s="378"/>
      <c r="CF178" s="378"/>
      <c r="CG178" s="378"/>
      <c r="CH178" s="378"/>
      <c r="CI178" s="378"/>
      <c r="CJ178" s="378"/>
      <c r="CK178" s="378"/>
      <c r="CL178" s="378"/>
      <c r="CM178" s="378"/>
      <c r="CN178" s="378"/>
      <c r="CO178" s="378"/>
      <c r="CP178" s="378"/>
      <c r="CQ178" s="378"/>
      <c r="CR178" s="378"/>
      <c r="CS178" s="378"/>
      <c r="CT178" s="378"/>
    </row>
    <row r="179" spans="1:98" x14ac:dyDescent="0.25">
      <c r="A179" s="378"/>
      <c r="B179" s="378"/>
      <c r="C179" s="378"/>
      <c r="D179" s="378"/>
      <c r="E179" s="378"/>
      <c r="F179" s="378"/>
      <c r="G179" s="378"/>
      <c r="H179" s="378"/>
      <c r="I179" s="378"/>
      <c r="J179" s="378"/>
      <c r="K179" s="378"/>
      <c r="L179" s="378"/>
      <c r="M179" s="378"/>
      <c r="N179" s="378"/>
      <c r="O179" s="378"/>
      <c r="P179" s="378"/>
      <c r="Q179" s="378"/>
      <c r="R179" s="378"/>
      <c r="S179" s="378"/>
      <c r="T179" s="378"/>
      <c r="U179" s="378"/>
      <c r="V179" s="378"/>
      <c r="W179" s="378"/>
      <c r="X179" s="378"/>
      <c r="Y179" s="378"/>
      <c r="Z179" s="378"/>
      <c r="AA179" s="378"/>
      <c r="AB179" s="378"/>
      <c r="AC179" s="378"/>
      <c r="AD179" s="378"/>
      <c r="AE179" s="378"/>
      <c r="AF179" s="378"/>
      <c r="AG179" s="378"/>
      <c r="AH179" s="378"/>
      <c r="AI179" s="378"/>
      <c r="AJ179" s="378"/>
      <c r="AK179" s="378"/>
      <c r="AL179" s="378"/>
      <c r="AM179" s="378"/>
      <c r="AN179" s="378"/>
      <c r="AO179" s="378"/>
      <c r="AP179" s="378"/>
      <c r="AQ179" s="378"/>
      <c r="AR179" s="378"/>
      <c r="AS179" s="378"/>
      <c r="AT179" s="378"/>
      <c r="AU179" s="378"/>
      <c r="AV179" s="378"/>
      <c r="AW179" s="378"/>
      <c r="AX179" s="378"/>
      <c r="AY179" s="378"/>
      <c r="AZ179" s="378"/>
      <c r="BA179" s="378"/>
      <c r="BB179" s="378"/>
      <c r="BC179" s="378"/>
      <c r="BD179" s="378"/>
      <c r="BE179" s="378"/>
      <c r="BF179" s="378"/>
      <c r="BG179" s="378"/>
      <c r="BH179" s="378"/>
      <c r="BI179" s="378"/>
      <c r="BJ179" s="378"/>
      <c r="BK179" s="378"/>
      <c r="BL179" s="378"/>
      <c r="BM179" s="378"/>
      <c r="BN179" s="378"/>
      <c r="BO179" s="378"/>
      <c r="BP179" s="378"/>
      <c r="BQ179" s="378"/>
      <c r="BR179" s="378"/>
      <c r="BS179" s="378"/>
      <c r="BT179" s="378"/>
      <c r="BU179" s="378"/>
      <c r="BV179" s="378"/>
      <c r="BW179" s="378"/>
      <c r="BX179" s="378"/>
      <c r="BY179" s="378"/>
      <c r="BZ179" s="378"/>
      <c r="CA179" s="378"/>
      <c r="CB179" s="378"/>
      <c r="CC179" s="378"/>
      <c r="CD179" s="378"/>
      <c r="CE179" s="378"/>
      <c r="CF179" s="378"/>
      <c r="CG179" s="378"/>
      <c r="CH179" s="378"/>
      <c r="CI179" s="378"/>
      <c r="CJ179" s="378"/>
      <c r="CK179" s="378"/>
      <c r="CL179" s="378"/>
      <c r="CM179" s="378"/>
      <c r="CN179" s="378"/>
      <c r="CO179" s="378"/>
      <c r="CP179" s="378"/>
      <c r="CQ179" s="378"/>
      <c r="CR179" s="378"/>
      <c r="CS179" s="378"/>
      <c r="CT179" s="378"/>
    </row>
    <row r="180" spans="1:98" x14ac:dyDescent="0.25">
      <c r="A180" s="378"/>
      <c r="B180" s="378"/>
      <c r="C180" s="378"/>
      <c r="D180" s="378"/>
      <c r="E180" s="378"/>
      <c r="F180" s="378"/>
      <c r="G180" s="378"/>
      <c r="H180" s="378"/>
      <c r="I180" s="378"/>
      <c r="J180" s="378"/>
      <c r="K180" s="378"/>
      <c r="L180" s="378"/>
      <c r="M180" s="378"/>
      <c r="N180" s="378"/>
      <c r="O180" s="378"/>
      <c r="P180" s="378"/>
      <c r="Q180" s="378"/>
      <c r="R180" s="378"/>
      <c r="S180" s="378"/>
      <c r="T180" s="378"/>
      <c r="U180" s="378"/>
      <c r="V180" s="378"/>
      <c r="W180" s="378"/>
      <c r="X180" s="378"/>
      <c r="Y180" s="378"/>
      <c r="Z180" s="378"/>
      <c r="AA180" s="378"/>
      <c r="AB180" s="378"/>
      <c r="AC180" s="378"/>
      <c r="AD180" s="378"/>
      <c r="AE180" s="378"/>
      <c r="AF180" s="378"/>
      <c r="AG180" s="378"/>
      <c r="AH180" s="378"/>
      <c r="AI180" s="378"/>
      <c r="AJ180" s="378"/>
      <c r="AK180" s="378"/>
      <c r="AL180" s="378"/>
      <c r="AM180" s="378"/>
      <c r="AN180" s="378"/>
      <c r="AO180" s="378"/>
      <c r="AP180" s="378"/>
      <c r="AQ180" s="378"/>
      <c r="AR180" s="378"/>
      <c r="AS180" s="378"/>
      <c r="AT180" s="378"/>
      <c r="AU180" s="378"/>
      <c r="AV180" s="378"/>
      <c r="AW180" s="378"/>
      <c r="AX180" s="378"/>
      <c r="AY180" s="378"/>
      <c r="AZ180" s="378"/>
      <c r="BA180" s="378"/>
      <c r="BB180" s="378"/>
      <c r="BC180" s="378"/>
      <c r="BD180" s="378"/>
      <c r="BE180" s="378"/>
      <c r="BF180" s="378"/>
      <c r="BG180" s="378"/>
      <c r="BH180" s="378"/>
      <c r="BI180" s="378"/>
      <c r="BJ180" s="378"/>
      <c r="BK180" s="378"/>
      <c r="BL180" s="378"/>
      <c r="BM180" s="378"/>
      <c r="BN180" s="378"/>
      <c r="BO180" s="378"/>
      <c r="BP180" s="378"/>
      <c r="BQ180" s="378"/>
      <c r="BR180" s="378"/>
      <c r="BS180" s="378"/>
      <c r="BT180" s="378"/>
      <c r="BU180" s="378"/>
      <c r="BV180" s="378"/>
      <c r="BW180" s="378"/>
      <c r="BX180" s="378"/>
      <c r="BY180" s="378"/>
      <c r="BZ180" s="378"/>
      <c r="CA180" s="378"/>
      <c r="CB180" s="378"/>
      <c r="CC180" s="378"/>
      <c r="CD180" s="378"/>
      <c r="CE180" s="378"/>
      <c r="CF180" s="378"/>
      <c r="CG180" s="378"/>
      <c r="CH180" s="378"/>
      <c r="CI180" s="378"/>
      <c r="CJ180" s="378"/>
      <c r="CK180" s="378"/>
      <c r="CL180" s="378"/>
      <c r="CM180" s="378"/>
      <c r="CN180" s="378"/>
      <c r="CO180" s="378"/>
      <c r="CP180" s="378"/>
      <c r="CQ180" s="378"/>
      <c r="CR180" s="378"/>
      <c r="CS180" s="378"/>
      <c r="CT180" s="378"/>
    </row>
    <row r="181" spans="1:98" x14ac:dyDescent="0.25">
      <c r="A181" s="378"/>
      <c r="B181" s="378"/>
      <c r="C181" s="378"/>
      <c r="D181" s="378"/>
      <c r="E181" s="378"/>
      <c r="F181" s="378"/>
      <c r="G181" s="378"/>
      <c r="H181" s="378"/>
      <c r="I181" s="378"/>
      <c r="J181" s="378"/>
      <c r="K181" s="378"/>
      <c r="L181" s="378"/>
      <c r="M181" s="378"/>
      <c r="N181" s="378"/>
      <c r="O181" s="378"/>
      <c r="P181" s="378"/>
      <c r="Q181" s="378"/>
      <c r="R181" s="378"/>
      <c r="S181" s="378"/>
      <c r="T181" s="378"/>
      <c r="U181" s="378"/>
      <c r="V181" s="378"/>
      <c r="W181" s="378"/>
      <c r="X181" s="378"/>
      <c r="Y181" s="378"/>
      <c r="Z181" s="378"/>
      <c r="AA181" s="378"/>
      <c r="AB181" s="378"/>
      <c r="AC181" s="378"/>
      <c r="AD181" s="378"/>
      <c r="AE181" s="378"/>
      <c r="AF181" s="378"/>
      <c r="AG181" s="378"/>
      <c r="AH181" s="378"/>
      <c r="AI181" s="378"/>
      <c r="AJ181" s="378"/>
      <c r="AK181" s="378"/>
      <c r="AL181" s="378"/>
      <c r="AM181" s="378"/>
      <c r="AN181" s="378"/>
      <c r="AO181" s="378"/>
      <c r="AP181" s="378"/>
      <c r="AQ181" s="378"/>
      <c r="AR181" s="378"/>
      <c r="AS181" s="378"/>
      <c r="AT181" s="378"/>
      <c r="AU181" s="378"/>
      <c r="AV181" s="378"/>
      <c r="AW181" s="378"/>
      <c r="AX181" s="378"/>
      <c r="AY181" s="378"/>
      <c r="AZ181" s="378"/>
      <c r="BA181" s="378"/>
      <c r="BB181" s="378"/>
      <c r="BC181" s="378"/>
      <c r="BD181" s="378"/>
      <c r="BE181" s="378"/>
      <c r="BF181" s="378"/>
      <c r="BG181" s="378"/>
      <c r="BH181" s="378"/>
      <c r="BI181" s="378"/>
      <c r="BJ181" s="378"/>
      <c r="BK181" s="378"/>
      <c r="BL181" s="378"/>
      <c r="BM181" s="378"/>
      <c r="BN181" s="378"/>
      <c r="BO181" s="378"/>
      <c r="BP181" s="378"/>
      <c r="BQ181" s="378"/>
      <c r="BR181" s="378"/>
      <c r="BS181" s="378"/>
      <c r="BT181" s="378"/>
      <c r="BU181" s="378"/>
      <c r="BV181" s="378"/>
      <c r="BW181" s="378"/>
      <c r="BX181" s="378"/>
      <c r="BY181" s="378"/>
      <c r="BZ181" s="378"/>
      <c r="CA181" s="378"/>
      <c r="CB181" s="378"/>
      <c r="CC181" s="378"/>
      <c r="CD181" s="378"/>
      <c r="CE181" s="378"/>
      <c r="CF181" s="378"/>
      <c r="CG181" s="378"/>
      <c r="CH181" s="378"/>
      <c r="CI181" s="378"/>
      <c r="CJ181" s="378"/>
      <c r="CK181" s="378"/>
      <c r="CL181" s="378"/>
      <c r="CM181" s="378"/>
      <c r="CN181" s="378"/>
      <c r="CO181" s="378"/>
      <c r="CP181" s="378"/>
      <c r="CQ181" s="378"/>
      <c r="CR181" s="378"/>
      <c r="CS181" s="378"/>
      <c r="CT181" s="378"/>
    </row>
    <row r="182" spans="1:98" x14ac:dyDescent="0.25">
      <c r="A182" s="378"/>
      <c r="B182" s="378"/>
      <c r="C182" s="378"/>
      <c r="D182" s="378"/>
      <c r="E182" s="378"/>
      <c r="F182" s="378"/>
      <c r="G182" s="378"/>
      <c r="H182" s="378"/>
      <c r="I182" s="378"/>
      <c r="J182" s="378"/>
      <c r="K182" s="378"/>
      <c r="L182" s="378"/>
      <c r="M182" s="378"/>
      <c r="N182" s="378"/>
      <c r="O182" s="378"/>
      <c r="P182" s="378"/>
      <c r="Q182" s="378"/>
      <c r="R182" s="378"/>
      <c r="S182" s="378"/>
      <c r="T182" s="378"/>
      <c r="U182" s="378"/>
      <c r="V182" s="378"/>
      <c r="W182" s="378"/>
      <c r="X182" s="378"/>
      <c r="Y182" s="378"/>
      <c r="Z182" s="378"/>
      <c r="AA182" s="378"/>
      <c r="AB182" s="378"/>
      <c r="AC182" s="378"/>
      <c r="AD182" s="378"/>
      <c r="AE182" s="378"/>
      <c r="AF182" s="378"/>
      <c r="AG182" s="378"/>
      <c r="AH182" s="378"/>
      <c r="AI182" s="378"/>
      <c r="AJ182" s="378"/>
      <c r="AK182" s="378"/>
      <c r="AL182" s="378"/>
      <c r="AM182" s="378"/>
      <c r="AN182" s="378"/>
      <c r="AO182" s="378"/>
      <c r="AP182" s="378"/>
      <c r="AQ182" s="378"/>
      <c r="AR182" s="378"/>
      <c r="AS182" s="378"/>
      <c r="AT182" s="378"/>
      <c r="AU182" s="378"/>
      <c r="AV182" s="378"/>
      <c r="AW182" s="378"/>
      <c r="AX182" s="378"/>
      <c r="AY182" s="378"/>
      <c r="AZ182" s="378"/>
      <c r="BA182" s="378"/>
      <c r="BB182" s="378"/>
      <c r="BC182" s="378"/>
      <c r="BD182" s="378"/>
      <c r="BE182" s="378"/>
      <c r="BF182" s="378"/>
      <c r="BG182" s="378"/>
      <c r="BH182" s="378"/>
      <c r="BI182" s="378"/>
      <c r="BJ182" s="378"/>
      <c r="BK182" s="378"/>
      <c r="BL182" s="378"/>
      <c r="BM182" s="378"/>
      <c r="BN182" s="378"/>
      <c r="BO182" s="378"/>
      <c r="BP182" s="378"/>
      <c r="BQ182" s="378"/>
      <c r="BR182" s="378"/>
      <c r="BS182" s="378"/>
      <c r="BT182" s="378"/>
      <c r="BU182" s="378"/>
      <c r="BV182" s="378"/>
      <c r="BW182" s="378"/>
      <c r="BX182" s="378"/>
      <c r="BY182" s="378"/>
      <c r="BZ182" s="378"/>
      <c r="CA182" s="378"/>
      <c r="CB182" s="378"/>
      <c r="CC182" s="378"/>
      <c r="CD182" s="378"/>
      <c r="CE182" s="378"/>
      <c r="CF182" s="378"/>
      <c r="CG182" s="378"/>
      <c r="CH182" s="378"/>
      <c r="CI182" s="378"/>
      <c r="CJ182" s="378"/>
      <c r="CK182" s="378"/>
      <c r="CL182" s="378"/>
      <c r="CM182" s="378"/>
      <c r="CN182" s="378"/>
      <c r="CO182" s="378"/>
      <c r="CP182" s="378"/>
      <c r="CQ182" s="378"/>
      <c r="CR182" s="378"/>
      <c r="CS182" s="378"/>
      <c r="CT182" s="378"/>
    </row>
    <row r="183" spans="1:98" x14ac:dyDescent="0.25">
      <c r="A183" s="378"/>
      <c r="B183" s="378"/>
      <c r="C183" s="378"/>
      <c r="D183" s="378"/>
      <c r="E183" s="378"/>
      <c r="F183" s="378"/>
      <c r="G183" s="378"/>
      <c r="H183" s="378"/>
      <c r="I183" s="378"/>
      <c r="J183" s="378"/>
      <c r="K183" s="378"/>
      <c r="L183" s="378"/>
      <c r="M183" s="378"/>
      <c r="N183" s="378"/>
      <c r="O183" s="378"/>
      <c r="P183" s="378"/>
      <c r="Q183" s="378"/>
      <c r="R183" s="378"/>
      <c r="S183" s="378"/>
      <c r="T183" s="378"/>
      <c r="U183" s="378"/>
      <c r="V183" s="378"/>
      <c r="W183" s="378"/>
      <c r="X183" s="378"/>
      <c r="Y183" s="378"/>
      <c r="Z183" s="378"/>
      <c r="AA183" s="378"/>
      <c r="AB183" s="378"/>
      <c r="AC183" s="378"/>
      <c r="AD183" s="378"/>
      <c r="AE183" s="378"/>
      <c r="AF183" s="378"/>
      <c r="AG183" s="378"/>
      <c r="AH183" s="378"/>
      <c r="AI183" s="378"/>
      <c r="AJ183" s="378"/>
      <c r="AK183" s="378"/>
      <c r="AL183" s="378"/>
      <c r="AM183" s="378"/>
      <c r="AN183" s="378"/>
      <c r="AO183" s="378"/>
      <c r="AP183" s="378"/>
      <c r="AQ183" s="378"/>
      <c r="AR183" s="378"/>
      <c r="AS183" s="378"/>
      <c r="AT183" s="378"/>
      <c r="AU183" s="378"/>
      <c r="AV183" s="378"/>
      <c r="AW183" s="378"/>
      <c r="AX183" s="378"/>
      <c r="AY183" s="378"/>
      <c r="AZ183" s="378"/>
      <c r="BA183" s="378"/>
      <c r="BB183" s="378"/>
      <c r="BC183" s="378"/>
      <c r="BD183" s="378"/>
      <c r="BE183" s="378"/>
      <c r="BF183" s="378"/>
      <c r="BG183" s="378"/>
      <c r="BH183" s="378"/>
      <c r="BI183" s="378"/>
      <c r="BJ183" s="378"/>
      <c r="BK183" s="378"/>
      <c r="BL183" s="378"/>
      <c r="BM183" s="378"/>
      <c r="BN183" s="378"/>
      <c r="BO183" s="378"/>
      <c r="BP183" s="378"/>
      <c r="BQ183" s="378"/>
      <c r="BR183" s="378"/>
      <c r="BS183" s="378"/>
      <c r="BT183" s="378"/>
      <c r="BU183" s="378"/>
      <c r="BV183" s="378"/>
      <c r="BW183" s="378"/>
      <c r="BX183" s="378"/>
      <c r="BY183" s="378"/>
      <c r="BZ183" s="378"/>
      <c r="CA183" s="378"/>
      <c r="CB183" s="378"/>
      <c r="CC183" s="378"/>
      <c r="CD183" s="378"/>
      <c r="CE183" s="378"/>
      <c r="CF183" s="378"/>
      <c r="CG183" s="378"/>
      <c r="CH183" s="378"/>
      <c r="CI183" s="378"/>
      <c r="CJ183" s="378"/>
      <c r="CK183" s="378"/>
      <c r="CL183" s="378"/>
      <c r="CM183" s="378"/>
      <c r="CN183" s="378"/>
      <c r="CO183" s="378"/>
      <c r="CP183" s="378"/>
      <c r="CQ183" s="378"/>
      <c r="CR183" s="378"/>
      <c r="CS183" s="378"/>
      <c r="CT183" s="378"/>
    </row>
    <row r="184" spans="1:98" x14ac:dyDescent="0.25">
      <c r="A184" s="378"/>
      <c r="B184" s="378"/>
      <c r="C184" s="378"/>
      <c r="D184" s="378"/>
      <c r="E184" s="378"/>
      <c r="F184" s="378"/>
      <c r="G184" s="378"/>
      <c r="H184" s="378"/>
      <c r="I184" s="378"/>
      <c r="J184" s="378"/>
      <c r="K184" s="378"/>
      <c r="L184" s="378"/>
      <c r="M184" s="378"/>
      <c r="N184" s="378"/>
      <c r="O184" s="378"/>
      <c r="P184" s="378"/>
      <c r="Q184" s="378"/>
      <c r="R184" s="378"/>
      <c r="S184" s="378"/>
      <c r="T184" s="378"/>
      <c r="U184" s="378"/>
      <c r="V184" s="378"/>
      <c r="W184" s="378"/>
      <c r="X184" s="378"/>
      <c r="Y184" s="378"/>
      <c r="Z184" s="378"/>
      <c r="AA184" s="378"/>
      <c r="AB184" s="378"/>
      <c r="AC184" s="378"/>
      <c r="AD184" s="378"/>
      <c r="AE184" s="378"/>
      <c r="AF184" s="378"/>
      <c r="AG184" s="378"/>
      <c r="AH184" s="378"/>
      <c r="AI184" s="378"/>
      <c r="AJ184" s="378"/>
      <c r="AK184" s="378"/>
      <c r="AL184" s="378"/>
      <c r="AM184" s="378"/>
      <c r="AN184" s="378"/>
      <c r="AO184" s="378"/>
      <c r="AP184" s="378"/>
      <c r="AQ184" s="378"/>
      <c r="AR184" s="378"/>
      <c r="AS184" s="378"/>
      <c r="AT184" s="378"/>
      <c r="AU184" s="378"/>
      <c r="AV184" s="378"/>
      <c r="AW184" s="378"/>
      <c r="AX184" s="378"/>
      <c r="AY184" s="378"/>
      <c r="AZ184" s="378"/>
      <c r="BA184" s="378"/>
      <c r="BB184" s="378"/>
      <c r="BC184" s="378"/>
      <c r="BD184" s="378"/>
      <c r="BE184" s="378"/>
      <c r="BF184" s="378"/>
      <c r="BG184" s="378"/>
      <c r="BH184" s="378"/>
      <c r="BI184" s="378"/>
      <c r="BJ184" s="378"/>
      <c r="BK184" s="378"/>
      <c r="BL184" s="378"/>
      <c r="BM184" s="378"/>
      <c r="BN184" s="378"/>
      <c r="BO184" s="378"/>
      <c r="BP184" s="378"/>
      <c r="BQ184" s="378"/>
      <c r="BR184" s="378"/>
      <c r="BS184" s="378"/>
      <c r="BT184" s="378"/>
      <c r="BU184" s="378"/>
      <c r="BV184" s="378"/>
      <c r="BW184" s="378"/>
      <c r="BX184" s="378"/>
      <c r="BY184" s="378"/>
      <c r="BZ184" s="378"/>
      <c r="CA184" s="378"/>
      <c r="CB184" s="378"/>
      <c r="CC184" s="378"/>
      <c r="CD184" s="378"/>
      <c r="CE184" s="378"/>
      <c r="CF184" s="378"/>
      <c r="CG184" s="378"/>
      <c r="CH184" s="378"/>
      <c r="CI184" s="378"/>
      <c r="CJ184" s="378"/>
      <c r="CK184" s="378"/>
      <c r="CL184" s="378"/>
      <c r="CM184" s="378"/>
      <c r="CN184" s="378"/>
      <c r="CO184" s="378"/>
      <c r="CP184" s="378"/>
      <c r="CQ184" s="378"/>
      <c r="CR184" s="378"/>
      <c r="CS184" s="378"/>
      <c r="CT184" s="378"/>
    </row>
    <row r="185" spans="1:98" x14ac:dyDescent="0.25">
      <c r="A185" s="378"/>
      <c r="B185" s="378"/>
      <c r="C185" s="378"/>
      <c r="D185" s="378"/>
      <c r="E185" s="378"/>
      <c r="F185" s="378"/>
      <c r="G185" s="378"/>
      <c r="H185" s="378"/>
      <c r="I185" s="378"/>
      <c r="J185" s="378"/>
      <c r="K185" s="378"/>
      <c r="L185" s="378"/>
      <c r="M185" s="378"/>
      <c r="N185" s="378"/>
      <c r="O185" s="378"/>
      <c r="P185" s="378"/>
      <c r="Q185" s="378"/>
      <c r="R185" s="378"/>
      <c r="S185" s="378"/>
      <c r="T185" s="378"/>
      <c r="U185" s="378"/>
      <c r="V185" s="378"/>
      <c r="W185" s="378"/>
      <c r="X185" s="378"/>
      <c r="Y185" s="378"/>
      <c r="Z185" s="378"/>
      <c r="AA185" s="378"/>
      <c r="AB185" s="378"/>
      <c r="AC185" s="378"/>
      <c r="AD185" s="378"/>
      <c r="AE185" s="378"/>
      <c r="AF185" s="378"/>
      <c r="AG185" s="378"/>
      <c r="AH185" s="378"/>
      <c r="AI185" s="378"/>
      <c r="AJ185" s="378"/>
      <c r="AK185" s="378"/>
      <c r="AL185" s="378"/>
      <c r="AM185" s="378"/>
      <c r="AN185" s="378"/>
      <c r="AO185" s="378"/>
      <c r="AP185" s="378"/>
      <c r="AQ185" s="378"/>
      <c r="AR185" s="378"/>
      <c r="AS185" s="378"/>
      <c r="AT185" s="378"/>
      <c r="AU185" s="378"/>
      <c r="AV185" s="378"/>
      <c r="AW185" s="378"/>
      <c r="AX185" s="378"/>
      <c r="AY185" s="378"/>
      <c r="AZ185" s="378"/>
      <c r="BA185" s="378"/>
      <c r="BB185" s="378"/>
      <c r="BC185" s="378"/>
      <c r="BD185" s="378"/>
      <c r="BE185" s="378"/>
      <c r="BF185" s="378"/>
      <c r="BG185" s="378"/>
      <c r="BH185" s="378"/>
      <c r="BI185" s="378"/>
      <c r="BJ185" s="378"/>
      <c r="BK185" s="378"/>
      <c r="BL185" s="378"/>
      <c r="BM185" s="378"/>
      <c r="BN185" s="378"/>
      <c r="BO185" s="378"/>
      <c r="BP185" s="378"/>
      <c r="BQ185" s="378"/>
      <c r="BR185" s="378"/>
      <c r="BS185" s="378"/>
      <c r="BT185" s="378"/>
      <c r="BU185" s="378"/>
      <c r="BV185" s="378"/>
      <c r="BW185" s="378"/>
      <c r="BX185" s="378"/>
      <c r="BY185" s="378"/>
      <c r="BZ185" s="378"/>
      <c r="CA185" s="378"/>
      <c r="CB185" s="378"/>
      <c r="CC185" s="378"/>
      <c r="CD185" s="378"/>
      <c r="CE185" s="378"/>
      <c r="CF185" s="378"/>
      <c r="CG185" s="378"/>
      <c r="CH185" s="378"/>
      <c r="CI185" s="378"/>
      <c r="CJ185" s="378"/>
      <c r="CK185" s="378"/>
      <c r="CL185" s="378"/>
      <c r="CM185" s="378"/>
      <c r="CN185" s="378"/>
      <c r="CO185" s="378"/>
      <c r="CP185" s="378"/>
      <c r="CQ185" s="378"/>
      <c r="CR185" s="378"/>
      <c r="CS185" s="378"/>
      <c r="CT185" s="378"/>
    </row>
    <row r="186" spans="1:98" x14ac:dyDescent="0.25">
      <c r="A186" s="378"/>
      <c r="B186" s="378"/>
      <c r="C186" s="378"/>
      <c r="D186" s="378"/>
      <c r="E186" s="378"/>
      <c r="F186" s="378"/>
      <c r="G186" s="378"/>
      <c r="H186" s="378"/>
      <c r="I186" s="378"/>
      <c r="J186" s="378"/>
      <c r="K186" s="378"/>
      <c r="L186" s="378"/>
      <c r="M186" s="378"/>
      <c r="N186" s="378"/>
      <c r="O186" s="378"/>
      <c r="P186" s="378"/>
      <c r="Q186" s="378"/>
      <c r="R186" s="378"/>
      <c r="S186" s="378"/>
      <c r="T186" s="378"/>
      <c r="U186" s="378"/>
      <c r="V186" s="378"/>
      <c r="W186" s="378"/>
      <c r="X186" s="378"/>
      <c r="Y186" s="378"/>
      <c r="Z186" s="378"/>
      <c r="AA186" s="378"/>
      <c r="AB186" s="378"/>
      <c r="AC186" s="378"/>
      <c r="AD186" s="378"/>
      <c r="AE186" s="378"/>
      <c r="AF186" s="378"/>
      <c r="AG186" s="378"/>
      <c r="AH186" s="378"/>
      <c r="AI186" s="378"/>
      <c r="AJ186" s="378"/>
      <c r="AK186" s="378"/>
      <c r="AL186" s="378"/>
      <c r="AM186" s="378"/>
      <c r="AN186" s="378"/>
      <c r="AO186" s="378"/>
      <c r="AP186" s="378"/>
      <c r="AQ186" s="378"/>
      <c r="AR186" s="378"/>
      <c r="AS186" s="378"/>
      <c r="AT186" s="378"/>
      <c r="AU186" s="378"/>
      <c r="AV186" s="378"/>
      <c r="AW186" s="378"/>
      <c r="AX186" s="378"/>
      <c r="AY186" s="378"/>
      <c r="AZ186" s="378"/>
      <c r="BA186" s="378"/>
      <c r="BB186" s="378"/>
      <c r="BC186" s="378"/>
      <c r="BD186" s="378"/>
      <c r="BE186" s="378"/>
      <c r="BF186" s="378"/>
      <c r="BG186" s="378"/>
      <c r="BH186" s="378"/>
      <c r="BI186" s="378"/>
      <c r="BJ186" s="378"/>
      <c r="BK186" s="378"/>
      <c r="BL186" s="378"/>
      <c r="BM186" s="378"/>
      <c r="BN186" s="378"/>
      <c r="BO186" s="378"/>
      <c r="BP186" s="378"/>
      <c r="BQ186" s="378"/>
      <c r="BR186" s="378"/>
      <c r="BS186" s="378"/>
      <c r="BT186" s="378"/>
      <c r="BU186" s="378"/>
      <c r="BV186" s="378"/>
      <c r="BW186" s="378"/>
      <c r="BX186" s="378"/>
      <c r="BY186" s="378"/>
      <c r="BZ186" s="378"/>
      <c r="CA186" s="378"/>
      <c r="CB186" s="378"/>
      <c r="CC186" s="378"/>
      <c r="CD186" s="378"/>
      <c r="CE186" s="378"/>
      <c r="CF186" s="378"/>
      <c r="CG186" s="378"/>
      <c r="CH186" s="378"/>
      <c r="CI186" s="378"/>
      <c r="CJ186" s="378"/>
      <c r="CK186" s="378"/>
      <c r="CL186" s="378"/>
      <c r="CM186" s="378"/>
      <c r="CN186" s="378"/>
      <c r="CO186" s="378"/>
      <c r="CP186" s="378"/>
      <c r="CQ186" s="378"/>
      <c r="CR186" s="378"/>
      <c r="CS186" s="378"/>
      <c r="CT186" s="378"/>
    </row>
    <row r="187" spans="1:98" x14ac:dyDescent="0.25">
      <c r="A187" s="378"/>
      <c r="B187" s="378"/>
      <c r="C187" s="378"/>
      <c r="D187" s="378"/>
      <c r="E187" s="378"/>
      <c r="F187" s="378"/>
      <c r="G187" s="378"/>
      <c r="H187" s="378"/>
      <c r="I187" s="378"/>
      <c r="J187" s="378"/>
      <c r="K187" s="378"/>
      <c r="L187" s="378"/>
      <c r="M187" s="378"/>
      <c r="N187" s="378"/>
      <c r="O187" s="378"/>
      <c r="P187" s="378"/>
      <c r="Q187" s="378"/>
      <c r="R187" s="378"/>
      <c r="S187" s="378"/>
      <c r="T187" s="378"/>
      <c r="U187" s="378"/>
      <c r="V187" s="378"/>
      <c r="W187" s="378"/>
      <c r="X187" s="378"/>
      <c r="Y187" s="378"/>
      <c r="Z187" s="378"/>
      <c r="AA187" s="378"/>
      <c r="AB187" s="378"/>
      <c r="AC187" s="378"/>
      <c r="AD187" s="378"/>
      <c r="AE187" s="378"/>
      <c r="AF187" s="378"/>
      <c r="AG187" s="378"/>
      <c r="AH187" s="378"/>
      <c r="AI187" s="378"/>
      <c r="AJ187" s="378"/>
      <c r="AK187" s="378"/>
      <c r="AL187" s="378"/>
      <c r="AM187" s="378"/>
      <c r="AN187" s="378"/>
      <c r="AO187" s="378"/>
      <c r="AP187" s="378"/>
      <c r="AQ187" s="378"/>
      <c r="AR187" s="378"/>
      <c r="AS187" s="378"/>
      <c r="AT187" s="378"/>
      <c r="AU187" s="378"/>
      <c r="AV187" s="378"/>
      <c r="AW187" s="378"/>
      <c r="AX187" s="378"/>
      <c r="AY187" s="378"/>
      <c r="AZ187" s="378"/>
      <c r="BA187" s="378"/>
      <c r="BB187" s="378"/>
      <c r="BC187" s="378"/>
      <c r="BD187" s="378"/>
      <c r="BE187" s="378"/>
      <c r="BF187" s="378"/>
      <c r="BG187" s="378"/>
      <c r="BH187" s="378"/>
      <c r="BI187" s="378"/>
      <c r="BJ187" s="378"/>
      <c r="BK187" s="378"/>
      <c r="BL187" s="378"/>
      <c r="BM187" s="378"/>
      <c r="BN187" s="378"/>
      <c r="BO187" s="378"/>
      <c r="BP187" s="378"/>
      <c r="BQ187" s="378"/>
      <c r="BR187" s="378"/>
      <c r="BS187" s="378"/>
      <c r="BT187" s="378"/>
      <c r="BU187" s="378"/>
      <c r="BV187" s="378"/>
      <c r="BW187" s="378"/>
      <c r="BX187" s="378"/>
      <c r="BY187" s="378"/>
      <c r="BZ187" s="378"/>
      <c r="CA187" s="378"/>
      <c r="CB187" s="378"/>
      <c r="CC187" s="378"/>
      <c r="CD187" s="378"/>
      <c r="CE187" s="378"/>
      <c r="CF187" s="378"/>
      <c r="CG187" s="378"/>
      <c r="CH187" s="378"/>
      <c r="CI187" s="378"/>
      <c r="CJ187" s="378"/>
      <c r="CK187" s="378"/>
      <c r="CL187" s="378"/>
      <c r="CM187" s="378"/>
      <c r="CN187" s="378"/>
      <c r="CO187" s="378"/>
      <c r="CP187" s="378"/>
      <c r="CQ187" s="378"/>
      <c r="CR187" s="378"/>
      <c r="CS187" s="378"/>
      <c r="CT187" s="378"/>
    </row>
    <row r="188" spans="1:98" x14ac:dyDescent="0.25">
      <c r="A188" s="378"/>
      <c r="B188" s="378"/>
      <c r="C188" s="378"/>
      <c r="D188" s="378"/>
      <c r="E188" s="378"/>
      <c r="F188" s="378"/>
      <c r="G188" s="378"/>
      <c r="H188" s="378"/>
      <c r="I188" s="378"/>
      <c r="J188" s="378"/>
      <c r="K188" s="378"/>
      <c r="L188" s="378"/>
      <c r="M188" s="378"/>
      <c r="N188" s="378"/>
      <c r="O188" s="378"/>
      <c r="P188" s="378"/>
      <c r="Q188" s="378"/>
      <c r="R188" s="378"/>
      <c r="S188" s="378"/>
      <c r="T188" s="378"/>
      <c r="U188" s="378"/>
      <c r="V188" s="378"/>
      <c r="W188" s="378"/>
      <c r="X188" s="378"/>
      <c r="Y188" s="378"/>
      <c r="Z188" s="378"/>
      <c r="AA188" s="378"/>
      <c r="AB188" s="378"/>
      <c r="AC188" s="378"/>
      <c r="AD188" s="378"/>
      <c r="AE188" s="378"/>
      <c r="AF188" s="378"/>
      <c r="AG188" s="378"/>
      <c r="AH188" s="378"/>
      <c r="AI188" s="378"/>
      <c r="AJ188" s="378"/>
      <c r="AK188" s="378"/>
      <c r="AL188" s="378"/>
      <c r="AM188" s="378"/>
      <c r="AN188" s="378"/>
      <c r="AO188" s="378"/>
      <c r="AP188" s="378"/>
      <c r="AQ188" s="378"/>
      <c r="AR188" s="378"/>
      <c r="AS188" s="378"/>
      <c r="AT188" s="378"/>
      <c r="AU188" s="378"/>
      <c r="AV188" s="378"/>
      <c r="AW188" s="378"/>
      <c r="AX188" s="378"/>
      <c r="AY188" s="378"/>
      <c r="AZ188" s="378"/>
      <c r="BA188" s="378"/>
      <c r="BB188" s="378"/>
      <c r="BC188" s="378"/>
      <c r="BD188" s="378"/>
      <c r="BE188" s="378"/>
      <c r="BF188" s="378"/>
      <c r="BG188" s="378"/>
      <c r="BH188" s="378"/>
      <c r="BI188" s="378"/>
      <c r="BJ188" s="378"/>
      <c r="BK188" s="378"/>
      <c r="BL188" s="378"/>
      <c r="BM188" s="378"/>
      <c r="BN188" s="378"/>
      <c r="BO188" s="378"/>
      <c r="BP188" s="378"/>
      <c r="BQ188" s="378"/>
      <c r="BR188" s="378"/>
      <c r="BS188" s="378"/>
      <c r="BT188" s="378"/>
      <c r="BU188" s="378"/>
      <c r="BV188" s="378"/>
      <c r="BW188" s="378"/>
      <c r="BX188" s="378"/>
      <c r="BY188" s="378"/>
      <c r="BZ188" s="378"/>
      <c r="CA188" s="378"/>
      <c r="CB188" s="378"/>
      <c r="CC188" s="378"/>
      <c r="CD188" s="378"/>
      <c r="CE188" s="378"/>
      <c r="CF188" s="378"/>
      <c r="CG188" s="378"/>
      <c r="CH188" s="378"/>
      <c r="CI188" s="378"/>
      <c r="CJ188" s="378"/>
      <c r="CK188" s="378"/>
      <c r="CL188" s="378"/>
      <c r="CM188" s="378"/>
      <c r="CN188" s="378"/>
      <c r="CO188" s="378"/>
      <c r="CP188" s="378"/>
      <c r="CQ188" s="378"/>
      <c r="CR188" s="378"/>
      <c r="CS188" s="378"/>
      <c r="CT188" s="378"/>
    </row>
    <row r="189" spans="1:98" x14ac:dyDescent="0.25">
      <c r="A189" s="378"/>
      <c r="B189" s="378"/>
      <c r="C189" s="378"/>
      <c r="D189" s="378"/>
      <c r="E189" s="378"/>
      <c r="F189" s="378"/>
      <c r="G189" s="378"/>
      <c r="H189" s="378"/>
      <c r="I189" s="378"/>
      <c r="J189" s="378"/>
      <c r="K189" s="378"/>
      <c r="L189" s="378"/>
      <c r="M189" s="378"/>
      <c r="N189" s="378"/>
      <c r="O189" s="378"/>
      <c r="P189" s="378"/>
      <c r="Q189" s="378"/>
      <c r="R189" s="378"/>
      <c r="S189" s="378"/>
      <c r="T189" s="378"/>
      <c r="U189" s="378"/>
      <c r="V189" s="378"/>
      <c r="W189" s="378"/>
      <c r="X189" s="378"/>
      <c r="Y189" s="378"/>
      <c r="Z189" s="378"/>
      <c r="AA189" s="378"/>
      <c r="AB189" s="378"/>
      <c r="AC189" s="378"/>
      <c r="AD189" s="378"/>
      <c r="AE189" s="378"/>
      <c r="AF189" s="378"/>
      <c r="AG189" s="378"/>
      <c r="AH189" s="378"/>
      <c r="AI189" s="378"/>
      <c r="AJ189" s="378"/>
      <c r="AK189" s="378"/>
      <c r="AL189" s="378"/>
      <c r="AM189" s="378"/>
      <c r="AN189" s="378"/>
      <c r="AO189" s="378"/>
      <c r="AP189" s="378"/>
      <c r="AQ189" s="378"/>
      <c r="AR189" s="378"/>
      <c r="AS189" s="378"/>
      <c r="AT189" s="378"/>
      <c r="AU189" s="378"/>
      <c r="AV189" s="378"/>
      <c r="AW189" s="378"/>
      <c r="AX189" s="378"/>
      <c r="AY189" s="378"/>
      <c r="AZ189" s="378"/>
      <c r="BA189" s="378"/>
      <c r="BB189" s="378"/>
      <c r="BC189" s="378"/>
      <c r="BD189" s="378"/>
      <c r="BE189" s="378"/>
      <c r="BF189" s="378"/>
      <c r="BG189" s="378"/>
      <c r="BH189" s="378"/>
      <c r="BI189" s="378"/>
      <c r="BJ189" s="378"/>
      <c r="BK189" s="378"/>
      <c r="BL189" s="378"/>
      <c r="BM189" s="378"/>
      <c r="BN189" s="378"/>
      <c r="BO189" s="378"/>
      <c r="BP189" s="378"/>
      <c r="BQ189" s="378"/>
      <c r="BR189" s="378"/>
      <c r="BS189" s="378"/>
      <c r="BT189" s="378"/>
      <c r="BU189" s="378"/>
      <c r="BV189" s="378"/>
      <c r="BW189" s="378"/>
      <c r="BX189" s="378"/>
      <c r="BY189" s="378"/>
      <c r="BZ189" s="378"/>
      <c r="CA189" s="378"/>
      <c r="CB189" s="378"/>
      <c r="CC189" s="378"/>
      <c r="CD189" s="378"/>
      <c r="CE189" s="378"/>
      <c r="CF189" s="378"/>
      <c r="CG189" s="378"/>
      <c r="CH189" s="378"/>
      <c r="CI189" s="378"/>
      <c r="CJ189" s="378"/>
      <c r="CK189" s="378"/>
      <c r="CL189" s="378"/>
      <c r="CM189" s="378"/>
      <c r="CN189" s="378"/>
      <c r="CO189" s="378"/>
      <c r="CP189" s="378"/>
      <c r="CQ189" s="378"/>
      <c r="CR189" s="378"/>
      <c r="CS189" s="378"/>
      <c r="CT189" s="378"/>
    </row>
    <row r="190" spans="1:98" x14ac:dyDescent="0.25">
      <c r="A190" s="378"/>
      <c r="B190" s="378"/>
      <c r="C190" s="378"/>
      <c r="D190" s="378"/>
      <c r="E190" s="378"/>
      <c r="F190" s="378"/>
      <c r="G190" s="378"/>
      <c r="H190" s="378"/>
      <c r="I190" s="378"/>
      <c r="J190" s="378"/>
      <c r="K190" s="378"/>
      <c r="L190" s="378"/>
      <c r="M190" s="378"/>
      <c r="N190" s="378"/>
      <c r="O190" s="378"/>
      <c r="P190" s="378"/>
      <c r="Q190" s="378"/>
      <c r="R190" s="378"/>
      <c r="S190" s="378"/>
      <c r="T190" s="378"/>
      <c r="U190" s="378"/>
      <c r="V190" s="378"/>
      <c r="W190" s="378"/>
      <c r="X190" s="378"/>
      <c r="Y190" s="378"/>
      <c r="Z190" s="378"/>
      <c r="AA190" s="378"/>
      <c r="AB190" s="378"/>
      <c r="AC190" s="378"/>
      <c r="AD190" s="378"/>
      <c r="AE190" s="378"/>
      <c r="AF190" s="378"/>
      <c r="AG190" s="378"/>
      <c r="AH190" s="378"/>
      <c r="AI190" s="378"/>
      <c r="AJ190" s="378"/>
      <c r="AK190" s="378"/>
      <c r="AL190" s="378"/>
      <c r="AM190" s="378"/>
      <c r="AN190" s="378"/>
      <c r="AO190" s="378"/>
      <c r="AP190" s="378"/>
      <c r="AQ190" s="378"/>
      <c r="AR190" s="378"/>
      <c r="AS190" s="378"/>
      <c r="AT190" s="378"/>
      <c r="AU190" s="378"/>
      <c r="AV190" s="378"/>
      <c r="AW190" s="378"/>
      <c r="AX190" s="378"/>
      <c r="AY190" s="378"/>
      <c r="AZ190" s="378"/>
      <c r="BA190" s="378"/>
      <c r="BB190" s="378"/>
      <c r="BC190" s="378"/>
      <c r="BD190" s="378"/>
      <c r="BE190" s="378"/>
      <c r="BF190" s="378"/>
      <c r="BG190" s="378"/>
      <c r="BH190" s="378"/>
      <c r="BI190" s="378"/>
      <c r="BJ190" s="378"/>
      <c r="BK190" s="378"/>
      <c r="BL190" s="378"/>
      <c r="BM190" s="378"/>
      <c r="BN190" s="378"/>
      <c r="BO190" s="378"/>
      <c r="BP190" s="378"/>
      <c r="BQ190" s="378"/>
      <c r="BR190" s="378"/>
      <c r="BS190" s="378"/>
      <c r="BT190" s="378"/>
      <c r="BU190" s="378"/>
      <c r="BV190" s="378"/>
      <c r="BW190" s="378"/>
      <c r="BX190" s="378"/>
      <c r="BY190" s="378"/>
      <c r="BZ190" s="378"/>
      <c r="CA190" s="378"/>
      <c r="CB190" s="378"/>
      <c r="CC190" s="378"/>
      <c r="CD190" s="378"/>
      <c r="CE190" s="378"/>
      <c r="CF190" s="378"/>
      <c r="CG190" s="378"/>
      <c r="CH190" s="378"/>
      <c r="CI190" s="378"/>
      <c r="CJ190" s="378"/>
      <c r="CK190" s="378"/>
      <c r="CL190" s="378"/>
      <c r="CM190" s="378"/>
      <c r="CN190" s="378"/>
      <c r="CO190" s="378"/>
      <c r="CP190" s="378"/>
      <c r="CQ190" s="378"/>
      <c r="CR190" s="378"/>
      <c r="CS190" s="378"/>
      <c r="CT190" s="378"/>
    </row>
    <row r="191" spans="1:98" x14ac:dyDescent="0.25">
      <c r="A191" s="378"/>
      <c r="B191" s="378"/>
      <c r="C191" s="378"/>
      <c r="D191" s="378"/>
      <c r="E191" s="378"/>
      <c r="F191" s="378"/>
      <c r="G191" s="378"/>
      <c r="H191" s="378"/>
      <c r="I191" s="378"/>
      <c r="J191" s="378"/>
      <c r="K191" s="378"/>
      <c r="L191" s="378"/>
      <c r="M191" s="378"/>
      <c r="N191" s="378"/>
      <c r="O191" s="378"/>
      <c r="P191" s="378"/>
      <c r="Q191" s="378"/>
      <c r="R191" s="378"/>
      <c r="S191" s="378"/>
      <c r="T191" s="378"/>
      <c r="U191" s="378"/>
      <c r="V191" s="378"/>
      <c r="W191" s="378"/>
      <c r="X191" s="378"/>
      <c r="Y191" s="378"/>
      <c r="Z191" s="378"/>
      <c r="AA191" s="378"/>
      <c r="AB191" s="378"/>
      <c r="AC191" s="378"/>
      <c r="AD191" s="378"/>
      <c r="AE191" s="378"/>
      <c r="AF191" s="378"/>
      <c r="AG191" s="378"/>
      <c r="AH191" s="378"/>
      <c r="AI191" s="378"/>
      <c r="AJ191" s="378"/>
      <c r="AK191" s="378"/>
      <c r="AL191" s="378"/>
      <c r="AM191" s="378"/>
      <c r="AN191" s="378"/>
      <c r="AO191" s="378"/>
      <c r="AP191" s="378"/>
      <c r="AQ191" s="378"/>
      <c r="AR191" s="378"/>
      <c r="AS191" s="378"/>
      <c r="AT191" s="378"/>
      <c r="AU191" s="378"/>
      <c r="AV191" s="378"/>
      <c r="AW191" s="378"/>
      <c r="AX191" s="378"/>
      <c r="AY191" s="378"/>
      <c r="AZ191" s="378"/>
      <c r="BA191" s="378"/>
      <c r="BB191" s="378"/>
      <c r="BC191" s="378"/>
      <c r="BD191" s="378"/>
      <c r="BE191" s="378"/>
      <c r="BF191" s="378"/>
      <c r="BG191" s="378"/>
      <c r="BH191" s="378"/>
      <c r="BI191" s="378"/>
      <c r="BJ191" s="378"/>
      <c r="BK191" s="378"/>
      <c r="BL191" s="378"/>
      <c r="BM191" s="378"/>
      <c r="BN191" s="378"/>
      <c r="BO191" s="378"/>
      <c r="BP191" s="378"/>
      <c r="BQ191" s="378"/>
      <c r="BR191" s="378"/>
      <c r="BS191" s="378"/>
      <c r="BT191" s="378"/>
      <c r="BU191" s="378"/>
      <c r="BV191" s="378"/>
      <c r="BW191" s="378"/>
      <c r="BX191" s="378"/>
      <c r="BY191" s="378"/>
      <c r="BZ191" s="378"/>
      <c r="CA191" s="378"/>
      <c r="CB191" s="378"/>
      <c r="CC191" s="378"/>
      <c r="CD191" s="378"/>
      <c r="CE191" s="378"/>
      <c r="CF191" s="378"/>
      <c r="CG191" s="378"/>
      <c r="CH191" s="378"/>
      <c r="CI191" s="378"/>
      <c r="CJ191" s="378"/>
      <c r="CK191" s="378"/>
      <c r="CL191" s="378"/>
      <c r="CM191" s="378"/>
      <c r="CN191" s="378"/>
      <c r="CO191" s="378"/>
      <c r="CP191" s="378"/>
      <c r="CQ191" s="378"/>
      <c r="CR191" s="378"/>
      <c r="CS191" s="378"/>
      <c r="CT191" s="378"/>
    </row>
    <row r="192" spans="1:98" x14ac:dyDescent="0.25">
      <c r="A192" s="378"/>
      <c r="B192" s="378"/>
      <c r="C192" s="378"/>
      <c r="D192" s="378"/>
      <c r="E192" s="378"/>
      <c r="F192" s="378"/>
      <c r="G192" s="378"/>
      <c r="H192" s="378"/>
      <c r="I192" s="378"/>
      <c r="J192" s="378"/>
      <c r="K192" s="378"/>
      <c r="L192" s="378"/>
      <c r="M192" s="378"/>
      <c r="N192" s="378"/>
      <c r="O192" s="378"/>
      <c r="P192" s="378"/>
      <c r="Q192" s="378"/>
      <c r="R192" s="378"/>
      <c r="S192" s="378"/>
      <c r="T192" s="378"/>
      <c r="U192" s="378"/>
      <c r="V192" s="378"/>
      <c r="W192" s="378"/>
      <c r="X192" s="378"/>
      <c r="Y192" s="378"/>
      <c r="Z192" s="378"/>
      <c r="AA192" s="378"/>
      <c r="AB192" s="378"/>
      <c r="AC192" s="378"/>
      <c r="AD192" s="378"/>
      <c r="AE192" s="378"/>
      <c r="AF192" s="378"/>
      <c r="AG192" s="378"/>
      <c r="AH192" s="378"/>
      <c r="AI192" s="378"/>
      <c r="AJ192" s="378"/>
      <c r="AK192" s="378"/>
      <c r="AL192" s="378"/>
      <c r="AM192" s="378"/>
      <c r="AN192" s="378"/>
      <c r="AO192" s="378"/>
      <c r="AP192" s="378"/>
      <c r="AQ192" s="378"/>
      <c r="AR192" s="378"/>
      <c r="AS192" s="378"/>
      <c r="AT192" s="378"/>
      <c r="AU192" s="378"/>
      <c r="AV192" s="378"/>
      <c r="AW192" s="378"/>
      <c r="AX192" s="378"/>
      <c r="AY192" s="378"/>
      <c r="AZ192" s="378"/>
      <c r="BA192" s="378"/>
      <c r="BB192" s="378"/>
      <c r="BC192" s="378"/>
      <c r="BD192" s="378"/>
      <c r="BE192" s="378"/>
      <c r="BF192" s="378"/>
      <c r="BG192" s="378"/>
      <c r="BH192" s="378"/>
      <c r="BI192" s="378"/>
      <c r="BJ192" s="378"/>
      <c r="BK192" s="378"/>
      <c r="BL192" s="378"/>
      <c r="BM192" s="378"/>
      <c r="BN192" s="378"/>
      <c r="BO192" s="378"/>
      <c r="BP192" s="378"/>
      <c r="BQ192" s="378"/>
      <c r="BR192" s="378"/>
      <c r="BS192" s="378"/>
      <c r="BT192" s="378"/>
      <c r="BU192" s="378"/>
      <c r="BV192" s="378"/>
      <c r="BW192" s="378"/>
      <c r="BX192" s="378"/>
      <c r="BY192" s="378"/>
      <c r="BZ192" s="378"/>
      <c r="CA192" s="378"/>
      <c r="CB192" s="378"/>
      <c r="CC192" s="378"/>
      <c r="CD192" s="378"/>
      <c r="CE192" s="378"/>
      <c r="CF192" s="378"/>
      <c r="CG192" s="378"/>
      <c r="CH192" s="378"/>
      <c r="CI192" s="378"/>
      <c r="CJ192" s="378"/>
      <c r="CK192" s="378"/>
      <c r="CL192" s="378"/>
      <c r="CM192" s="378"/>
      <c r="CN192" s="378"/>
      <c r="CO192" s="378"/>
      <c r="CP192" s="378"/>
      <c r="CQ192" s="378"/>
      <c r="CR192" s="378"/>
      <c r="CS192" s="378"/>
      <c r="CT192" s="378"/>
    </row>
    <row r="193" spans="1:98" x14ac:dyDescent="0.25">
      <c r="A193" s="378"/>
      <c r="B193" s="378"/>
      <c r="C193" s="378"/>
      <c r="D193" s="378"/>
      <c r="E193" s="378"/>
      <c r="F193" s="378"/>
      <c r="G193" s="378"/>
      <c r="H193" s="378"/>
      <c r="I193" s="378"/>
      <c r="J193" s="378"/>
      <c r="K193" s="378"/>
      <c r="L193" s="378"/>
      <c r="M193" s="378"/>
      <c r="N193" s="378"/>
      <c r="O193" s="378"/>
      <c r="P193" s="378"/>
      <c r="Q193" s="378"/>
      <c r="R193" s="378"/>
      <c r="S193" s="378"/>
      <c r="T193" s="378"/>
      <c r="U193" s="378"/>
      <c r="V193" s="378"/>
      <c r="W193" s="378"/>
      <c r="X193" s="378"/>
      <c r="Y193" s="378"/>
      <c r="Z193" s="378"/>
      <c r="AA193" s="378"/>
      <c r="AB193" s="378"/>
      <c r="AC193" s="378"/>
      <c r="AD193" s="378"/>
      <c r="AE193" s="378"/>
      <c r="AF193" s="378"/>
      <c r="AG193" s="378"/>
      <c r="AH193" s="378"/>
      <c r="AI193" s="378"/>
      <c r="AJ193" s="378"/>
      <c r="AK193" s="378"/>
      <c r="AL193" s="378"/>
      <c r="AM193" s="378"/>
      <c r="AN193" s="378"/>
      <c r="AO193" s="378"/>
      <c r="AP193" s="378"/>
      <c r="AQ193" s="378"/>
      <c r="AR193" s="378"/>
      <c r="AS193" s="378"/>
      <c r="AT193" s="378"/>
      <c r="AU193" s="378"/>
      <c r="AV193" s="378"/>
      <c r="AW193" s="378"/>
      <c r="AX193" s="378"/>
      <c r="AY193" s="378"/>
      <c r="AZ193" s="378"/>
      <c r="BA193" s="378"/>
      <c r="BB193" s="378"/>
      <c r="BC193" s="378"/>
      <c r="BD193" s="378"/>
      <c r="BE193" s="378"/>
      <c r="BF193" s="378"/>
      <c r="BG193" s="378"/>
      <c r="BH193" s="378"/>
      <c r="BI193" s="378"/>
      <c r="BJ193" s="378"/>
      <c r="BK193" s="378"/>
      <c r="BL193" s="378"/>
      <c r="BM193" s="378"/>
      <c r="BN193" s="378"/>
      <c r="BO193" s="378"/>
      <c r="BP193" s="378"/>
      <c r="BQ193" s="378"/>
      <c r="BR193" s="378"/>
      <c r="BS193" s="378"/>
      <c r="BT193" s="378"/>
      <c r="BU193" s="378"/>
      <c r="BV193" s="378"/>
      <c r="BW193" s="378"/>
      <c r="BX193" s="378"/>
      <c r="BY193" s="378"/>
      <c r="BZ193" s="378"/>
      <c r="CA193" s="378"/>
      <c r="CB193" s="378"/>
      <c r="CC193" s="378"/>
      <c r="CD193" s="378"/>
      <c r="CE193" s="378"/>
      <c r="CF193" s="378"/>
      <c r="CG193" s="378"/>
      <c r="CH193" s="378"/>
      <c r="CI193" s="378"/>
      <c r="CJ193" s="378"/>
      <c r="CK193" s="378"/>
      <c r="CL193" s="378"/>
      <c r="CM193" s="378"/>
      <c r="CN193" s="378"/>
      <c r="CO193" s="378"/>
      <c r="CP193" s="378"/>
      <c r="CQ193" s="378"/>
      <c r="CR193" s="378"/>
      <c r="CS193" s="378"/>
      <c r="CT193" s="378"/>
    </row>
    <row r="194" spans="1:98" x14ac:dyDescent="0.25">
      <c r="A194" s="378"/>
      <c r="B194" s="378"/>
      <c r="C194" s="378"/>
      <c r="D194" s="378"/>
      <c r="E194" s="378"/>
      <c r="F194" s="378"/>
      <c r="G194" s="378"/>
      <c r="H194" s="378"/>
      <c r="I194" s="378"/>
      <c r="J194" s="378"/>
      <c r="K194" s="378"/>
      <c r="L194" s="378"/>
      <c r="M194" s="378"/>
      <c r="N194" s="378"/>
      <c r="O194" s="378"/>
      <c r="P194" s="378"/>
      <c r="Q194" s="378"/>
      <c r="R194" s="378"/>
      <c r="S194" s="378"/>
      <c r="T194" s="378"/>
      <c r="U194" s="378"/>
      <c r="V194" s="378"/>
      <c r="W194" s="378"/>
      <c r="X194" s="378"/>
      <c r="Y194" s="378"/>
      <c r="Z194" s="378"/>
      <c r="AA194" s="378"/>
      <c r="AB194" s="378"/>
      <c r="AC194" s="378"/>
      <c r="AD194" s="378"/>
      <c r="AE194" s="378"/>
      <c r="AF194" s="378"/>
      <c r="AG194" s="378"/>
      <c r="AH194" s="378"/>
      <c r="AI194" s="378"/>
      <c r="AJ194" s="378"/>
      <c r="AK194" s="378"/>
      <c r="AL194" s="378"/>
      <c r="AM194" s="378"/>
      <c r="AN194" s="378"/>
      <c r="AO194" s="378"/>
      <c r="AP194" s="378"/>
      <c r="AQ194" s="378"/>
      <c r="AR194" s="378"/>
      <c r="AS194" s="378"/>
      <c r="AT194" s="378"/>
      <c r="AU194" s="378"/>
      <c r="AV194" s="378"/>
      <c r="AW194" s="378"/>
      <c r="AX194" s="378"/>
      <c r="AY194" s="378"/>
      <c r="AZ194" s="378"/>
      <c r="BA194" s="378"/>
      <c r="BB194" s="378"/>
      <c r="BC194" s="378"/>
      <c r="BD194" s="378"/>
      <c r="BE194" s="378"/>
      <c r="BF194" s="378"/>
      <c r="BG194" s="378"/>
      <c r="BH194" s="378"/>
      <c r="BI194" s="378"/>
      <c r="BJ194" s="378"/>
      <c r="BK194" s="378"/>
      <c r="BL194" s="378"/>
      <c r="BM194" s="378"/>
      <c r="BN194" s="378"/>
      <c r="BO194" s="378"/>
      <c r="BP194" s="378"/>
      <c r="BQ194" s="378"/>
      <c r="BR194" s="378"/>
      <c r="BS194" s="378"/>
      <c r="BT194" s="378"/>
      <c r="BU194" s="378"/>
      <c r="BV194" s="378"/>
      <c r="BW194" s="378"/>
      <c r="BX194" s="378"/>
      <c r="BY194" s="378"/>
      <c r="BZ194" s="378"/>
      <c r="CA194" s="378"/>
      <c r="CB194" s="378"/>
      <c r="CC194" s="378"/>
      <c r="CD194" s="378"/>
      <c r="CE194" s="378"/>
      <c r="CF194" s="378"/>
      <c r="CG194" s="378"/>
      <c r="CH194" s="378"/>
      <c r="CI194" s="378"/>
      <c r="CJ194" s="378"/>
      <c r="CK194" s="378"/>
      <c r="CL194" s="378"/>
      <c r="CM194" s="378"/>
      <c r="CN194" s="378"/>
      <c r="CO194" s="378"/>
      <c r="CP194" s="378"/>
      <c r="CQ194" s="378"/>
      <c r="CR194" s="378"/>
      <c r="CS194" s="378"/>
      <c r="CT194" s="378"/>
    </row>
    <row r="195" spans="1:98" x14ac:dyDescent="0.25">
      <c r="A195" s="378"/>
      <c r="B195" s="378"/>
      <c r="C195" s="378"/>
      <c r="D195" s="378"/>
      <c r="E195" s="378"/>
      <c r="F195" s="378"/>
      <c r="G195" s="378"/>
      <c r="H195" s="378"/>
      <c r="I195" s="378"/>
      <c r="J195" s="378"/>
      <c r="K195" s="378"/>
      <c r="L195" s="378"/>
      <c r="M195" s="378"/>
      <c r="N195" s="378"/>
      <c r="O195" s="378"/>
      <c r="P195" s="378"/>
      <c r="Q195" s="378"/>
      <c r="R195" s="378"/>
      <c r="S195" s="378"/>
      <c r="T195" s="378"/>
      <c r="U195" s="378"/>
      <c r="V195" s="378"/>
      <c r="W195" s="378"/>
      <c r="X195" s="378"/>
      <c r="Y195" s="378"/>
      <c r="Z195" s="378"/>
      <c r="AA195" s="378"/>
      <c r="AB195" s="378"/>
      <c r="AC195" s="378"/>
      <c r="AD195" s="378"/>
      <c r="AE195" s="378"/>
      <c r="AF195" s="378"/>
      <c r="AG195" s="378"/>
      <c r="AH195" s="378"/>
      <c r="AI195" s="378"/>
      <c r="AJ195" s="378"/>
      <c r="AK195" s="378"/>
      <c r="AL195" s="378"/>
      <c r="AM195" s="378"/>
      <c r="AN195" s="378"/>
      <c r="AO195" s="378"/>
      <c r="AP195" s="378"/>
      <c r="AQ195" s="378"/>
      <c r="AR195" s="378"/>
      <c r="AS195" s="378"/>
      <c r="AT195" s="378"/>
      <c r="AU195" s="378"/>
      <c r="AV195" s="378"/>
      <c r="AW195" s="378"/>
      <c r="AX195" s="378"/>
      <c r="AY195" s="378"/>
      <c r="AZ195" s="378"/>
      <c r="BA195" s="378"/>
      <c r="BB195" s="378"/>
      <c r="BC195" s="378"/>
      <c r="BD195" s="378"/>
      <c r="BE195" s="378"/>
      <c r="BF195" s="378"/>
      <c r="BG195" s="378"/>
      <c r="BH195" s="378"/>
      <c r="BI195" s="378"/>
      <c r="BJ195" s="378"/>
      <c r="BK195" s="378"/>
      <c r="BL195" s="378"/>
      <c r="BM195" s="378"/>
      <c r="BN195" s="378"/>
      <c r="BO195" s="378"/>
      <c r="BP195" s="378"/>
      <c r="BQ195" s="378"/>
      <c r="BR195" s="378"/>
      <c r="BS195" s="378"/>
      <c r="BT195" s="378"/>
      <c r="BU195" s="378"/>
      <c r="BV195" s="378"/>
      <c r="BW195" s="378"/>
      <c r="BX195" s="378"/>
      <c r="BY195" s="378"/>
      <c r="BZ195" s="378"/>
      <c r="CA195" s="378"/>
      <c r="CB195" s="378"/>
      <c r="CC195" s="378"/>
      <c r="CD195" s="378"/>
      <c r="CE195" s="378"/>
      <c r="CF195" s="378"/>
      <c r="CG195" s="378"/>
      <c r="CH195" s="378"/>
      <c r="CI195" s="378"/>
      <c r="CJ195" s="378"/>
      <c r="CK195" s="378"/>
      <c r="CL195" s="378"/>
      <c r="CM195" s="378"/>
      <c r="CN195" s="378"/>
      <c r="CO195" s="378"/>
      <c r="CP195" s="378"/>
      <c r="CQ195" s="378"/>
      <c r="CR195" s="378"/>
      <c r="CS195" s="378"/>
      <c r="CT195" s="378"/>
    </row>
    <row r="196" spans="1:98" x14ac:dyDescent="0.25">
      <c r="A196" s="378"/>
      <c r="B196" s="378"/>
      <c r="C196" s="378"/>
      <c r="D196" s="378"/>
      <c r="E196" s="378"/>
      <c r="F196" s="378"/>
      <c r="G196" s="378"/>
      <c r="H196" s="378"/>
      <c r="I196" s="378"/>
      <c r="J196" s="378"/>
      <c r="K196" s="378"/>
      <c r="L196" s="378"/>
      <c r="M196" s="378"/>
      <c r="N196" s="378"/>
      <c r="O196" s="378"/>
      <c r="P196" s="378"/>
      <c r="Q196" s="378"/>
      <c r="R196" s="378"/>
      <c r="S196" s="378"/>
      <c r="T196" s="378"/>
      <c r="U196" s="378"/>
      <c r="V196" s="378"/>
      <c r="W196" s="378"/>
      <c r="X196" s="378"/>
      <c r="Y196" s="378"/>
      <c r="Z196" s="378"/>
      <c r="AA196" s="378"/>
      <c r="AB196" s="378"/>
      <c r="AC196" s="378"/>
      <c r="AD196" s="378"/>
      <c r="AE196" s="378"/>
      <c r="AF196" s="378"/>
      <c r="AG196" s="378"/>
      <c r="AH196" s="378"/>
      <c r="AI196" s="378"/>
      <c r="AJ196" s="378"/>
      <c r="AK196" s="378"/>
      <c r="AL196" s="378"/>
      <c r="AM196" s="378"/>
      <c r="AN196" s="378"/>
      <c r="AO196" s="378"/>
      <c r="AP196" s="378"/>
      <c r="AQ196" s="378"/>
      <c r="AR196" s="378"/>
      <c r="AS196" s="378"/>
      <c r="AT196" s="378"/>
      <c r="AU196" s="378"/>
      <c r="AV196" s="378"/>
      <c r="AW196" s="378"/>
      <c r="AX196" s="378"/>
      <c r="AY196" s="378"/>
      <c r="AZ196" s="378"/>
      <c r="BA196" s="378"/>
      <c r="BB196" s="378"/>
      <c r="BC196" s="378"/>
      <c r="BD196" s="378"/>
      <c r="BE196" s="378"/>
      <c r="BF196" s="378"/>
      <c r="BG196" s="378"/>
      <c r="BH196" s="378"/>
      <c r="BI196" s="378"/>
      <c r="BJ196" s="378"/>
      <c r="BK196" s="378"/>
      <c r="BL196" s="378"/>
      <c r="BM196" s="378"/>
      <c r="BN196" s="378"/>
      <c r="BO196" s="378"/>
      <c r="BP196" s="378"/>
      <c r="BQ196" s="378"/>
      <c r="BR196" s="378"/>
      <c r="BS196" s="378"/>
      <c r="BT196" s="378"/>
      <c r="BU196" s="378"/>
      <c r="BV196" s="378"/>
      <c r="BW196" s="378"/>
      <c r="BX196" s="378"/>
      <c r="BY196" s="378"/>
      <c r="BZ196" s="378"/>
      <c r="CA196" s="378"/>
      <c r="CB196" s="378"/>
      <c r="CC196" s="378"/>
      <c r="CD196" s="378"/>
      <c r="CE196" s="378"/>
      <c r="CF196" s="378"/>
      <c r="CG196" s="378"/>
      <c r="CH196" s="378"/>
      <c r="CI196" s="378"/>
      <c r="CJ196" s="378"/>
      <c r="CK196" s="378"/>
      <c r="CL196" s="378"/>
      <c r="CM196" s="378"/>
      <c r="CN196" s="378"/>
      <c r="CO196" s="378"/>
      <c r="CP196" s="378"/>
      <c r="CQ196" s="378"/>
      <c r="CR196" s="378"/>
      <c r="CS196" s="378"/>
      <c r="CT196" s="378"/>
    </row>
    <row r="197" spans="1:98" x14ac:dyDescent="0.25">
      <c r="A197" s="378"/>
      <c r="B197" s="378"/>
      <c r="C197" s="378"/>
      <c r="D197" s="378"/>
      <c r="E197" s="378"/>
      <c r="F197" s="378"/>
      <c r="G197" s="378"/>
      <c r="H197" s="378"/>
      <c r="I197" s="378"/>
      <c r="J197" s="378"/>
      <c r="K197" s="378"/>
      <c r="L197" s="378"/>
      <c r="M197" s="378"/>
      <c r="N197" s="378"/>
      <c r="O197" s="378"/>
      <c r="P197" s="378"/>
      <c r="Q197" s="378"/>
      <c r="R197" s="378"/>
      <c r="S197" s="378"/>
      <c r="T197" s="378"/>
      <c r="U197" s="378"/>
      <c r="V197" s="378"/>
      <c r="W197" s="378"/>
      <c r="X197" s="378"/>
      <c r="Y197" s="378"/>
      <c r="Z197" s="378"/>
      <c r="AA197" s="378"/>
      <c r="AB197" s="378"/>
      <c r="AC197" s="378"/>
      <c r="AD197" s="378"/>
      <c r="AE197" s="378"/>
      <c r="AF197" s="378"/>
      <c r="AG197" s="378"/>
      <c r="AH197" s="378"/>
      <c r="AI197" s="378"/>
      <c r="AJ197" s="378"/>
      <c r="AK197" s="378"/>
      <c r="AL197" s="378"/>
      <c r="AM197" s="378"/>
      <c r="AN197" s="378"/>
      <c r="AO197" s="378"/>
      <c r="AP197" s="378"/>
      <c r="AQ197" s="378"/>
      <c r="AR197" s="378"/>
      <c r="AS197" s="378"/>
      <c r="AT197" s="378"/>
      <c r="AU197" s="378"/>
      <c r="AV197" s="378"/>
      <c r="AW197" s="378"/>
      <c r="AX197" s="378"/>
      <c r="AY197" s="378"/>
      <c r="AZ197" s="378"/>
      <c r="BA197" s="378"/>
      <c r="BB197" s="378"/>
      <c r="BC197" s="378"/>
      <c r="BD197" s="378"/>
      <c r="BE197" s="378"/>
      <c r="BF197" s="378"/>
      <c r="BG197" s="378"/>
      <c r="BH197" s="378"/>
      <c r="BI197" s="378"/>
      <c r="BJ197" s="378"/>
      <c r="BK197" s="378"/>
      <c r="BL197" s="378"/>
      <c r="BM197" s="378"/>
      <c r="BN197" s="378"/>
      <c r="BO197" s="378"/>
      <c r="BP197" s="378"/>
      <c r="BQ197" s="378"/>
      <c r="BR197" s="378"/>
      <c r="BS197" s="378"/>
      <c r="BT197" s="378"/>
      <c r="BU197" s="378"/>
      <c r="BV197" s="378"/>
      <c r="BW197" s="378"/>
      <c r="BX197" s="378"/>
      <c r="BY197" s="378"/>
      <c r="BZ197" s="378"/>
      <c r="CA197" s="378"/>
      <c r="CB197" s="378"/>
      <c r="CC197" s="378"/>
      <c r="CD197" s="378"/>
      <c r="CE197" s="378"/>
      <c r="CF197" s="378"/>
      <c r="CG197" s="378"/>
      <c r="CH197" s="378"/>
      <c r="CI197" s="378"/>
      <c r="CJ197" s="378"/>
      <c r="CK197" s="378"/>
      <c r="CL197" s="378"/>
      <c r="CM197" s="378"/>
      <c r="CN197" s="378"/>
      <c r="CO197" s="378"/>
      <c r="CP197" s="378"/>
      <c r="CQ197" s="378"/>
      <c r="CR197" s="378"/>
      <c r="CS197" s="378"/>
      <c r="CT197" s="378"/>
    </row>
    <row r="198" spans="1:98" x14ac:dyDescent="0.25">
      <c r="A198" s="378"/>
      <c r="B198" s="378"/>
      <c r="C198" s="378"/>
      <c r="D198" s="378"/>
      <c r="E198" s="378"/>
      <c r="F198" s="378"/>
      <c r="G198" s="378"/>
      <c r="H198" s="378"/>
      <c r="I198" s="378"/>
      <c r="J198" s="378"/>
      <c r="K198" s="378"/>
      <c r="L198" s="378"/>
      <c r="M198" s="378"/>
      <c r="N198" s="378"/>
      <c r="O198" s="378"/>
      <c r="P198" s="378"/>
      <c r="Q198" s="378"/>
      <c r="R198" s="378"/>
      <c r="S198" s="378"/>
      <c r="T198" s="378"/>
      <c r="U198" s="378"/>
      <c r="V198" s="378"/>
      <c r="W198" s="378"/>
      <c r="X198" s="378"/>
      <c r="Y198" s="378"/>
      <c r="Z198" s="378"/>
      <c r="AA198" s="378"/>
      <c r="AB198" s="378"/>
      <c r="AC198" s="378"/>
      <c r="AD198" s="378"/>
      <c r="AE198" s="378"/>
      <c r="AF198" s="378"/>
      <c r="AG198" s="378"/>
      <c r="AH198" s="378"/>
      <c r="AI198" s="378"/>
      <c r="AJ198" s="378"/>
      <c r="AK198" s="378"/>
      <c r="AL198" s="378"/>
      <c r="AM198" s="378"/>
      <c r="AN198" s="378"/>
      <c r="AO198" s="378"/>
      <c r="AP198" s="378"/>
      <c r="AQ198" s="378"/>
      <c r="AR198" s="378"/>
      <c r="AS198" s="378"/>
      <c r="AT198" s="378"/>
      <c r="AU198" s="378"/>
      <c r="AV198" s="378"/>
      <c r="AW198" s="378"/>
      <c r="AX198" s="378"/>
      <c r="AY198" s="378"/>
      <c r="AZ198" s="378"/>
      <c r="BA198" s="378"/>
      <c r="BB198" s="378"/>
      <c r="BC198" s="378"/>
      <c r="BD198" s="378"/>
      <c r="BE198" s="378"/>
      <c r="BF198" s="378"/>
      <c r="BG198" s="378"/>
      <c r="BH198" s="378"/>
      <c r="BI198" s="378"/>
      <c r="BJ198" s="378"/>
      <c r="BK198" s="378"/>
      <c r="BL198" s="378"/>
      <c r="BM198" s="378"/>
      <c r="BN198" s="378"/>
      <c r="BO198" s="378"/>
      <c r="BP198" s="378"/>
      <c r="BQ198" s="378"/>
      <c r="BR198" s="378"/>
      <c r="BS198" s="378"/>
      <c r="BT198" s="378"/>
      <c r="BU198" s="378"/>
      <c r="BV198" s="378"/>
      <c r="BW198" s="378"/>
      <c r="BX198" s="378"/>
      <c r="BY198" s="378"/>
      <c r="BZ198" s="378"/>
      <c r="CA198" s="378"/>
      <c r="CB198" s="378"/>
      <c r="CC198" s="378"/>
      <c r="CD198" s="378"/>
      <c r="CE198" s="378"/>
      <c r="CF198" s="378"/>
      <c r="CG198" s="378"/>
      <c r="CH198" s="378"/>
      <c r="CI198" s="378"/>
      <c r="CJ198" s="378"/>
      <c r="CK198" s="378"/>
      <c r="CL198" s="378"/>
      <c r="CM198" s="378"/>
      <c r="CN198" s="378"/>
      <c r="CO198" s="378"/>
      <c r="CP198" s="378"/>
      <c r="CQ198" s="378"/>
      <c r="CR198" s="378"/>
      <c r="CS198" s="378"/>
      <c r="CT198" s="378"/>
    </row>
    <row r="199" spans="1:98" x14ac:dyDescent="0.25">
      <c r="A199" s="378"/>
      <c r="B199" s="378"/>
      <c r="C199" s="378"/>
      <c r="D199" s="378"/>
      <c r="E199" s="378"/>
      <c r="F199" s="378"/>
      <c r="G199" s="378"/>
      <c r="H199" s="378"/>
      <c r="I199" s="378"/>
      <c r="J199" s="378"/>
      <c r="K199" s="378"/>
      <c r="L199" s="378"/>
      <c r="M199" s="378"/>
      <c r="N199" s="378"/>
      <c r="O199" s="378"/>
      <c r="P199" s="378"/>
      <c r="Q199" s="378"/>
      <c r="R199" s="378"/>
      <c r="S199" s="378"/>
      <c r="T199" s="378"/>
      <c r="U199" s="378"/>
      <c r="V199" s="378"/>
      <c r="W199" s="378"/>
      <c r="X199" s="378"/>
      <c r="Y199" s="378"/>
      <c r="Z199" s="378"/>
      <c r="AA199" s="378"/>
      <c r="AB199" s="378"/>
      <c r="AC199" s="378"/>
      <c r="AD199" s="378"/>
      <c r="AE199" s="378"/>
      <c r="AF199" s="378"/>
      <c r="AG199" s="378"/>
      <c r="AH199" s="378"/>
      <c r="AI199" s="378"/>
      <c r="AJ199" s="378"/>
      <c r="AK199" s="378"/>
      <c r="AL199" s="378"/>
      <c r="AM199" s="378"/>
      <c r="AN199" s="378"/>
      <c r="AO199" s="378"/>
      <c r="AP199" s="378"/>
      <c r="AQ199" s="378"/>
      <c r="AR199" s="378"/>
      <c r="AS199" s="378"/>
      <c r="AT199" s="378"/>
      <c r="AU199" s="378"/>
      <c r="AV199" s="378"/>
      <c r="AW199" s="378"/>
      <c r="AX199" s="378"/>
      <c r="AY199" s="378"/>
      <c r="AZ199" s="378"/>
      <c r="BA199" s="378"/>
      <c r="BB199" s="378"/>
      <c r="BC199" s="378"/>
      <c r="BD199" s="378"/>
      <c r="BE199" s="378"/>
      <c r="BF199" s="378"/>
      <c r="BG199" s="378"/>
      <c r="BH199" s="378"/>
      <c r="BI199" s="378"/>
      <c r="BJ199" s="378"/>
      <c r="BK199" s="378"/>
      <c r="BL199" s="378"/>
      <c r="BM199" s="378"/>
      <c r="BN199" s="378"/>
      <c r="BO199" s="378"/>
      <c r="BP199" s="378"/>
      <c r="BQ199" s="378"/>
      <c r="BR199" s="378"/>
      <c r="BS199" s="378"/>
      <c r="BT199" s="378"/>
      <c r="BU199" s="378"/>
      <c r="BV199" s="378"/>
      <c r="BW199" s="378"/>
      <c r="BX199" s="378"/>
      <c r="BY199" s="378"/>
      <c r="BZ199" s="378"/>
      <c r="CA199" s="378"/>
      <c r="CB199" s="378"/>
      <c r="CC199" s="378"/>
      <c r="CD199" s="378"/>
      <c r="CE199" s="378"/>
      <c r="CF199" s="378"/>
      <c r="CG199" s="378"/>
      <c r="CH199" s="378"/>
      <c r="CI199" s="378"/>
      <c r="CJ199" s="378"/>
      <c r="CK199" s="378"/>
      <c r="CL199" s="378"/>
      <c r="CM199" s="378"/>
      <c r="CN199" s="378"/>
      <c r="CO199" s="378"/>
      <c r="CP199" s="378"/>
      <c r="CQ199" s="378"/>
      <c r="CR199" s="378"/>
      <c r="CS199" s="378"/>
      <c r="CT199" s="378"/>
    </row>
    <row r="200" spans="1:98" x14ac:dyDescent="0.25">
      <c r="A200" s="378"/>
      <c r="B200" s="378"/>
      <c r="C200" s="378"/>
      <c r="D200" s="378"/>
      <c r="E200" s="378"/>
      <c r="F200" s="378"/>
      <c r="G200" s="378"/>
      <c r="H200" s="378"/>
      <c r="I200" s="378"/>
      <c r="J200" s="378"/>
      <c r="K200" s="378"/>
      <c r="L200" s="378"/>
      <c r="M200" s="378"/>
      <c r="N200" s="378"/>
      <c r="O200" s="378"/>
      <c r="P200" s="378"/>
      <c r="Q200" s="378"/>
      <c r="R200" s="378"/>
      <c r="S200" s="378"/>
      <c r="T200" s="378"/>
      <c r="U200" s="378"/>
      <c r="V200" s="378"/>
      <c r="W200" s="378"/>
      <c r="X200" s="378"/>
      <c r="Y200" s="378"/>
      <c r="Z200" s="378"/>
      <c r="AA200" s="378"/>
      <c r="AB200" s="378"/>
      <c r="AC200" s="378"/>
      <c r="AD200" s="378"/>
      <c r="AE200" s="378"/>
      <c r="AF200" s="378"/>
      <c r="AG200" s="378"/>
      <c r="AH200" s="378"/>
      <c r="AI200" s="378"/>
      <c r="AJ200" s="378"/>
      <c r="AK200" s="378"/>
      <c r="AL200" s="378"/>
      <c r="AM200" s="378"/>
      <c r="AN200" s="378"/>
      <c r="AO200" s="378"/>
      <c r="AP200" s="378"/>
      <c r="AQ200" s="378"/>
      <c r="AR200" s="378"/>
      <c r="AS200" s="378"/>
      <c r="AT200" s="378"/>
      <c r="AU200" s="378"/>
      <c r="AV200" s="378"/>
      <c r="AW200" s="378"/>
      <c r="AX200" s="378"/>
      <c r="AY200" s="378"/>
      <c r="AZ200" s="378"/>
      <c r="BA200" s="378"/>
      <c r="BB200" s="378"/>
      <c r="BC200" s="378"/>
      <c r="BD200" s="378"/>
      <c r="BE200" s="378"/>
      <c r="BF200" s="378"/>
      <c r="BG200" s="378"/>
      <c r="BH200" s="378"/>
      <c r="BI200" s="378"/>
      <c r="BJ200" s="378"/>
      <c r="BK200" s="378"/>
      <c r="BL200" s="378"/>
      <c r="BM200" s="378"/>
      <c r="BN200" s="378"/>
      <c r="BO200" s="378"/>
      <c r="BP200" s="378"/>
      <c r="BQ200" s="378"/>
      <c r="BR200" s="378"/>
      <c r="BS200" s="378"/>
      <c r="BT200" s="378"/>
      <c r="BU200" s="378"/>
      <c r="BV200" s="378"/>
      <c r="BW200" s="378"/>
      <c r="BX200" s="378"/>
      <c r="BY200" s="378"/>
      <c r="BZ200" s="378"/>
      <c r="CA200" s="378"/>
      <c r="CB200" s="378"/>
      <c r="CC200" s="378"/>
      <c r="CD200" s="378"/>
      <c r="CE200" s="378"/>
      <c r="CF200" s="378"/>
      <c r="CG200" s="378"/>
      <c r="CH200" s="378"/>
      <c r="CI200" s="378"/>
      <c r="CJ200" s="378"/>
      <c r="CK200" s="378"/>
      <c r="CL200" s="378"/>
      <c r="CM200" s="378"/>
      <c r="CN200" s="378"/>
      <c r="CO200" s="378"/>
      <c r="CP200" s="378"/>
      <c r="CQ200" s="378"/>
      <c r="CR200" s="378"/>
      <c r="CS200" s="378"/>
      <c r="CT200" s="378"/>
    </row>
    <row r="201" spans="1:98" x14ac:dyDescent="0.25">
      <c r="A201" s="378"/>
      <c r="B201" s="378"/>
      <c r="C201" s="378"/>
      <c r="D201" s="378"/>
      <c r="E201" s="378"/>
      <c r="F201" s="378"/>
      <c r="G201" s="378"/>
      <c r="H201" s="378"/>
      <c r="I201" s="378"/>
      <c r="J201" s="378"/>
      <c r="K201" s="378"/>
      <c r="L201" s="378"/>
      <c r="M201" s="378"/>
      <c r="N201" s="378"/>
      <c r="O201" s="378"/>
      <c r="P201" s="378"/>
      <c r="Q201" s="378"/>
      <c r="R201" s="378"/>
      <c r="S201" s="378"/>
      <c r="T201" s="378"/>
      <c r="U201" s="378"/>
      <c r="V201" s="378"/>
      <c r="W201" s="378"/>
      <c r="X201" s="378"/>
      <c r="Y201" s="378"/>
      <c r="Z201" s="378"/>
      <c r="AA201" s="378"/>
      <c r="AB201" s="378"/>
      <c r="AC201" s="378"/>
      <c r="AD201" s="378"/>
      <c r="AE201" s="378"/>
      <c r="AF201" s="378"/>
      <c r="AG201" s="378"/>
      <c r="AH201" s="378"/>
      <c r="AI201" s="378"/>
      <c r="AJ201" s="378"/>
      <c r="AK201" s="378"/>
      <c r="AL201" s="378"/>
      <c r="AM201" s="378"/>
      <c r="AN201" s="378"/>
      <c r="AO201" s="378"/>
      <c r="AP201" s="378"/>
      <c r="AQ201" s="378"/>
      <c r="AR201" s="378"/>
      <c r="AS201" s="378"/>
      <c r="AT201" s="378"/>
      <c r="AU201" s="378"/>
      <c r="AV201" s="378"/>
      <c r="AW201" s="378"/>
      <c r="AX201" s="378"/>
      <c r="AY201" s="378"/>
      <c r="AZ201" s="378"/>
      <c r="BA201" s="378"/>
      <c r="BB201" s="378"/>
      <c r="BC201" s="378"/>
      <c r="BD201" s="378"/>
      <c r="BE201" s="378"/>
      <c r="BF201" s="378"/>
      <c r="BG201" s="378"/>
      <c r="BH201" s="378"/>
      <c r="BI201" s="378"/>
      <c r="BJ201" s="378"/>
      <c r="BK201" s="378"/>
      <c r="BL201" s="378"/>
      <c r="BM201" s="378"/>
      <c r="BN201" s="378"/>
      <c r="BO201" s="378"/>
      <c r="BP201" s="378"/>
      <c r="BQ201" s="378"/>
      <c r="BR201" s="378"/>
      <c r="BS201" s="378"/>
      <c r="BT201" s="378"/>
      <c r="BU201" s="378"/>
      <c r="BV201" s="378"/>
      <c r="BW201" s="378"/>
      <c r="BX201" s="378"/>
      <c r="BY201" s="378"/>
      <c r="BZ201" s="378"/>
      <c r="CA201" s="378"/>
      <c r="CB201" s="378"/>
      <c r="CC201" s="378"/>
      <c r="CD201" s="378"/>
      <c r="CE201" s="378"/>
      <c r="CF201" s="378"/>
      <c r="CG201" s="378"/>
      <c r="CH201" s="378"/>
      <c r="CI201" s="378"/>
      <c r="CJ201" s="378"/>
      <c r="CK201" s="378"/>
      <c r="CL201" s="378"/>
      <c r="CM201" s="378"/>
      <c r="CN201" s="378"/>
      <c r="CO201" s="378"/>
      <c r="CP201" s="378"/>
      <c r="CQ201" s="378"/>
      <c r="CR201" s="378"/>
      <c r="CS201" s="378"/>
      <c r="CT201" s="378"/>
    </row>
    <row r="202" spans="1:98" x14ac:dyDescent="0.25">
      <c r="A202" s="378"/>
      <c r="B202" s="378"/>
      <c r="C202" s="378"/>
      <c r="D202" s="378"/>
      <c r="E202" s="378"/>
      <c r="F202" s="378"/>
      <c r="G202" s="378"/>
      <c r="H202" s="378"/>
      <c r="I202" s="378"/>
      <c r="J202" s="378"/>
      <c r="K202" s="378"/>
      <c r="L202" s="378"/>
      <c r="M202" s="378"/>
      <c r="N202" s="378"/>
      <c r="O202" s="378"/>
      <c r="P202" s="378"/>
      <c r="Q202" s="378"/>
      <c r="R202" s="378"/>
      <c r="S202" s="378"/>
      <c r="T202" s="378"/>
      <c r="U202" s="378"/>
      <c r="V202" s="378"/>
      <c r="W202" s="378"/>
      <c r="X202" s="378"/>
      <c r="Y202" s="378"/>
      <c r="Z202" s="378"/>
      <c r="AA202" s="378"/>
      <c r="AB202" s="378"/>
      <c r="AC202" s="378"/>
      <c r="AD202" s="378"/>
      <c r="AE202" s="378"/>
      <c r="AF202" s="378"/>
      <c r="AG202" s="378"/>
      <c r="AH202" s="378"/>
      <c r="AI202" s="378"/>
      <c r="AJ202" s="378"/>
      <c r="AK202" s="378"/>
      <c r="AL202" s="378"/>
      <c r="AM202" s="378"/>
      <c r="AN202" s="378"/>
      <c r="AO202" s="378"/>
      <c r="AP202" s="378"/>
      <c r="AQ202" s="378"/>
      <c r="AR202" s="378"/>
      <c r="AS202" s="378"/>
      <c r="AT202" s="378"/>
      <c r="AU202" s="378"/>
      <c r="AV202" s="378"/>
      <c r="AW202" s="378"/>
      <c r="AX202" s="378"/>
      <c r="AY202" s="378"/>
      <c r="AZ202" s="378"/>
      <c r="BA202" s="378"/>
      <c r="BB202" s="378"/>
      <c r="BC202" s="378"/>
      <c r="BD202" s="378"/>
      <c r="BE202" s="378"/>
      <c r="BF202" s="378"/>
      <c r="BG202" s="378"/>
      <c r="BH202" s="378"/>
      <c r="BI202" s="378"/>
      <c r="BJ202" s="378"/>
      <c r="BK202" s="378"/>
      <c r="BL202" s="378"/>
      <c r="BM202" s="378"/>
      <c r="BN202" s="378"/>
      <c r="BO202" s="378"/>
      <c r="BP202" s="378"/>
      <c r="BQ202" s="378"/>
      <c r="BR202" s="378"/>
      <c r="BS202" s="378"/>
      <c r="BT202" s="378"/>
      <c r="BU202" s="378"/>
      <c r="BV202" s="378"/>
      <c r="BW202" s="378"/>
      <c r="BX202" s="378"/>
      <c r="BY202" s="378"/>
      <c r="BZ202" s="378"/>
      <c r="CA202" s="378"/>
      <c r="CB202" s="378"/>
      <c r="CC202" s="378"/>
      <c r="CD202" s="378"/>
      <c r="CE202" s="378"/>
      <c r="CF202" s="378"/>
      <c r="CG202" s="378"/>
      <c r="CH202" s="378"/>
      <c r="CI202" s="378"/>
      <c r="CJ202" s="378"/>
      <c r="CK202" s="378"/>
      <c r="CL202" s="378"/>
      <c r="CM202" s="378"/>
      <c r="CN202" s="378"/>
      <c r="CO202" s="378"/>
      <c r="CP202" s="378"/>
      <c r="CQ202" s="378"/>
      <c r="CR202" s="378"/>
      <c r="CS202" s="378"/>
      <c r="CT202" s="378"/>
    </row>
    <row r="203" spans="1:98" x14ac:dyDescent="0.25">
      <c r="A203" s="378"/>
      <c r="B203" s="378"/>
      <c r="C203" s="378"/>
      <c r="D203" s="378"/>
      <c r="E203" s="378"/>
      <c r="F203" s="378"/>
      <c r="G203" s="378"/>
      <c r="H203" s="378"/>
      <c r="I203" s="378"/>
      <c r="J203" s="378"/>
      <c r="K203" s="378"/>
      <c r="L203" s="378"/>
      <c r="M203" s="378"/>
      <c r="N203" s="378"/>
      <c r="O203" s="378"/>
      <c r="P203" s="378"/>
      <c r="Q203" s="378"/>
      <c r="R203" s="378"/>
      <c r="S203" s="378"/>
      <c r="T203" s="378"/>
      <c r="U203" s="378"/>
      <c r="V203" s="378"/>
      <c r="W203" s="378"/>
      <c r="X203" s="378"/>
      <c r="Y203" s="378"/>
      <c r="Z203" s="378"/>
      <c r="AA203" s="378"/>
      <c r="AB203" s="378"/>
      <c r="AC203" s="378"/>
      <c r="AD203" s="378"/>
      <c r="AE203" s="378"/>
      <c r="AF203" s="378"/>
      <c r="AG203" s="378"/>
      <c r="AH203" s="378"/>
      <c r="AI203" s="378"/>
      <c r="AJ203" s="378"/>
      <c r="AK203" s="378"/>
      <c r="AL203" s="378"/>
      <c r="AM203" s="378"/>
      <c r="AN203" s="378"/>
      <c r="AO203" s="378"/>
      <c r="AP203" s="378"/>
      <c r="AQ203" s="378"/>
      <c r="AR203" s="378"/>
      <c r="AS203" s="378"/>
      <c r="AT203" s="378"/>
      <c r="AU203" s="378"/>
      <c r="AV203" s="378"/>
      <c r="AW203" s="378"/>
      <c r="AX203" s="378"/>
      <c r="AY203" s="378"/>
      <c r="AZ203" s="378"/>
      <c r="BA203" s="378"/>
      <c r="BB203" s="378"/>
      <c r="BC203" s="378"/>
      <c r="BD203" s="378"/>
      <c r="BE203" s="378"/>
      <c r="BF203" s="378"/>
      <c r="BG203" s="378"/>
      <c r="BH203" s="378"/>
      <c r="BI203" s="378"/>
      <c r="BJ203" s="378"/>
      <c r="BK203" s="378"/>
      <c r="BL203" s="378"/>
      <c r="BM203" s="378"/>
      <c r="BN203" s="378"/>
      <c r="BO203" s="378"/>
      <c r="BP203" s="378"/>
      <c r="BQ203" s="378"/>
      <c r="BR203" s="378"/>
      <c r="BS203" s="378"/>
      <c r="BT203" s="378"/>
      <c r="BU203" s="378"/>
      <c r="BV203" s="378"/>
      <c r="BW203" s="378"/>
      <c r="BX203" s="378"/>
      <c r="BY203" s="378"/>
      <c r="BZ203" s="378"/>
      <c r="CA203" s="378"/>
      <c r="CB203" s="378"/>
      <c r="CC203" s="378"/>
      <c r="CD203" s="378"/>
      <c r="CE203" s="378"/>
      <c r="CF203" s="378"/>
      <c r="CG203" s="378"/>
      <c r="CH203" s="378"/>
      <c r="CI203" s="378"/>
      <c r="CJ203" s="378"/>
      <c r="CK203" s="378"/>
      <c r="CL203" s="378"/>
      <c r="CM203" s="378"/>
      <c r="CN203" s="378"/>
      <c r="CO203" s="378"/>
      <c r="CP203" s="378"/>
      <c r="CQ203" s="378"/>
      <c r="CR203" s="378"/>
      <c r="CS203" s="378"/>
      <c r="CT203" s="378"/>
    </row>
    <row r="204" spans="1:98" x14ac:dyDescent="0.25">
      <c r="A204" s="378"/>
      <c r="B204" s="378"/>
      <c r="C204" s="378"/>
      <c r="D204" s="378"/>
      <c r="E204" s="378"/>
      <c r="F204" s="378"/>
      <c r="G204" s="378"/>
      <c r="H204" s="378"/>
      <c r="I204" s="378"/>
      <c r="J204" s="378"/>
      <c r="K204" s="378"/>
      <c r="L204" s="378"/>
      <c r="M204" s="378"/>
      <c r="N204" s="378"/>
      <c r="O204" s="378"/>
      <c r="P204" s="378"/>
      <c r="Q204" s="378"/>
      <c r="R204" s="378"/>
      <c r="S204" s="378"/>
      <c r="T204" s="378"/>
      <c r="U204" s="378"/>
      <c r="V204" s="378"/>
      <c r="W204" s="378"/>
      <c r="X204" s="378"/>
      <c r="Y204" s="378"/>
      <c r="Z204" s="378"/>
      <c r="AA204" s="378"/>
      <c r="AB204" s="378"/>
      <c r="AC204" s="378"/>
      <c r="AD204" s="378"/>
      <c r="AE204" s="378"/>
      <c r="AF204" s="378"/>
      <c r="AG204" s="378"/>
      <c r="AH204" s="378"/>
      <c r="AI204" s="378"/>
      <c r="AJ204" s="378"/>
      <c r="AK204" s="378"/>
      <c r="AL204" s="378"/>
      <c r="AM204" s="378"/>
      <c r="AN204" s="378"/>
      <c r="AO204" s="378"/>
      <c r="AP204" s="378"/>
      <c r="AQ204" s="378"/>
      <c r="AR204" s="378"/>
      <c r="AS204" s="378"/>
      <c r="AT204" s="378"/>
      <c r="AU204" s="378"/>
      <c r="AV204" s="378"/>
      <c r="AW204" s="378"/>
      <c r="AX204" s="378"/>
      <c r="AY204" s="378"/>
      <c r="AZ204" s="378"/>
      <c r="BA204" s="378"/>
      <c r="BB204" s="378"/>
      <c r="BC204" s="378"/>
      <c r="BD204" s="378"/>
      <c r="BE204" s="378"/>
      <c r="BF204" s="378"/>
      <c r="BG204" s="378"/>
      <c r="BH204" s="378"/>
      <c r="BI204" s="378"/>
      <c r="BJ204" s="378"/>
      <c r="BK204" s="378"/>
      <c r="BL204" s="378"/>
      <c r="BM204" s="378"/>
      <c r="BN204" s="378"/>
      <c r="BO204" s="378"/>
      <c r="BP204" s="378"/>
      <c r="BQ204" s="378"/>
      <c r="BR204" s="378"/>
      <c r="BS204" s="378"/>
      <c r="BT204" s="378"/>
      <c r="BU204" s="378"/>
      <c r="BV204" s="378"/>
      <c r="BW204" s="378"/>
      <c r="BX204" s="378"/>
      <c r="BY204" s="378"/>
      <c r="BZ204" s="378"/>
      <c r="CA204" s="378"/>
      <c r="CB204" s="378"/>
      <c r="CC204" s="378"/>
      <c r="CD204" s="378"/>
      <c r="CE204" s="378"/>
      <c r="CF204" s="378"/>
      <c r="CG204" s="378"/>
      <c r="CH204" s="378"/>
      <c r="CI204" s="378"/>
      <c r="CJ204" s="378"/>
      <c r="CK204" s="378"/>
      <c r="CL204" s="378"/>
      <c r="CM204" s="378"/>
      <c r="CN204" s="378"/>
      <c r="CO204" s="378"/>
      <c r="CP204" s="378"/>
      <c r="CQ204" s="378"/>
      <c r="CR204" s="378"/>
      <c r="CS204" s="378"/>
      <c r="CT204" s="378"/>
    </row>
    <row r="205" spans="1:98" x14ac:dyDescent="0.25">
      <c r="A205" s="378"/>
      <c r="B205" s="378"/>
      <c r="C205" s="378"/>
      <c r="D205" s="378"/>
      <c r="E205" s="378"/>
      <c r="F205" s="378"/>
      <c r="G205" s="378"/>
      <c r="H205" s="378"/>
      <c r="I205" s="378"/>
      <c r="J205" s="378"/>
      <c r="K205" s="378"/>
      <c r="L205" s="378"/>
      <c r="M205" s="378"/>
      <c r="N205" s="378"/>
      <c r="O205" s="378"/>
      <c r="P205" s="378"/>
      <c r="Q205" s="378"/>
      <c r="R205" s="378"/>
      <c r="S205" s="378"/>
      <c r="T205" s="378"/>
      <c r="U205" s="378"/>
      <c r="V205" s="378"/>
      <c r="W205" s="378"/>
      <c r="X205" s="378"/>
      <c r="Y205" s="378"/>
      <c r="Z205" s="378"/>
      <c r="AA205" s="378"/>
      <c r="AB205" s="378"/>
      <c r="AC205" s="378"/>
      <c r="AD205" s="378"/>
      <c r="AE205" s="378"/>
      <c r="AF205" s="378"/>
      <c r="AG205" s="378"/>
      <c r="AH205" s="378"/>
      <c r="AI205" s="378"/>
      <c r="AJ205" s="378"/>
      <c r="AK205" s="378"/>
      <c r="AL205" s="378"/>
      <c r="AM205" s="378"/>
      <c r="AN205" s="378"/>
      <c r="AO205" s="378"/>
      <c r="AP205" s="378"/>
      <c r="AQ205" s="378"/>
      <c r="AR205" s="378"/>
      <c r="AS205" s="378"/>
      <c r="AT205" s="378"/>
      <c r="AU205" s="378"/>
      <c r="AV205" s="378"/>
      <c r="AW205" s="378"/>
      <c r="AX205" s="378"/>
      <c r="AY205" s="378"/>
      <c r="AZ205" s="378"/>
      <c r="BA205" s="378"/>
      <c r="BB205" s="378"/>
      <c r="BC205" s="378"/>
      <c r="BD205" s="378"/>
      <c r="BE205" s="378"/>
      <c r="BF205" s="378"/>
      <c r="BG205" s="378"/>
      <c r="BH205" s="378"/>
      <c r="BI205" s="378"/>
      <c r="BJ205" s="378"/>
      <c r="BK205" s="378"/>
      <c r="BL205" s="378"/>
      <c r="BM205" s="378"/>
      <c r="BN205" s="378"/>
      <c r="BO205" s="378"/>
      <c r="BP205" s="378"/>
      <c r="BQ205" s="378"/>
      <c r="BR205" s="378"/>
      <c r="BS205" s="378"/>
      <c r="BT205" s="378"/>
      <c r="BU205" s="378"/>
      <c r="BV205" s="378"/>
      <c r="BW205" s="378"/>
      <c r="BX205" s="378"/>
      <c r="BY205" s="378"/>
      <c r="BZ205" s="378"/>
      <c r="CA205" s="378"/>
      <c r="CB205" s="378"/>
      <c r="CC205" s="378"/>
      <c r="CD205" s="378"/>
      <c r="CE205" s="378"/>
      <c r="CF205" s="378"/>
      <c r="CG205" s="378"/>
      <c r="CH205" s="378"/>
      <c r="CI205" s="378"/>
      <c r="CJ205" s="378"/>
      <c r="CK205" s="378"/>
      <c r="CL205" s="378"/>
      <c r="CM205" s="378"/>
      <c r="CN205" s="378"/>
      <c r="CO205" s="378"/>
      <c r="CP205" s="378"/>
      <c r="CQ205" s="378"/>
      <c r="CR205" s="378"/>
      <c r="CS205" s="378"/>
      <c r="CT205" s="378"/>
    </row>
    <row r="206" spans="1:98" x14ac:dyDescent="0.25">
      <c r="A206" s="378"/>
      <c r="B206" s="378"/>
      <c r="C206" s="378"/>
      <c r="D206" s="378"/>
      <c r="E206" s="378"/>
      <c r="F206" s="378"/>
      <c r="G206" s="378"/>
      <c r="H206" s="378"/>
      <c r="I206" s="378"/>
      <c r="J206" s="378"/>
      <c r="K206" s="378"/>
      <c r="L206" s="378"/>
      <c r="M206" s="378"/>
      <c r="N206" s="378"/>
      <c r="O206" s="378"/>
      <c r="P206" s="378"/>
      <c r="Q206" s="378"/>
      <c r="R206" s="378"/>
      <c r="S206" s="378"/>
      <c r="T206" s="378"/>
      <c r="U206" s="378"/>
      <c r="V206" s="378"/>
      <c r="W206" s="378"/>
      <c r="X206" s="378"/>
      <c r="Y206" s="378"/>
      <c r="Z206" s="378"/>
      <c r="AA206" s="378"/>
      <c r="AB206" s="378"/>
      <c r="AC206" s="378"/>
      <c r="AD206" s="378"/>
      <c r="AE206" s="378"/>
      <c r="AF206" s="378"/>
      <c r="AG206" s="378"/>
      <c r="AH206" s="378"/>
      <c r="AI206" s="378"/>
      <c r="AJ206" s="378"/>
      <c r="AK206" s="378"/>
      <c r="AL206" s="378"/>
      <c r="AM206" s="378"/>
      <c r="AN206" s="378"/>
      <c r="AO206" s="378"/>
      <c r="AP206" s="378"/>
      <c r="AQ206" s="378"/>
      <c r="AR206" s="378"/>
      <c r="AS206" s="378"/>
      <c r="AT206" s="378"/>
      <c r="AU206" s="378"/>
      <c r="AV206" s="378"/>
      <c r="AW206" s="378"/>
      <c r="AX206" s="378"/>
      <c r="AY206" s="378"/>
      <c r="AZ206" s="378"/>
      <c r="BA206" s="378"/>
      <c r="BB206" s="378"/>
      <c r="BC206" s="378"/>
      <c r="BD206" s="378"/>
      <c r="BE206" s="378"/>
      <c r="BF206" s="378"/>
      <c r="BG206" s="378"/>
      <c r="BH206" s="378"/>
      <c r="BI206" s="378"/>
      <c r="BJ206" s="378"/>
      <c r="BK206" s="378"/>
      <c r="BL206" s="378"/>
      <c r="BM206" s="378"/>
      <c r="BN206" s="378"/>
      <c r="BO206" s="378"/>
      <c r="BP206" s="378"/>
      <c r="BQ206" s="378"/>
      <c r="BR206" s="378"/>
      <c r="BS206" s="378"/>
      <c r="BT206" s="378"/>
      <c r="BU206" s="378"/>
      <c r="BV206" s="378"/>
      <c r="BW206" s="378"/>
      <c r="BX206" s="378"/>
      <c r="BY206" s="378"/>
      <c r="BZ206" s="378"/>
      <c r="CA206" s="378"/>
      <c r="CB206" s="378"/>
      <c r="CC206" s="378"/>
      <c r="CD206" s="378"/>
      <c r="CE206" s="378"/>
      <c r="CF206" s="378"/>
      <c r="CG206" s="378"/>
      <c r="CH206" s="378"/>
      <c r="CI206" s="378"/>
      <c r="CJ206" s="378"/>
      <c r="CK206" s="378"/>
      <c r="CL206" s="378"/>
      <c r="CM206" s="378"/>
      <c r="CN206" s="378"/>
      <c r="CO206" s="378"/>
      <c r="CP206" s="378"/>
      <c r="CQ206" s="378"/>
      <c r="CR206" s="378"/>
      <c r="CS206" s="378"/>
      <c r="CT206" s="378"/>
    </row>
    <row r="207" spans="1:98" x14ac:dyDescent="0.25">
      <c r="A207" s="378"/>
      <c r="B207" s="378"/>
      <c r="C207" s="378"/>
      <c r="D207" s="378"/>
      <c r="E207" s="378"/>
      <c r="F207" s="378"/>
      <c r="G207" s="378"/>
      <c r="H207" s="378"/>
      <c r="I207" s="378"/>
      <c r="J207" s="378"/>
      <c r="K207" s="378"/>
      <c r="L207" s="378"/>
      <c r="M207" s="378"/>
      <c r="N207" s="378"/>
      <c r="O207" s="378"/>
      <c r="P207" s="378"/>
      <c r="Q207" s="378"/>
      <c r="R207" s="378"/>
      <c r="S207" s="378"/>
      <c r="T207" s="378"/>
      <c r="U207" s="378"/>
      <c r="V207" s="378"/>
      <c r="W207" s="378"/>
      <c r="X207" s="378"/>
      <c r="Y207" s="378"/>
      <c r="Z207" s="378"/>
      <c r="AA207" s="378"/>
      <c r="AB207" s="378"/>
      <c r="AC207" s="378"/>
      <c r="AD207" s="378"/>
      <c r="AE207" s="378"/>
      <c r="AF207" s="378"/>
      <c r="AG207" s="378"/>
      <c r="AH207" s="378"/>
      <c r="AI207" s="378"/>
      <c r="AJ207" s="378"/>
      <c r="AK207" s="378"/>
      <c r="AL207" s="378"/>
      <c r="AM207" s="378"/>
      <c r="AN207" s="378"/>
      <c r="AO207" s="378"/>
      <c r="AP207" s="378"/>
      <c r="AQ207" s="378"/>
      <c r="AR207" s="378"/>
      <c r="AS207" s="378"/>
      <c r="AT207" s="378"/>
      <c r="AU207" s="378"/>
      <c r="AV207" s="378"/>
      <c r="AW207" s="378"/>
      <c r="AX207" s="378"/>
      <c r="AY207" s="378"/>
      <c r="AZ207" s="378"/>
      <c r="BA207" s="378"/>
      <c r="BB207" s="378"/>
      <c r="BC207" s="378"/>
      <c r="BD207" s="378"/>
      <c r="BE207" s="378"/>
      <c r="BF207" s="378"/>
      <c r="BG207" s="378"/>
      <c r="BH207" s="378"/>
      <c r="BI207" s="378"/>
      <c r="BJ207" s="378"/>
      <c r="BK207" s="378"/>
      <c r="BL207" s="378"/>
      <c r="BM207" s="378"/>
      <c r="BN207" s="378"/>
      <c r="BO207" s="378"/>
      <c r="BP207" s="378"/>
      <c r="BQ207" s="378"/>
      <c r="BR207" s="378"/>
      <c r="BS207" s="378"/>
      <c r="BT207" s="378"/>
      <c r="BU207" s="378"/>
      <c r="BV207" s="378"/>
      <c r="BW207" s="378"/>
      <c r="BX207" s="378"/>
      <c r="BY207" s="378"/>
      <c r="BZ207" s="378"/>
      <c r="CA207" s="378"/>
      <c r="CB207" s="378"/>
      <c r="CC207" s="378"/>
      <c r="CD207" s="378"/>
      <c r="CE207" s="378"/>
      <c r="CF207" s="378"/>
      <c r="CG207" s="378"/>
      <c r="CH207" s="378"/>
      <c r="CI207" s="378"/>
      <c r="CJ207" s="378"/>
      <c r="CK207" s="378"/>
      <c r="CL207" s="378"/>
      <c r="CM207" s="378"/>
      <c r="CN207" s="378"/>
      <c r="CO207" s="378"/>
      <c r="CP207" s="378"/>
      <c r="CQ207" s="378"/>
      <c r="CR207" s="378"/>
      <c r="CS207" s="378"/>
      <c r="CT207" s="378"/>
    </row>
    <row r="208" spans="1:98" x14ac:dyDescent="0.25">
      <c r="A208" s="378"/>
      <c r="B208" s="378"/>
      <c r="C208" s="378"/>
      <c r="D208" s="378"/>
      <c r="E208" s="378"/>
      <c r="F208" s="378"/>
      <c r="G208" s="378"/>
      <c r="H208" s="378"/>
      <c r="I208" s="378"/>
      <c r="J208" s="378"/>
      <c r="K208" s="378"/>
      <c r="L208" s="378"/>
      <c r="M208" s="378"/>
      <c r="N208" s="378"/>
      <c r="O208" s="378"/>
      <c r="P208" s="378"/>
      <c r="Q208" s="378"/>
      <c r="R208" s="378"/>
      <c r="S208" s="378"/>
      <c r="T208" s="378"/>
      <c r="U208" s="378"/>
      <c r="V208" s="378"/>
      <c r="W208" s="378"/>
      <c r="X208" s="378"/>
      <c r="Y208" s="378"/>
      <c r="Z208" s="378"/>
      <c r="AA208" s="378"/>
      <c r="AB208" s="378"/>
      <c r="AC208" s="378"/>
      <c r="AD208" s="378"/>
      <c r="AE208" s="378"/>
      <c r="AF208" s="378"/>
      <c r="AG208" s="378"/>
      <c r="AH208" s="378"/>
      <c r="AI208" s="378"/>
      <c r="AJ208" s="378"/>
      <c r="AK208" s="378"/>
      <c r="AL208" s="378"/>
      <c r="AM208" s="378"/>
      <c r="AN208" s="378"/>
      <c r="AO208" s="378"/>
      <c r="AP208" s="378"/>
      <c r="AQ208" s="378"/>
      <c r="AR208" s="378"/>
      <c r="AS208" s="378"/>
      <c r="AT208" s="378"/>
      <c r="AU208" s="378"/>
      <c r="AV208" s="378"/>
      <c r="AW208" s="378"/>
      <c r="AX208" s="378"/>
      <c r="AY208" s="378"/>
      <c r="AZ208" s="378"/>
      <c r="BA208" s="378"/>
      <c r="BB208" s="378"/>
      <c r="BC208" s="378"/>
      <c r="BD208" s="378"/>
      <c r="BE208" s="378"/>
      <c r="BF208" s="378"/>
      <c r="BG208" s="378"/>
      <c r="BH208" s="378"/>
      <c r="BI208" s="378"/>
      <c r="BJ208" s="378"/>
      <c r="BK208" s="378"/>
      <c r="BL208" s="378"/>
      <c r="BM208" s="378"/>
      <c r="BN208" s="378"/>
      <c r="BO208" s="378"/>
      <c r="BP208" s="378"/>
      <c r="BQ208" s="378"/>
      <c r="BR208" s="378"/>
      <c r="BS208" s="378"/>
      <c r="BT208" s="378"/>
      <c r="BU208" s="378"/>
      <c r="BV208" s="378"/>
      <c r="BW208" s="378"/>
      <c r="BX208" s="378"/>
      <c r="BY208" s="378"/>
      <c r="BZ208" s="378"/>
      <c r="CA208" s="378"/>
      <c r="CB208" s="378"/>
      <c r="CC208" s="378"/>
      <c r="CD208" s="378"/>
      <c r="CE208" s="378"/>
      <c r="CF208" s="378"/>
      <c r="CG208" s="378"/>
      <c r="CH208" s="378"/>
      <c r="CI208" s="378"/>
      <c r="CJ208" s="378"/>
      <c r="CK208" s="378"/>
      <c r="CL208" s="378"/>
      <c r="CM208" s="378"/>
      <c r="CN208" s="378"/>
      <c r="CO208" s="378"/>
      <c r="CP208" s="378"/>
      <c r="CQ208" s="378"/>
      <c r="CR208" s="378"/>
      <c r="CS208" s="378"/>
      <c r="CT208" s="378"/>
    </row>
  </sheetData>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66"/>
  </sheetPr>
  <dimension ref="A1:AD160"/>
  <sheetViews>
    <sheetView zoomScale="115" zoomScaleNormal="115" zoomScalePageLayoutView="150" workbookViewId="0">
      <selection activeCell="D54" sqref="D54"/>
    </sheetView>
  </sheetViews>
  <sheetFormatPr defaultColWidth="0" defaultRowHeight="15" zeroHeight="1" x14ac:dyDescent="0.25"/>
  <cols>
    <col min="1" max="1" width="3.7109375" style="1" customWidth="1"/>
    <col min="2" max="2" width="14.7109375" style="1" customWidth="1"/>
    <col min="3" max="3" width="16.28515625" style="1" customWidth="1"/>
    <col min="4" max="4" width="15.42578125" style="1" customWidth="1"/>
    <col min="5" max="5" width="14.140625" style="1" customWidth="1"/>
    <col min="6" max="6" width="12.7109375" style="1" customWidth="1"/>
    <col min="7" max="7" width="21.28515625" style="1" customWidth="1"/>
    <col min="8" max="8" width="12.28515625" style="1" customWidth="1"/>
    <col min="9" max="9" width="10.7109375" style="1" customWidth="1"/>
    <col min="10" max="10" width="3" style="1" customWidth="1"/>
    <col min="11" max="11" width="14.7109375" style="1" hidden="1" customWidth="1"/>
    <col min="12" max="12" width="10.7109375" style="1" hidden="1" customWidth="1"/>
    <col min="13" max="13" width="8.42578125" style="1" hidden="1" customWidth="1"/>
    <col min="14" max="14" width="11.140625" style="1" hidden="1" customWidth="1"/>
    <col min="15" max="15" width="11.42578125" style="1" hidden="1" customWidth="1"/>
    <col min="16" max="17" width="10.7109375" style="1" hidden="1" customWidth="1"/>
    <col min="18" max="18" width="21.42578125" style="1" hidden="1" customWidth="1"/>
    <col min="19" max="30" width="0" style="1" hidden="1" customWidth="1"/>
    <col min="31" max="16384" width="10.7109375" style="1" hidden="1"/>
  </cols>
  <sheetData>
    <row r="1" spans="1:30" ht="14.25" customHeight="1" x14ac:dyDescent="0.25">
      <c r="A1" s="378"/>
      <c r="B1" s="1706" t="s">
        <v>0</v>
      </c>
      <c r="C1" s="378"/>
      <c r="D1" s="378"/>
      <c r="E1" s="378"/>
      <c r="F1" s="378"/>
      <c r="G1" s="378"/>
      <c r="H1" s="378"/>
      <c r="I1" s="378"/>
      <c r="J1" s="378"/>
      <c r="K1" s="378"/>
      <c r="L1" s="378"/>
      <c r="M1" s="378"/>
      <c r="N1" s="378"/>
      <c r="O1" s="378"/>
      <c r="P1" s="378"/>
      <c r="Q1" s="378"/>
      <c r="R1" s="378"/>
      <c r="S1" s="378"/>
      <c r="T1" s="378"/>
      <c r="U1" s="378"/>
      <c r="V1" s="378"/>
      <c r="W1" s="378"/>
      <c r="X1" s="378"/>
      <c r="Y1" s="378"/>
      <c r="Z1" s="378"/>
      <c r="AA1" s="378"/>
      <c r="AB1" s="378"/>
      <c r="AC1" s="378"/>
      <c r="AD1" s="378"/>
    </row>
    <row r="2" spans="1:30" ht="23.25" customHeight="1" x14ac:dyDescent="0.25">
      <c r="A2" s="378"/>
      <c r="B2" s="1706"/>
      <c r="C2" s="1691" t="s">
        <v>228</v>
      </c>
      <c r="D2" s="1691"/>
      <c r="E2" s="1691"/>
      <c r="F2" s="378"/>
      <c r="G2" s="378"/>
      <c r="H2" s="378"/>
      <c r="I2" s="378"/>
      <c r="J2" s="378"/>
      <c r="K2" s="378"/>
      <c r="L2" s="378"/>
      <c r="M2" s="378"/>
      <c r="N2" s="378"/>
      <c r="O2" s="378"/>
      <c r="P2" s="378"/>
      <c r="Q2" s="378"/>
      <c r="R2" s="378"/>
      <c r="S2" s="378"/>
      <c r="T2" s="378"/>
      <c r="U2" s="378"/>
      <c r="V2" s="378"/>
      <c r="W2" s="378"/>
      <c r="X2" s="378"/>
      <c r="Y2" s="378"/>
      <c r="Z2" s="378"/>
      <c r="AA2" s="378"/>
      <c r="AB2" s="378"/>
      <c r="AC2" s="378"/>
      <c r="AD2" s="378"/>
    </row>
    <row r="3" spans="1:30" ht="18" customHeight="1" x14ac:dyDescent="0.25">
      <c r="A3" s="378"/>
      <c r="B3" s="1707"/>
      <c r="C3" s="1692"/>
      <c r="D3" s="1692"/>
      <c r="E3" s="1692"/>
      <c r="F3" s="378"/>
      <c r="G3" s="378"/>
      <c r="H3" s="378"/>
      <c r="I3" s="378"/>
      <c r="J3" s="378"/>
      <c r="K3" s="378"/>
      <c r="L3" s="378"/>
      <c r="M3" s="378"/>
      <c r="N3" s="378"/>
      <c r="O3" s="378"/>
      <c r="P3" s="378"/>
      <c r="Q3" s="378"/>
      <c r="R3" s="378"/>
      <c r="S3" s="378"/>
      <c r="T3" s="378"/>
      <c r="U3" s="378"/>
      <c r="V3" s="378"/>
      <c r="W3" s="378"/>
      <c r="X3" s="378"/>
      <c r="Y3" s="378"/>
      <c r="Z3" s="378"/>
      <c r="AA3" s="378"/>
      <c r="AB3" s="378"/>
      <c r="AC3" s="378"/>
      <c r="AD3" s="378"/>
    </row>
    <row r="4" spans="1:30" ht="15.75" x14ac:dyDescent="0.25">
      <c r="A4" s="582">
        <v>1</v>
      </c>
      <c r="B4" s="1406" t="s">
        <v>229</v>
      </c>
      <c r="C4" s="479"/>
      <c r="D4" s="479"/>
      <c r="E4" s="479"/>
      <c r="F4" s="479"/>
      <c r="G4" s="479"/>
      <c r="H4" s="479"/>
      <c r="I4" s="480"/>
      <c r="J4" s="3"/>
      <c r="K4" s="3"/>
      <c r="L4" s="3"/>
      <c r="M4" s="3"/>
      <c r="N4" s="3"/>
      <c r="O4" s="3"/>
      <c r="P4" s="3"/>
      <c r="Q4" s="3"/>
      <c r="R4" s="3"/>
      <c r="S4" s="3"/>
      <c r="T4" s="3"/>
      <c r="U4" s="3"/>
      <c r="V4" s="3"/>
      <c r="W4" s="3"/>
      <c r="X4" s="3"/>
      <c r="Y4" s="3"/>
      <c r="Z4" s="3"/>
      <c r="AA4" s="3"/>
      <c r="AB4" s="3"/>
      <c r="AC4" s="3"/>
      <c r="AD4" s="3"/>
    </row>
    <row r="5" spans="1:30" ht="15.75" x14ac:dyDescent="0.25">
      <c r="A5" s="378"/>
      <c r="B5" s="481"/>
      <c r="C5" s="428"/>
      <c r="D5" s="428"/>
      <c r="E5" s="428"/>
      <c r="F5" s="428"/>
      <c r="G5" s="428"/>
      <c r="H5" s="428"/>
      <c r="I5" s="482"/>
      <c r="J5" s="3"/>
      <c r="K5" s="3"/>
      <c r="L5" s="3"/>
      <c r="M5" s="3"/>
      <c r="N5" s="3"/>
      <c r="O5" s="3"/>
      <c r="P5" s="3"/>
      <c r="Q5" s="3"/>
      <c r="R5" s="3"/>
      <c r="S5" s="3"/>
      <c r="T5" s="3"/>
      <c r="U5" s="3"/>
      <c r="V5" s="3"/>
      <c r="W5" s="3"/>
      <c r="X5" s="3"/>
      <c r="Y5" s="3"/>
      <c r="Z5" s="3"/>
      <c r="AA5" s="3"/>
      <c r="AB5" s="3"/>
      <c r="AC5" s="3"/>
      <c r="AD5" s="3"/>
    </row>
    <row r="6" spans="1:30" ht="15.75" x14ac:dyDescent="0.25">
      <c r="A6" s="378"/>
      <c r="B6" s="481"/>
      <c r="C6" s="428"/>
      <c r="D6" s="428"/>
      <c r="E6" s="428"/>
      <c r="F6" s="428"/>
      <c r="G6" s="428"/>
      <c r="H6" s="428"/>
      <c r="I6" s="482"/>
      <c r="J6" s="3"/>
      <c r="K6" s="3"/>
      <c r="L6" s="3"/>
      <c r="M6" s="3"/>
      <c r="N6" s="3"/>
      <c r="O6" s="3"/>
      <c r="P6" s="3"/>
      <c r="Q6" s="3"/>
      <c r="R6" s="3"/>
      <c r="S6" s="3"/>
      <c r="T6" s="3"/>
      <c r="U6" s="3"/>
      <c r="V6" s="3"/>
      <c r="W6" s="3"/>
      <c r="X6" s="3"/>
      <c r="Y6" s="3"/>
      <c r="Z6" s="3"/>
      <c r="AA6" s="3"/>
      <c r="AB6" s="3"/>
      <c r="AC6" s="3"/>
      <c r="AD6" s="3"/>
    </row>
    <row r="7" spans="1:30" ht="15.75" x14ac:dyDescent="0.25">
      <c r="A7" s="378"/>
      <c r="B7" s="483"/>
      <c r="C7" s="484"/>
      <c r="D7" s="484"/>
      <c r="E7" s="484"/>
      <c r="F7" s="484"/>
      <c r="G7" s="484"/>
      <c r="H7" s="484"/>
      <c r="I7" s="485"/>
      <c r="J7" s="34"/>
      <c r="K7" s="34"/>
      <c r="L7" s="34"/>
      <c r="M7" s="34"/>
      <c r="N7" s="34"/>
      <c r="O7" s="34"/>
      <c r="P7" s="34"/>
      <c r="Q7" s="34"/>
      <c r="R7" s="34"/>
      <c r="S7" s="34"/>
      <c r="T7" s="34"/>
      <c r="U7" s="239"/>
      <c r="V7" s="3"/>
      <c r="W7" s="3"/>
      <c r="X7" s="239"/>
      <c r="Y7" s="3"/>
      <c r="Z7" s="3"/>
      <c r="AA7" s="3"/>
      <c r="AB7" s="3"/>
      <c r="AC7" s="3"/>
      <c r="AD7" s="239"/>
    </row>
    <row r="8" spans="1:30" s="2" customFormat="1" ht="15.75" x14ac:dyDescent="0.2">
      <c r="B8" s="486"/>
      <c r="C8" s="487"/>
      <c r="D8" s="487"/>
      <c r="E8" s="487"/>
      <c r="F8" s="488"/>
      <c r="G8" s="488"/>
      <c r="H8" s="488"/>
      <c r="I8" s="489"/>
      <c r="J8" s="316"/>
      <c r="K8" s="316"/>
      <c r="L8" s="316"/>
      <c r="M8" s="316"/>
      <c r="N8" s="316"/>
      <c r="O8" s="316"/>
      <c r="P8" s="316"/>
      <c r="Q8" s="316"/>
      <c r="R8" s="316"/>
      <c r="S8" s="316"/>
      <c r="T8" s="316"/>
      <c r="U8" s="239"/>
      <c r="V8" s="239"/>
      <c r="W8" s="239"/>
      <c r="X8" s="239"/>
      <c r="Y8" s="239"/>
      <c r="Z8" s="239"/>
      <c r="AA8" s="239"/>
      <c r="AB8" s="239"/>
      <c r="AC8" s="239"/>
      <c r="AD8" s="239"/>
    </row>
    <row r="9" spans="1:30" s="2" customFormat="1" ht="15.75" x14ac:dyDescent="0.25">
      <c r="B9" s="486"/>
      <c r="C9" s="487"/>
      <c r="D9" s="487"/>
      <c r="E9" s="487"/>
      <c r="F9" s="488"/>
      <c r="G9" s="488"/>
      <c r="H9" s="488"/>
      <c r="I9" s="489"/>
      <c r="J9" s="316"/>
      <c r="K9" s="316"/>
      <c r="L9" s="316"/>
      <c r="M9" s="316"/>
      <c r="N9" s="316"/>
      <c r="O9" s="316"/>
      <c r="P9" s="316"/>
      <c r="Q9" s="316"/>
      <c r="R9" s="316"/>
      <c r="S9" s="316"/>
      <c r="T9" s="316"/>
      <c r="U9" s="3"/>
      <c r="V9" s="239"/>
      <c r="W9" s="239"/>
      <c r="X9" s="3"/>
      <c r="Y9" s="239"/>
      <c r="Z9" s="239"/>
      <c r="AA9" s="239"/>
      <c r="AB9" s="239"/>
      <c r="AC9" s="239"/>
      <c r="AD9" s="3"/>
    </row>
    <row r="10" spans="1:30" x14ac:dyDescent="0.25">
      <c r="A10" s="378"/>
      <c r="B10" s="490"/>
      <c r="C10" s="428"/>
      <c r="D10" s="428"/>
      <c r="E10" s="428"/>
      <c r="F10" s="428"/>
      <c r="G10" s="428"/>
      <c r="H10" s="428"/>
      <c r="I10" s="482"/>
      <c r="J10" s="3"/>
      <c r="K10" s="3"/>
      <c r="L10" s="3"/>
      <c r="M10" s="3"/>
      <c r="N10" s="3"/>
      <c r="O10" s="3"/>
      <c r="P10" s="3"/>
      <c r="Q10" s="3"/>
      <c r="R10" s="3"/>
      <c r="S10" s="3"/>
      <c r="T10" s="3"/>
      <c r="U10" s="3"/>
      <c r="V10" s="3"/>
      <c r="W10" s="3"/>
      <c r="X10" s="3"/>
      <c r="Y10" s="3"/>
      <c r="Z10" s="3"/>
      <c r="AA10" s="3"/>
      <c r="AB10" s="3"/>
      <c r="AC10" s="3"/>
      <c r="AD10" s="3"/>
    </row>
    <row r="11" spans="1:30" x14ac:dyDescent="0.25">
      <c r="A11" s="378"/>
      <c r="B11" s="490"/>
      <c r="C11" s="428"/>
      <c r="D11" s="428"/>
      <c r="E11" s="428"/>
      <c r="F11" s="428"/>
      <c r="G11" s="428"/>
      <c r="H11" s="428"/>
      <c r="I11" s="482"/>
      <c r="J11" s="3"/>
      <c r="K11" s="3"/>
      <c r="L11" s="3"/>
      <c r="M11" s="3"/>
      <c r="N11" s="3"/>
      <c r="O11" s="3"/>
      <c r="P11" s="3"/>
      <c r="Q11" s="3"/>
      <c r="R11" s="3"/>
      <c r="S11" s="3"/>
      <c r="T11" s="3"/>
      <c r="U11" s="3"/>
      <c r="V11" s="3"/>
      <c r="W11" s="3"/>
      <c r="X11" s="3"/>
      <c r="Y11" s="3"/>
      <c r="Z11" s="3"/>
      <c r="AA11" s="3"/>
      <c r="AB11" s="3"/>
      <c r="AC11" s="3"/>
      <c r="AD11" s="3"/>
    </row>
    <row r="12" spans="1:30" ht="15" customHeight="1" x14ac:dyDescent="0.25">
      <c r="A12" s="378"/>
      <c r="B12" s="491"/>
      <c r="C12" s="428"/>
      <c r="D12" s="492"/>
      <c r="E12" s="492"/>
      <c r="F12" s="428"/>
      <c r="G12" s="428"/>
      <c r="H12" s="428"/>
      <c r="I12" s="482"/>
      <c r="J12" s="318"/>
      <c r="K12" s="318"/>
      <c r="L12" s="318"/>
      <c r="M12" s="318"/>
      <c r="N12" s="318"/>
      <c r="O12" s="318"/>
      <c r="P12" s="318"/>
      <c r="Q12" s="318"/>
      <c r="R12" s="318"/>
      <c r="S12" s="318"/>
      <c r="T12" s="318"/>
      <c r="U12" s="3"/>
      <c r="V12" s="3"/>
      <c r="W12" s="3"/>
      <c r="X12" s="3"/>
      <c r="Y12" s="3"/>
      <c r="Z12" s="3"/>
      <c r="AA12" s="3"/>
      <c r="AB12" s="3"/>
      <c r="AC12" s="3"/>
      <c r="AD12" s="3"/>
    </row>
    <row r="13" spans="1:30" ht="15" customHeight="1" x14ac:dyDescent="0.25">
      <c r="A13" s="378"/>
      <c r="B13" s="491"/>
      <c r="C13" s="428"/>
      <c r="D13" s="492"/>
      <c r="E13" s="492"/>
      <c r="F13" s="428"/>
      <c r="G13" s="428"/>
      <c r="H13" s="428"/>
      <c r="I13" s="482"/>
      <c r="J13" s="318"/>
      <c r="K13" s="318"/>
      <c r="L13" s="318"/>
      <c r="M13" s="318"/>
      <c r="N13" s="318"/>
      <c r="O13" s="318"/>
      <c r="P13" s="318"/>
      <c r="Q13" s="318"/>
      <c r="R13" s="318"/>
      <c r="S13" s="318"/>
      <c r="T13" s="318"/>
      <c r="U13" s="3"/>
      <c r="V13" s="3"/>
      <c r="W13" s="3"/>
      <c r="X13" s="3"/>
      <c r="Y13" s="3"/>
      <c r="Z13" s="3"/>
      <c r="AA13" s="3"/>
      <c r="AB13" s="3"/>
      <c r="AC13" s="3"/>
      <c r="AD13" s="3"/>
    </row>
    <row r="14" spans="1:30" x14ac:dyDescent="0.25">
      <c r="A14" s="378"/>
      <c r="B14" s="493"/>
      <c r="C14" s="428"/>
      <c r="D14" s="494"/>
      <c r="E14" s="494"/>
      <c r="F14" s="428"/>
      <c r="G14" s="428"/>
      <c r="H14" s="428"/>
      <c r="I14" s="482"/>
      <c r="J14" s="319"/>
      <c r="K14" s="319"/>
      <c r="L14" s="319"/>
      <c r="M14" s="319"/>
      <c r="N14" s="319"/>
      <c r="O14" s="319"/>
      <c r="P14" s="319"/>
      <c r="Q14" s="319"/>
      <c r="R14" s="319"/>
      <c r="S14" s="319"/>
      <c r="T14" s="319"/>
      <c r="U14" s="3"/>
      <c r="V14" s="3"/>
      <c r="W14" s="3"/>
      <c r="X14" s="3"/>
      <c r="Y14" s="3"/>
      <c r="Z14" s="3"/>
      <c r="AA14" s="3"/>
      <c r="AB14" s="3"/>
      <c r="AC14" s="3"/>
      <c r="AD14" s="3"/>
    </row>
    <row r="15" spans="1:30" ht="15" customHeight="1" x14ac:dyDescent="0.25">
      <c r="A15" s="378"/>
      <c r="B15" s="495"/>
      <c r="C15" s="496"/>
      <c r="D15" s="496"/>
      <c r="E15" s="496"/>
      <c r="F15" s="428"/>
      <c r="G15" s="428"/>
      <c r="H15" s="428"/>
      <c r="I15" s="482"/>
      <c r="J15" s="3"/>
      <c r="K15" s="320"/>
      <c r="L15" s="317"/>
      <c r="M15" s="317"/>
      <c r="N15" s="1552"/>
      <c r="O15" s="1552"/>
      <c r="P15" s="321"/>
      <c r="Q15" s="320"/>
      <c r="R15" s="317"/>
      <c r="S15" s="321"/>
      <c r="T15" s="3"/>
      <c r="U15" s="3"/>
      <c r="V15" s="3"/>
      <c r="W15" s="3"/>
      <c r="X15" s="3"/>
      <c r="Y15" s="3"/>
      <c r="Z15" s="3"/>
      <c r="AA15" s="3"/>
      <c r="AB15" s="3"/>
      <c r="AC15" s="3"/>
      <c r="AD15" s="3"/>
    </row>
    <row r="16" spans="1:30" ht="15" customHeight="1" x14ac:dyDescent="0.25">
      <c r="A16" s="378"/>
      <c r="B16" s="490"/>
      <c r="C16" s="428"/>
      <c r="D16" s="428"/>
      <c r="E16" s="428"/>
      <c r="F16" s="428"/>
      <c r="G16" s="428"/>
      <c r="H16" s="428"/>
      <c r="I16" s="482"/>
      <c r="J16" s="3"/>
      <c r="K16" s="320"/>
      <c r="L16" s="317"/>
      <c r="M16" s="317"/>
      <c r="N16" s="321"/>
      <c r="O16" s="321"/>
      <c r="P16" s="321"/>
      <c r="Q16" s="320"/>
      <c r="R16" s="321"/>
      <c r="S16" s="321"/>
      <c r="T16" s="3"/>
      <c r="U16" s="3"/>
      <c r="V16" s="3"/>
      <c r="W16" s="3"/>
      <c r="X16" s="3"/>
      <c r="Y16" s="3"/>
      <c r="Z16" s="3"/>
      <c r="AA16" s="3"/>
      <c r="AB16" s="3"/>
      <c r="AC16" s="3"/>
      <c r="AD16" s="3"/>
    </row>
    <row r="17" spans="2:30" x14ac:dyDescent="0.25">
      <c r="B17" s="490"/>
      <c r="C17" s="428"/>
      <c r="D17" s="428"/>
      <c r="E17" s="428"/>
      <c r="F17" s="428"/>
      <c r="G17" s="428"/>
      <c r="H17" s="428"/>
      <c r="I17" s="482"/>
      <c r="J17" s="3"/>
      <c r="K17" s="335"/>
      <c r="L17" s="1552"/>
      <c r="M17" s="1552"/>
      <c r="N17" s="1552"/>
      <c r="O17" s="1552"/>
      <c r="P17" s="321"/>
      <c r="Q17" s="321"/>
      <c r="R17" s="1552"/>
      <c r="S17" s="1552"/>
      <c r="T17" s="3"/>
      <c r="U17" s="3"/>
      <c r="V17" s="3"/>
      <c r="W17" s="3"/>
      <c r="X17" s="3"/>
      <c r="Y17" s="3"/>
      <c r="Z17" s="3"/>
      <c r="AA17" s="3"/>
      <c r="AB17" s="3"/>
      <c r="AC17" s="3"/>
      <c r="AD17" s="3"/>
    </row>
    <row r="18" spans="2:30" x14ac:dyDescent="0.25">
      <c r="B18" s="490"/>
      <c r="C18" s="428"/>
      <c r="D18" s="428"/>
      <c r="E18" s="428"/>
      <c r="F18" s="428"/>
      <c r="G18" s="428"/>
      <c r="H18" s="428"/>
      <c r="I18" s="482"/>
      <c r="J18" s="3"/>
      <c r="K18" s="335"/>
      <c r="L18" s="1552"/>
      <c r="M18" s="1552"/>
      <c r="N18" s="1552"/>
      <c r="O18" s="1552"/>
      <c r="P18" s="321"/>
      <c r="Q18" s="321"/>
      <c r="R18" s="1552"/>
      <c r="S18" s="1552"/>
      <c r="T18" s="3"/>
      <c r="U18" s="3"/>
      <c r="V18" s="3"/>
      <c r="W18" s="3"/>
      <c r="X18" s="3"/>
      <c r="Y18" s="3"/>
      <c r="Z18" s="3"/>
      <c r="AA18" s="3"/>
      <c r="AB18" s="3"/>
      <c r="AC18" s="3"/>
      <c r="AD18" s="3"/>
    </row>
    <row r="19" spans="2:30" x14ac:dyDescent="0.25">
      <c r="B19" s="490"/>
      <c r="C19" s="428"/>
      <c r="D19" s="428"/>
      <c r="E19" s="428"/>
      <c r="F19" s="428"/>
      <c r="G19" s="428"/>
      <c r="H19" s="428"/>
      <c r="I19" s="482"/>
      <c r="J19" s="3"/>
      <c r="K19" s="335"/>
      <c r="L19" s="1552"/>
      <c r="M19" s="1552"/>
      <c r="N19" s="1552"/>
      <c r="O19" s="1552"/>
      <c r="P19" s="321"/>
      <c r="Q19" s="321"/>
      <c r="R19" s="1552"/>
      <c r="S19" s="1552"/>
      <c r="T19" s="3"/>
      <c r="U19" s="3"/>
      <c r="V19" s="3"/>
      <c r="W19" s="3"/>
      <c r="X19" s="3"/>
      <c r="Y19" s="3"/>
      <c r="Z19" s="3"/>
      <c r="AA19" s="3"/>
      <c r="AB19" s="3"/>
      <c r="AC19" s="3"/>
      <c r="AD19" s="3"/>
    </row>
    <row r="20" spans="2:30" x14ac:dyDescent="0.25">
      <c r="B20" s="490"/>
      <c r="C20" s="428"/>
      <c r="D20" s="428"/>
      <c r="E20" s="428"/>
      <c r="F20" s="428"/>
      <c r="G20" s="428"/>
      <c r="H20" s="428"/>
      <c r="I20" s="482"/>
      <c r="J20" s="3"/>
      <c r="K20" s="335"/>
      <c r="L20" s="1552"/>
      <c r="M20" s="1552"/>
      <c r="N20" s="1552"/>
      <c r="O20" s="1552"/>
      <c r="P20" s="321"/>
      <c r="Q20" s="321"/>
      <c r="R20" s="1552"/>
      <c r="S20" s="1552"/>
      <c r="T20" s="3"/>
      <c r="U20" s="3"/>
      <c r="V20" s="3"/>
      <c r="W20" s="3"/>
      <c r="X20" s="3"/>
      <c r="Y20" s="3"/>
      <c r="Z20" s="3"/>
      <c r="AA20" s="3"/>
      <c r="AB20" s="3"/>
      <c r="AC20" s="3"/>
      <c r="AD20" s="3"/>
    </row>
    <row r="21" spans="2:30" x14ac:dyDescent="0.25">
      <c r="B21" s="490"/>
      <c r="C21" s="428"/>
      <c r="D21" s="428"/>
      <c r="E21" s="428"/>
      <c r="F21" s="428"/>
      <c r="G21" s="428"/>
      <c r="H21" s="428"/>
      <c r="I21" s="482"/>
      <c r="J21" s="3"/>
      <c r="K21" s="335"/>
      <c r="L21" s="1552"/>
      <c r="M21" s="1552"/>
      <c r="N21" s="1552"/>
      <c r="O21" s="1552"/>
      <c r="P21" s="321"/>
      <c r="Q21" s="321"/>
      <c r="R21" s="1552"/>
      <c r="S21" s="1552"/>
      <c r="T21" s="3"/>
      <c r="U21" s="3"/>
      <c r="V21" s="3"/>
      <c r="W21" s="3"/>
      <c r="X21" s="3"/>
      <c r="Y21" s="3"/>
      <c r="Z21" s="3"/>
      <c r="AA21" s="3"/>
      <c r="AB21" s="3"/>
      <c r="AC21" s="3"/>
      <c r="AD21" s="3"/>
    </row>
    <row r="22" spans="2:30" x14ac:dyDescent="0.25">
      <c r="B22" s="490"/>
      <c r="C22" s="428"/>
      <c r="D22" s="428"/>
      <c r="E22" s="428"/>
      <c r="F22" s="428"/>
      <c r="G22" s="428"/>
      <c r="H22" s="428"/>
      <c r="I22" s="482"/>
      <c r="J22" s="3"/>
      <c r="K22" s="335"/>
      <c r="L22" s="1552"/>
      <c r="M22" s="1552"/>
      <c r="N22" s="1552"/>
      <c r="O22" s="1552"/>
      <c r="P22" s="321"/>
      <c r="Q22" s="321"/>
      <c r="R22" s="1552"/>
      <c r="S22" s="1552"/>
      <c r="T22" s="3"/>
      <c r="U22" s="3"/>
      <c r="V22" s="3"/>
      <c r="W22" s="3"/>
      <c r="X22" s="3"/>
      <c r="Y22" s="3"/>
      <c r="Z22" s="3"/>
      <c r="AA22" s="3"/>
      <c r="AB22" s="3"/>
      <c r="AC22" s="3"/>
      <c r="AD22" s="3"/>
    </row>
    <row r="23" spans="2:30" x14ac:dyDescent="0.25">
      <c r="B23" s="490"/>
      <c r="C23" s="428"/>
      <c r="D23" s="428"/>
      <c r="E23" s="428"/>
      <c r="F23" s="428"/>
      <c r="G23" s="428"/>
      <c r="H23" s="428"/>
      <c r="I23" s="482"/>
      <c r="J23" s="3"/>
      <c r="K23" s="335"/>
      <c r="L23" s="1552"/>
      <c r="M23" s="1552"/>
      <c r="N23" s="1552"/>
      <c r="O23" s="1552"/>
      <c r="P23" s="321"/>
      <c r="Q23" s="321"/>
      <c r="R23" s="1552"/>
      <c r="S23" s="1552"/>
      <c r="T23" s="3"/>
      <c r="U23" s="3"/>
      <c r="V23" s="3"/>
      <c r="W23" s="3"/>
      <c r="X23" s="3"/>
      <c r="Y23" s="3"/>
      <c r="Z23" s="3"/>
      <c r="AA23" s="3"/>
      <c r="AB23" s="3"/>
      <c r="AC23" s="3"/>
      <c r="AD23" s="3"/>
    </row>
    <row r="24" spans="2:30" ht="15" customHeight="1" x14ac:dyDescent="0.25">
      <c r="B24" s="497"/>
      <c r="C24" s="492"/>
      <c r="D24" s="428"/>
      <c r="E24" s="498"/>
      <c r="F24" s="492"/>
      <c r="G24" s="492"/>
      <c r="H24" s="428"/>
      <c r="I24" s="482"/>
      <c r="J24" s="3"/>
      <c r="K24" s="335"/>
      <c r="L24" s="322"/>
      <c r="M24" s="322"/>
      <c r="N24" s="321"/>
      <c r="O24" s="321"/>
      <c r="P24" s="321"/>
      <c r="Q24" s="321"/>
      <c r="R24" s="322"/>
      <c r="S24" s="322"/>
      <c r="T24" s="3"/>
      <c r="U24" s="3"/>
      <c r="V24" s="3"/>
      <c r="W24" s="3"/>
      <c r="X24" s="3"/>
      <c r="Y24" s="3"/>
      <c r="Z24" s="3"/>
      <c r="AA24" s="3"/>
      <c r="AB24" s="3"/>
      <c r="AC24" s="3"/>
      <c r="AD24" s="3"/>
    </row>
    <row r="25" spans="2:30" ht="15" customHeight="1" x14ac:dyDescent="0.25">
      <c r="B25" s="497"/>
      <c r="C25" s="492"/>
      <c r="D25" s="428"/>
      <c r="E25" s="498"/>
      <c r="F25" s="492"/>
      <c r="G25" s="492"/>
      <c r="H25" s="428"/>
      <c r="I25" s="482"/>
      <c r="J25" s="3"/>
      <c r="K25" s="335"/>
      <c r="L25" s="321"/>
      <c r="M25" s="321"/>
      <c r="N25" s="321"/>
      <c r="O25" s="321"/>
      <c r="P25" s="321"/>
      <c r="Q25" s="335"/>
      <c r="R25" s="335"/>
      <c r="S25" s="335"/>
      <c r="T25" s="286"/>
      <c r="U25" s="3"/>
      <c r="V25" s="3"/>
      <c r="W25" s="3"/>
      <c r="X25" s="3"/>
      <c r="Y25" s="3"/>
      <c r="Z25" s="3"/>
      <c r="AA25" s="3"/>
      <c r="AB25" s="3"/>
      <c r="AC25" s="3"/>
      <c r="AD25" s="3"/>
    </row>
    <row r="26" spans="2:30" ht="15" customHeight="1" x14ac:dyDescent="0.25">
      <c r="B26" s="497"/>
      <c r="C26" s="492"/>
      <c r="D26" s="428"/>
      <c r="E26" s="498"/>
      <c r="F26" s="492"/>
      <c r="G26" s="492"/>
      <c r="H26" s="428"/>
      <c r="I26" s="482"/>
      <c r="J26" s="3"/>
      <c r="K26" s="335"/>
      <c r="L26" s="321"/>
      <c r="M26" s="321"/>
      <c r="N26" s="321"/>
      <c r="O26" s="321"/>
      <c r="P26" s="321"/>
      <c r="Q26" s="335"/>
      <c r="R26" s="335"/>
      <c r="S26" s="335"/>
      <c r="T26" s="286"/>
      <c r="U26" s="3"/>
      <c r="V26" s="3"/>
      <c r="W26" s="3"/>
      <c r="X26" s="3"/>
      <c r="Y26" s="3"/>
      <c r="Z26" s="3"/>
      <c r="AA26" s="3"/>
      <c r="AB26" s="3"/>
      <c r="AC26" s="3"/>
      <c r="AD26" s="3"/>
    </row>
    <row r="27" spans="2:30" ht="15" customHeight="1" x14ac:dyDescent="0.25">
      <c r="B27" s="497"/>
      <c r="C27" s="492"/>
      <c r="D27" s="428"/>
      <c r="E27" s="498"/>
      <c r="F27" s="492"/>
      <c r="G27" s="492"/>
      <c r="H27" s="428"/>
      <c r="I27" s="482"/>
      <c r="J27" s="3"/>
      <c r="K27" s="335"/>
      <c r="L27" s="321"/>
      <c r="M27" s="321"/>
      <c r="N27" s="321"/>
      <c r="O27" s="321"/>
      <c r="P27" s="321"/>
      <c r="Q27" s="335"/>
      <c r="R27" s="335"/>
      <c r="S27" s="335"/>
      <c r="T27" s="286"/>
      <c r="U27" s="3"/>
      <c r="V27" s="3"/>
      <c r="W27" s="3"/>
      <c r="X27" s="3"/>
      <c r="Y27" s="3"/>
      <c r="Z27" s="3"/>
      <c r="AA27" s="3"/>
      <c r="AB27" s="3"/>
      <c r="AC27" s="3"/>
      <c r="AD27" s="3"/>
    </row>
    <row r="28" spans="2:30" ht="15" customHeight="1" x14ac:dyDescent="0.25">
      <c r="B28" s="497"/>
      <c r="C28" s="492"/>
      <c r="D28" s="428"/>
      <c r="E28" s="498"/>
      <c r="F28" s="492"/>
      <c r="G28" s="492"/>
      <c r="H28" s="428"/>
      <c r="I28" s="482"/>
      <c r="J28" s="3"/>
      <c r="K28" s="335"/>
      <c r="L28" s="321"/>
      <c r="M28" s="321"/>
      <c r="N28" s="321"/>
      <c r="O28" s="321"/>
      <c r="P28" s="321"/>
      <c r="Q28" s="335"/>
      <c r="R28" s="335"/>
      <c r="S28" s="335"/>
      <c r="T28" s="286"/>
      <c r="U28" s="3"/>
      <c r="V28" s="3"/>
      <c r="W28" s="3"/>
      <c r="X28" s="3"/>
      <c r="Y28" s="3"/>
      <c r="Z28" s="3"/>
      <c r="AA28" s="3"/>
      <c r="AB28" s="3"/>
      <c r="AC28" s="3"/>
      <c r="AD28" s="3"/>
    </row>
    <row r="29" spans="2:30" x14ac:dyDescent="0.25">
      <c r="B29" s="499"/>
      <c r="C29" s="500"/>
      <c r="D29" s="428"/>
      <c r="E29" s="428"/>
      <c r="F29" s="500"/>
      <c r="G29" s="500"/>
      <c r="H29" s="428"/>
      <c r="I29" s="482"/>
      <c r="J29" s="3"/>
      <c r="K29" s="335"/>
      <c r="L29" s="321"/>
      <c r="M29" s="321"/>
      <c r="N29" s="321"/>
      <c r="O29" s="321"/>
      <c r="P29" s="321"/>
      <c r="Q29" s="335"/>
      <c r="R29" s="335"/>
      <c r="S29" s="335"/>
      <c r="T29" s="286"/>
      <c r="U29" s="3"/>
      <c r="V29" s="3"/>
      <c r="W29" s="3"/>
      <c r="X29" s="3"/>
      <c r="Y29" s="3"/>
      <c r="Z29" s="3"/>
      <c r="AA29" s="3"/>
      <c r="AB29" s="3"/>
      <c r="AC29" s="3"/>
      <c r="AD29" s="3"/>
    </row>
    <row r="30" spans="2:30" ht="15" customHeight="1" x14ac:dyDescent="0.25">
      <c r="B30" s="495"/>
      <c r="C30" s="496"/>
      <c r="D30" s="428"/>
      <c r="E30" s="428"/>
      <c r="F30" s="496"/>
      <c r="G30" s="496"/>
      <c r="H30" s="428"/>
      <c r="I30" s="482"/>
      <c r="J30" s="3"/>
      <c r="K30" s="320"/>
      <c r="L30" s="317"/>
      <c r="M30" s="317"/>
      <c r="N30" s="321"/>
      <c r="O30" s="321"/>
      <c r="P30" s="321"/>
      <c r="Q30" s="320"/>
      <c r="R30" s="317"/>
      <c r="S30" s="317"/>
      <c r="T30" s="286"/>
      <c r="U30" s="3"/>
      <c r="V30" s="3"/>
      <c r="W30" s="3"/>
      <c r="X30" s="3"/>
      <c r="Y30" s="3"/>
      <c r="Z30" s="3"/>
      <c r="AA30" s="3"/>
      <c r="AB30" s="3"/>
      <c r="AC30" s="3"/>
      <c r="AD30" s="3"/>
    </row>
    <row r="31" spans="2:30" ht="15" customHeight="1" x14ac:dyDescent="0.25">
      <c r="B31" s="501"/>
      <c r="C31" s="502"/>
      <c r="D31" s="502"/>
      <c r="E31" s="502"/>
      <c r="F31" s="502"/>
      <c r="G31" s="502"/>
      <c r="H31" s="502"/>
      <c r="I31" s="503"/>
      <c r="J31" s="3"/>
      <c r="K31" s="320"/>
      <c r="L31" s="317"/>
      <c r="M31" s="317"/>
      <c r="N31" s="321"/>
      <c r="O31" s="321"/>
      <c r="P31" s="321"/>
      <c r="Q31" s="320"/>
      <c r="R31" s="317"/>
      <c r="S31" s="317"/>
      <c r="T31" s="286"/>
      <c r="U31" s="3"/>
      <c r="V31" s="3"/>
      <c r="W31" s="3"/>
      <c r="X31" s="3"/>
      <c r="Y31" s="3"/>
      <c r="Z31" s="3"/>
      <c r="AA31" s="3"/>
      <c r="AB31" s="3"/>
      <c r="AC31" s="3"/>
      <c r="AD31" s="3"/>
    </row>
    <row r="32" spans="2:30" x14ac:dyDescent="0.25">
      <c r="B32" s="3"/>
      <c r="C32" s="3"/>
      <c r="D32" s="3"/>
      <c r="E32" s="3"/>
      <c r="F32" s="3"/>
      <c r="G32" s="3"/>
      <c r="H32" s="3"/>
      <c r="I32" s="3"/>
      <c r="J32" s="3"/>
      <c r="K32" s="321"/>
      <c r="L32" s="1552"/>
      <c r="M32" s="1552"/>
      <c r="N32" s="321"/>
      <c r="O32" s="321"/>
      <c r="P32" s="321"/>
      <c r="Q32" s="323"/>
      <c r="R32" s="1552"/>
      <c r="S32" s="1552"/>
      <c r="T32" s="286"/>
      <c r="U32" s="3"/>
      <c r="V32" s="3"/>
      <c r="W32" s="3"/>
      <c r="X32" s="3"/>
      <c r="Y32" s="3"/>
      <c r="Z32" s="3"/>
      <c r="AA32" s="3"/>
      <c r="AB32" s="3"/>
      <c r="AC32" s="3"/>
      <c r="AD32" s="3"/>
    </row>
    <row r="33" spans="1:30" ht="15.75" customHeight="1" x14ac:dyDescent="0.25">
      <c r="A33" s="582">
        <v>2</v>
      </c>
      <c r="B33" s="49" t="s">
        <v>59</v>
      </c>
      <c r="C33" s="49"/>
      <c r="D33" s="49"/>
      <c r="E33" s="49"/>
      <c r="F33" s="49"/>
      <c r="G33" s="49"/>
      <c r="H33" s="3"/>
      <c r="I33" s="3"/>
      <c r="J33" s="3"/>
      <c r="K33" s="324"/>
      <c r="L33" s="324"/>
      <c r="M33" s="324"/>
      <c r="N33" s="324"/>
      <c r="O33" s="324"/>
      <c r="P33" s="324"/>
      <c r="Q33" s="324"/>
      <c r="R33" s="324"/>
      <c r="S33" s="324"/>
      <c r="T33" s="324"/>
      <c r="U33" s="38"/>
      <c r="V33" s="3"/>
      <c r="W33" s="3"/>
      <c r="X33" s="3"/>
      <c r="Y33" s="3"/>
      <c r="Z33" s="3"/>
      <c r="AA33" s="3"/>
      <c r="AB33" s="3"/>
      <c r="AC33" s="3"/>
      <c r="AD33" s="3"/>
    </row>
    <row r="34" spans="1:30" ht="17.25" customHeight="1" x14ac:dyDescent="0.25">
      <c r="A34" s="378"/>
      <c r="B34" s="1710" t="s">
        <v>230</v>
      </c>
      <c r="C34" s="1711"/>
      <c r="D34" s="1712"/>
      <c r="E34" s="1512" t="s">
        <v>231</v>
      </c>
      <c r="F34" s="69"/>
      <c r="G34" s="69"/>
      <c r="H34" s="60"/>
      <c r="I34" s="344"/>
      <c r="J34" s="378"/>
      <c r="K34" s="3"/>
      <c r="L34" s="3"/>
      <c r="M34" s="3"/>
      <c r="N34" s="3"/>
      <c r="O34" s="317"/>
      <c r="P34" s="317"/>
      <c r="Q34" s="325"/>
      <c r="R34" s="325"/>
      <c r="S34" s="325"/>
      <c r="T34" s="325"/>
      <c r="U34" s="1553"/>
      <c r="V34" s="3"/>
      <c r="W34" s="3"/>
      <c r="X34" s="3"/>
      <c r="Y34" s="3"/>
      <c r="Z34" s="3"/>
      <c r="AA34" s="3"/>
      <c r="AB34" s="3"/>
      <c r="AC34" s="3"/>
      <c r="AD34" s="3"/>
    </row>
    <row r="35" spans="1:30" ht="15" customHeight="1" x14ac:dyDescent="0.25">
      <c r="A35" s="378"/>
      <c r="B35" s="1690" t="s">
        <v>232</v>
      </c>
      <c r="C35" s="1690"/>
      <c r="D35" s="1690"/>
      <c r="E35" s="1343"/>
      <c r="F35" s="755" t="e">
        <f>E35/$E$39</f>
        <v>#DIV/0!</v>
      </c>
      <c r="G35" s="378"/>
      <c r="H35" s="696"/>
      <c r="I35" s="345"/>
      <c r="J35" s="378"/>
      <c r="K35" s="3"/>
      <c r="L35" s="3"/>
      <c r="M35" s="3"/>
      <c r="N35" s="3"/>
      <c r="O35" s="317"/>
      <c r="P35" s="317"/>
      <c r="Q35" s="325"/>
      <c r="R35" s="325"/>
      <c r="S35" s="325"/>
      <c r="T35" s="325"/>
      <c r="U35" s="1553"/>
      <c r="V35" s="3"/>
      <c r="W35" s="3"/>
      <c r="X35" s="3"/>
      <c r="Y35" s="3"/>
      <c r="Z35" s="3"/>
      <c r="AA35" s="3"/>
      <c r="AB35" s="3"/>
      <c r="AC35" s="3"/>
      <c r="AD35" s="3"/>
    </row>
    <row r="36" spans="1:30" ht="15.75" x14ac:dyDescent="0.25">
      <c r="A36" s="378"/>
      <c r="B36" s="1690" t="s">
        <v>233</v>
      </c>
      <c r="C36" s="1690"/>
      <c r="D36" s="1690"/>
      <c r="E36" s="1344"/>
      <c r="F36" s="755" t="e">
        <f>E36/$E$39</f>
        <v>#DIV/0!</v>
      </c>
      <c r="G36" s="696"/>
      <c r="H36" s="696"/>
      <c r="I36" s="345"/>
      <c r="J36" s="378"/>
      <c r="K36" s="3"/>
      <c r="L36" s="3"/>
      <c r="M36" s="3"/>
      <c r="N36" s="3"/>
      <c r="O36" s="1552"/>
      <c r="P36" s="1552"/>
      <c r="Q36" s="1552"/>
      <c r="R36" s="1552"/>
      <c r="S36" s="1552"/>
      <c r="T36" s="1552"/>
      <c r="U36" s="3"/>
      <c r="V36" s="3"/>
      <c r="W36" s="3"/>
      <c r="X36" s="3"/>
      <c r="Y36" s="3"/>
      <c r="Z36" s="3"/>
      <c r="AA36" s="3"/>
      <c r="AB36" s="3"/>
      <c r="AC36" s="3"/>
      <c r="AD36" s="3"/>
    </row>
    <row r="37" spans="1:30" ht="15.75" x14ac:dyDescent="0.25">
      <c r="A37" s="378"/>
      <c r="B37" s="1690" t="s">
        <v>234</v>
      </c>
      <c r="C37" s="1690"/>
      <c r="D37" s="1690"/>
      <c r="E37" s="1345"/>
      <c r="F37" s="755" t="e">
        <f>E37/$E$39</f>
        <v>#DIV/0!</v>
      </c>
      <c r="G37" s="696"/>
      <c r="H37" s="696"/>
      <c r="I37" s="345"/>
      <c r="J37" s="378"/>
      <c r="K37" s="3"/>
      <c r="L37" s="3"/>
      <c r="M37" s="3"/>
      <c r="N37" s="3"/>
      <c r="O37" s="321"/>
      <c r="P37" s="321"/>
      <c r="Q37" s="321"/>
      <c r="R37" s="321"/>
      <c r="S37" s="321"/>
      <c r="T37" s="321"/>
      <c r="U37" s="3"/>
      <c r="V37" s="3"/>
      <c r="W37" s="3"/>
      <c r="X37" s="3"/>
      <c r="Y37" s="3"/>
      <c r="Z37" s="3"/>
      <c r="AA37" s="3"/>
      <c r="AB37" s="3"/>
      <c r="AC37" s="3"/>
      <c r="AD37" s="3"/>
    </row>
    <row r="38" spans="1:30" ht="15" customHeight="1" x14ac:dyDescent="0.25">
      <c r="A38" s="378"/>
      <c r="B38" s="1690" t="s">
        <v>235</v>
      </c>
      <c r="C38" s="1690"/>
      <c r="D38" s="1690"/>
      <c r="E38" s="1346"/>
      <c r="F38" s="755" t="e">
        <f>E38/$E$39</f>
        <v>#DIV/0!</v>
      </c>
      <c r="G38" s="696"/>
      <c r="H38" s="696"/>
      <c r="I38" s="345"/>
      <c r="J38" s="378"/>
      <c r="K38" s="3"/>
      <c r="L38" s="3"/>
      <c r="M38" s="3"/>
      <c r="N38" s="3"/>
      <c r="O38" s="3"/>
      <c r="P38" s="3"/>
      <c r="Q38" s="3"/>
      <c r="R38" s="3"/>
      <c r="S38" s="3"/>
      <c r="T38" s="3"/>
      <c r="U38" s="3"/>
      <c r="V38" s="3"/>
      <c r="W38" s="3"/>
      <c r="X38" s="3"/>
      <c r="Y38" s="3"/>
      <c r="Z38" s="3"/>
      <c r="AA38" s="3"/>
      <c r="AB38" s="3"/>
      <c r="AC38" s="3"/>
      <c r="AD38" s="3"/>
    </row>
    <row r="39" spans="1:30" ht="15.75" customHeight="1" x14ac:dyDescent="0.25">
      <c r="A39" s="378"/>
      <c r="B39" s="1616" t="s">
        <v>236</v>
      </c>
      <c r="C39" s="1616"/>
      <c r="D39" s="1488" t="s">
        <v>237</v>
      </c>
      <c r="E39" s="1489">
        <f>SUM(E35:E38)</f>
        <v>0</v>
      </c>
      <c r="F39" s="1708" t="s">
        <v>238</v>
      </c>
      <c r="G39" s="1709"/>
      <c r="H39" s="1717" t="e">
        <f>1-E39/'1 QUESTIONÁRIO'!D123</f>
        <v>#DIV/0!</v>
      </c>
      <c r="I39" s="378"/>
      <c r="J39" s="378"/>
      <c r="K39" s="3"/>
      <c r="L39" s="3"/>
      <c r="M39" s="3"/>
      <c r="N39" s="3"/>
      <c r="O39" s="324"/>
      <c r="P39" s="324"/>
      <c r="Q39" s="324"/>
      <c r="R39" s="324"/>
      <c r="S39" s="324"/>
      <c r="T39" s="324"/>
      <c r="U39" s="324"/>
      <c r="V39" s="3"/>
      <c r="W39" s="3"/>
      <c r="X39" s="3"/>
      <c r="Y39" s="3"/>
      <c r="Z39" s="3"/>
      <c r="AA39" s="3"/>
      <c r="AB39" s="3"/>
      <c r="AC39" s="3"/>
      <c r="AD39" s="3"/>
    </row>
    <row r="40" spans="1:30" ht="15" customHeight="1" x14ac:dyDescent="0.25">
      <c r="A40" s="378"/>
      <c r="B40" s="1554"/>
      <c r="C40" s="1554"/>
      <c r="D40" s="1490" t="s">
        <v>43</v>
      </c>
      <c r="E40" s="1491" t="e">
        <f>+E39/'1 QUESTIONÁRIO'!F48</f>
        <v>#DIV/0!</v>
      </c>
      <c r="F40" s="1708"/>
      <c r="G40" s="1709"/>
      <c r="H40" s="1717"/>
      <c r="I40" s="378"/>
      <c r="J40" s="378"/>
      <c r="K40" s="3"/>
      <c r="L40" s="3"/>
      <c r="M40" s="3"/>
      <c r="N40" s="3"/>
      <c r="O40" s="326"/>
      <c r="P40" s="326"/>
      <c r="Q40" s="3"/>
      <c r="R40" s="3"/>
      <c r="S40" s="3"/>
      <c r="T40" s="3"/>
      <c r="U40" s="3"/>
      <c r="V40" s="3"/>
      <c r="W40" s="3"/>
      <c r="X40" s="3"/>
      <c r="Y40" s="3"/>
      <c r="Z40" s="3"/>
      <c r="AA40" s="3"/>
      <c r="AB40" s="3"/>
      <c r="AC40" s="3"/>
      <c r="AD40" s="3"/>
    </row>
    <row r="41" spans="1:30" x14ac:dyDescent="0.25">
      <c r="A41" s="378"/>
      <c r="B41" s="1033"/>
      <c r="C41" s="378"/>
      <c r="D41" s="378"/>
      <c r="E41" s="1512" t="s">
        <v>231</v>
      </c>
      <c r="F41" s="378"/>
      <c r="G41" s="38"/>
      <c r="H41" s="38"/>
      <c r="I41" s="38"/>
      <c r="J41" s="38"/>
      <c r="K41" s="38"/>
      <c r="L41" s="38"/>
      <c r="M41" s="38"/>
      <c r="N41" s="1552"/>
      <c r="O41" s="1525"/>
      <c r="P41" s="1525"/>
      <c r="Q41" s="1525"/>
      <c r="R41" s="1525"/>
      <c r="S41" s="1525"/>
      <c r="T41" s="1525"/>
      <c r="U41" s="1525"/>
      <c r="V41" s="1525"/>
      <c r="W41" s="1525"/>
      <c r="X41" s="1525"/>
      <c r="Y41" s="3"/>
      <c r="Z41" s="3"/>
      <c r="AA41" s="3"/>
      <c r="AB41" s="3"/>
      <c r="AC41" s="3"/>
      <c r="AD41" s="3"/>
    </row>
    <row r="42" spans="1:30" s="334" customFormat="1" ht="15" customHeight="1" x14ac:dyDescent="0.25">
      <c r="A42" s="378"/>
      <c r="B42" s="1714" t="s">
        <v>239</v>
      </c>
      <c r="C42" s="1715"/>
      <c r="D42" s="1716"/>
      <c r="E42" s="1343"/>
      <c r="F42" s="696"/>
      <c r="G42" s="696"/>
      <c r="H42" s="696"/>
      <c r="I42" s="696"/>
      <c r="J42" s="38"/>
      <c r="K42" s="38"/>
      <c r="L42" s="38"/>
      <c r="M42" s="38"/>
      <c r="N42" s="1552"/>
      <c r="O42" s="1525"/>
      <c r="P42" s="1525"/>
      <c r="Q42" s="1525"/>
      <c r="R42" s="1525"/>
      <c r="S42" s="1525"/>
      <c r="T42" s="1525"/>
      <c r="U42" s="1525"/>
      <c r="V42" s="1525"/>
      <c r="W42" s="1525"/>
      <c r="X42" s="1525"/>
      <c r="Y42" s="3"/>
      <c r="Z42" s="3"/>
      <c r="AA42" s="3"/>
      <c r="AB42" s="3"/>
      <c r="AC42" s="3"/>
      <c r="AD42" s="3"/>
    </row>
    <row r="43" spans="1:30" s="378" customFormat="1" ht="24" customHeight="1" x14ac:dyDescent="0.25">
      <c r="B43" s="1713" t="s">
        <v>240</v>
      </c>
      <c r="C43" s="1713"/>
      <c r="D43" s="1713"/>
      <c r="E43" s="1713"/>
      <c r="F43" s="1713"/>
      <c r="G43" s="1713"/>
      <c r="H43" s="1713"/>
      <c r="I43" s="1713"/>
      <c r="J43" s="38"/>
      <c r="K43" s="38"/>
      <c r="L43" s="38"/>
      <c r="M43" s="38"/>
      <c r="N43" s="1552"/>
      <c r="O43" s="1525"/>
      <c r="P43" s="1525"/>
      <c r="Q43" s="1525"/>
      <c r="R43" s="1525"/>
      <c r="S43" s="1525"/>
      <c r="T43" s="1525"/>
      <c r="U43" s="1525"/>
      <c r="V43" s="1525"/>
      <c r="W43" s="1525"/>
      <c r="X43" s="1525"/>
      <c r="Y43" s="3"/>
      <c r="Z43" s="3"/>
      <c r="AA43" s="3"/>
      <c r="AB43" s="3"/>
      <c r="AC43" s="3"/>
      <c r="AD43" s="3"/>
    </row>
    <row r="44" spans="1:30" s="378" customFormat="1" ht="12.75" customHeight="1" x14ac:dyDescent="0.25">
      <c r="B44" s="1516"/>
      <c r="C44" s="1516"/>
      <c r="D44" s="1516"/>
      <c r="E44" s="1516"/>
      <c r="F44" s="1516"/>
      <c r="G44" s="1516"/>
      <c r="H44" s="1516"/>
      <c r="I44" s="1516"/>
      <c r="J44" s="38"/>
      <c r="K44" s="38"/>
      <c r="L44" s="38"/>
      <c r="M44" s="38"/>
      <c r="N44" s="1552"/>
      <c r="O44" s="1525"/>
      <c r="P44" s="1525"/>
      <c r="Q44" s="1525"/>
      <c r="R44" s="1525"/>
      <c r="S44" s="1525"/>
      <c r="T44" s="1525"/>
      <c r="U44" s="1525"/>
      <c r="V44" s="1525"/>
      <c r="W44" s="1525"/>
      <c r="X44" s="1525"/>
      <c r="Y44" s="3"/>
      <c r="Z44" s="3"/>
      <c r="AA44" s="3"/>
      <c r="AB44" s="3"/>
      <c r="AC44" s="3"/>
      <c r="AD44" s="3"/>
    </row>
    <row r="45" spans="1:30" ht="15.75" customHeight="1" x14ac:dyDescent="0.25">
      <c r="A45" s="582">
        <v>3</v>
      </c>
      <c r="B45" s="49" t="s">
        <v>241</v>
      </c>
      <c r="C45" s="49"/>
      <c r="D45" s="49"/>
      <c r="E45" s="49"/>
      <c r="F45" s="49"/>
      <c r="G45" s="49"/>
      <c r="H45" s="38"/>
      <c r="I45" s="38"/>
      <c r="J45" s="38"/>
      <c r="K45" s="38"/>
      <c r="L45" s="38"/>
      <c r="M45" s="38"/>
      <c r="N45" s="3"/>
      <c r="O45" s="1525"/>
      <c r="P45" s="1525"/>
      <c r="Q45" s="1525"/>
      <c r="R45" s="1525"/>
      <c r="S45" s="1525"/>
      <c r="T45" s="1525"/>
      <c r="U45" s="324"/>
      <c r="V45" s="324"/>
      <c r="W45" s="324"/>
      <c r="X45" s="324"/>
      <c r="Y45" s="324"/>
      <c r="Z45" s="324"/>
      <c r="AA45" s="3"/>
      <c r="AB45" s="3"/>
      <c r="AC45" s="3"/>
      <c r="AD45" s="3"/>
    </row>
    <row r="46" spans="1:30" ht="15.75" customHeight="1" x14ac:dyDescent="0.25">
      <c r="A46" s="378"/>
      <c r="B46" s="1700" t="s">
        <v>242</v>
      </c>
      <c r="C46" s="1701"/>
      <c r="D46" s="1511" t="s">
        <v>231</v>
      </c>
      <c r="E46" s="522" t="s">
        <v>243</v>
      </c>
      <c r="F46" s="38"/>
      <c r="G46" s="378"/>
      <c r="H46" s="3"/>
      <c r="I46" s="3"/>
      <c r="J46" s="3"/>
      <c r="K46" s="341"/>
      <c r="L46" s="342"/>
      <c r="M46" s="342"/>
      <c r="N46" s="3"/>
      <c r="O46" s="1525"/>
      <c r="P46" s="1525"/>
      <c r="Q46" s="1525"/>
      <c r="R46" s="1525"/>
      <c r="S46" s="1525"/>
      <c r="T46" s="1525"/>
      <c r="U46" s="324"/>
      <c r="V46" s="324"/>
      <c r="W46" s="324"/>
      <c r="X46" s="324"/>
      <c r="Y46" s="324"/>
      <c r="Z46" s="324"/>
      <c r="AA46" s="3"/>
      <c r="AB46" s="3"/>
      <c r="AC46" s="3"/>
      <c r="AD46" s="3"/>
    </row>
    <row r="47" spans="1:30" ht="15.75" x14ac:dyDescent="0.25">
      <c r="A47" s="378"/>
      <c r="B47" s="1702" t="s">
        <v>244</v>
      </c>
      <c r="C47" s="1702"/>
      <c r="D47" s="1345"/>
      <c r="E47" s="523" t="str">
        <f>IF(D47&gt;0,D47/$D$49," ")</f>
        <v xml:space="preserve"> </v>
      </c>
      <c r="F47" s="38"/>
      <c r="G47" s="378"/>
      <c r="H47" s="3"/>
      <c r="I47" s="3"/>
      <c r="J47" s="3"/>
      <c r="K47" s="341"/>
      <c r="L47" s="342"/>
      <c r="M47" s="342"/>
      <c r="N47" s="3"/>
      <c r="O47" s="1525"/>
      <c r="P47" s="1525"/>
      <c r="Q47" s="1525"/>
      <c r="R47" s="1525"/>
      <c r="S47" s="1525"/>
      <c r="T47" s="1525"/>
      <c r="U47" s="324"/>
      <c r="V47" s="324"/>
      <c r="W47" s="324"/>
      <c r="X47" s="324"/>
      <c r="Y47" s="324"/>
      <c r="Z47" s="324"/>
      <c r="AA47" s="3"/>
      <c r="AB47" s="3"/>
      <c r="AC47" s="3"/>
      <c r="AD47" s="3"/>
    </row>
    <row r="48" spans="1:30" ht="15.75" x14ac:dyDescent="0.25">
      <c r="A48" s="378"/>
      <c r="B48" s="1690" t="s">
        <v>245</v>
      </c>
      <c r="C48" s="1703"/>
      <c r="D48" s="1347"/>
      <c r="E48" s="523" t="str">
        <f>IF(D48&gt;0,D48/$D$49," ")</f>
        <v xml:space="preserve"> </v>
      </c>
      <c r="F48" s="38"/>
      <c r="G48" s="378"/>
      <c r="H48" s="38"/>
      <c r="I48" s="38"/>
      <c r="J48" s="38"/>
      <c r="K48" s="60"/>
      <c r="L48" s="60"/>
      <c r="M48" s="60"/>
      <c r="N48" s="3"/>
      <c r="O48" s="1525"/>
      <c r="P48" s="1525"/>
      <c r="Q48" s="1525"/>
      <c r="R48" s="1525"/>
      <c r="S48" s="1525"/>
      <c r="T48" s="1525"/>
      <c r="U48" s="324"/>
      <c r="V48" s="324"/>
      <c r="W48" s="324"/>
      <c r="X48" s="324"/>
      <c r="Y48" s="324"/>
      <c r="Z48" s="324"/>
      <c r="AA48" s="3"/>
      <c r="AB48" s="3"/>
      <c r="AC48" s="3"/>
      <c r="AD48" s="3"/>
    </row>
    <row r="49" spans="1:30" ht="15.75" x14ac:dyDescent="0.25">
      <c r="A49" s="378"/>
      <c r="B49" s="1693" t="s">
        <v>246</v>
      </c>
      <c r="C49" s="1693"/>
      <c r="D49" s="1492">
        <f>SUM(D47:D48)</f>
        <v>0</v>
      </c>
      <c r="E49" s="347"/>
      <c r="F49" s="38"/>
      <c r="G49" s="378"/>
      <c r="H49" s="69"/>
      <c r="I49" s="69"/>
      <c r="J49" s="69"/>
      <c r="K49" s="340"/>
      <c r="L49" s="343"/>
      <c r="M49" s="343"/>
      <c r="N49" s="1525"/>
      <c r="O49" s="1525"/>
      <c r="P49" s="1525"/>
      <c r="Q49" s="1525"/>
      <c r="R49" s="1525"/>
      <c r="S49" s="1525"/>
      <c r="T49" s="1525"/>
      <c r="U49" s="324"/>
      <c r="V49" s="324"/>
      <c r="W49" s="324"/>
      <c r="X49" s="324"/>
      <c r="Y49" s="324"/>
      <c r="Z49" s="324"/>
      <c r="AA49" s="3"/>
      <c r="AB49" s="3"/>
      <c r="AC49" s="3"/>
      <c r="AD49" s="3"/>
    </row>
    <row r="50" spans="1:30" ht="15.75" x14ac:dyDescent="0.25">
      <c r="A50" s="378"/>
      <c r="B50" s="555" t="s">
        <v>247</v>
      </c>
      <c r="C50" s="38"/>
      <c r="D50" s="38"/>
      <c r="E50" s="38"/>
      <c r="F50" s="38"/>
      <c r="G50" s="378"/>
      <c r="H50" s="38"/>
      <c r="I50" s="38"/>
      <c r="J50" s="38"/>
      <c r="K50" s="60"/>
      <c r="L50" s="60"/>
      <c r="M50" s="60"/>
      <c r="N50" s="1525"/>
      <c r="O50" s="1525"/>
      <c r="P50" s="1525"/>
      <c r="Q50" s="1525"/>
      <c r="R50" s="1525"/>
      <c r="S50" s="1525"/>
      <c r="T50" s="1525"/>
      <c r="U50" s="324"/>
      <c r="V50" s="324"/>
      <c r="W50" s="324"/>
      <c r="X50" s="324"/>
      <c r="Y50" s="324"/>
      <c r="Z50" s="324"/>
      <c r="AA50" s="3"/>
      <c r="AB50" s="3"/>
      <c r="AC50" s="3"/>
      <c r="AD50" s="3"/>
    </row>
    <row r="51" spans="1:30" ht="15.75" x14ac:dyDescent="0.25">
      <c r="A51" s="378"/>
      <c r="B51" s="555" t="s">
        <v>248</v>
      </c>
      <c r="C51" s="378"/>
      <c r="D51" s="378"/>
      <c r="E51" s="378"/>
      <c r="F51" s="38"/>
      <c r="G51" s="378"/>
      <c r="H51" s="38"/>
      <c r="I51" s="38"/>
      <c r="J51" s="38"/>
      <c r="K51" s="60"/>
      <c r="L51" s="60"/>
      <c r="M51" s="60"/>
      <c r="N51" s="1525"/>
      <c r="O51" s="1525"/>
      <c r="P51" s="1525"/>
      <c r="Q51" s="1525"/>
      <c r="R51" s="1525"/>
      <c r="S51" s="1525"/>
      <c r="T51" s="1525"/>
      <c r="U51" s="38"/>
      <c r="V51" s="38"/>
      <c r="W51" s="38"/>
      <c r="X51" s="38"/>
      <c r="Y51" s="3"/>
      <c r="Z51" s="3"/>
      <c r="AA51" s="3"/>
      <c r="AB51" s="3"/>
      <c r="AC51" s="3"/>
      <c r="AD51" s="3"/>
    </row>
    <row r="52" spans="1:30" s="378" customFormat="1" ht="17.25" customHeight="1" x14ac:dyDescent="0.25">
      <c r="B52" s="1694" t="s">
        <v>249</v>
      </c>
      <c r="C52" s="1695"/>
      <c r="D52" s="1698" t="s">
        <v>231</v>
      </c>
      <c r="E52" s="1705" t="s">
        <v>250</v>
      </c>
      <c r="F52" s="38"/>
      <c r="H52" s="38"/>
      <c r="I52" s="38"/>
      <c r="J52" s="38"/>
      <c r="K52" s="60"/>
      <c r="L52" s="60"/>
      <c r="M52" s="60"/>
      <c r="N52" s="1525"/>
      <c r="O52" s="1525"/>
      <c r="P52" s="1525"/>
      <c r="Q52" s="1525"/>
      <c r="R52" s="1525"/>
      <c r="S52" s="1525"/>
      <c r="T52" s="1525"/>
      <c r="U52" s="38"/>
      <c r="V52" s="38"/>
      <c r="W52" s="38"/>
      <c r="X52" s="38"/>
      <c r="Y52" s="3"/>
      <c r="Z52" s="3"/>
      <c r="AA52" s="3"/>
      <c r="AB52" s="3"/>
      <c r="AC52" s="3"/>
      <c r="AD52" s="3"/>
    </row>
    <row r="53" spans="1:30" s="378" customFormat="1" ht="19.5" customHeight="1" x14ac:dyDescent="0.25">
      <c r="B53" s="1696"/>
      <c r="C53" s="1697"/>
      <c r="D53" s="1699"/>
      <c r="E53" s="1705"/>
      <c r="F53" s="38"/>
      <c r="H53" s="38"/>
      <c r="I53" s="38"/>
      <c r="J53" s="38"/>
      <c r="K53" s="60"/>
      <c r="L53" s="60"/>
      <c r="M53" s="60"/>
      <c r="N53" s="1525"/>
      <c r="O53" s="1525"/>
      <c r="P53" s="1525"/>
      <c r="Q53" s="1525"/>
      <c r="R53" s="1525"/>
      <c r="S53" s="1525"/>
      <c r="T53" s="1525"/>
      <c r="U53" s="38"/>
      <c r="V53" s="38"/>
      <c r="W53" s="38"/>
      <c r="X53" s="38"/>
      <c r="Y53" s="3"/>
      <c r="Z53" s="3"/>
      <c r="AA53" s="3"/>
      <c r="AB53" s="3"/>
      <c r="AC53" s="3"/>
      <c r="AD53" s="3"/>
    </row>
    <row r="54" spans="1:30" ht="15.75" customHeight="1" x14ac:dyDescent="0.25">
      <c r="A54" s="378"/>
      <c r="B54" s="1690" t="s">
        <v>77</v>
      </c>
      <c r="C54" s="1690"/>
      <c r="D54" s="1347"/>
      <c r="E54" s="1035" t="str">
        <f>IF(D54&gt;0,D54/$E$39,"")</f>
        <v/>
      </c>
      <c r="F54" s="38"/>
      <c r="G54" s="69"/>
      <c r="H54" s="69"/>
      <c r="I54" s="1704" t="str">
        <f>IF(D54&gt;0,D54/$D$49," ")</f>
        <v xml:space="preserve"> </v>
      </c>
      <c r="J54" s="1704"/>
      <c r="K54" s="378"/>
      <c r="L54" s="343"/>
      <c r="M54" s="343"/>
      <c r="N54" s="1525"/>
      <c r="O54" s="1525"/>
      <c r="P54" s="1525"/>
      <c r="Q54" s="1525"/>
      <c r="R54" s="1525"/>
      <c r="S54" s="1525"/>
      <c r="T54" s="1525"/>
      <c r="U54" s="38"/>
      <c r="V54" s="38"/>
      <c r="W54" s="38"/>
      <c r="X54" s="38"/>
      <c r="Y54" s="3"/>
      <c r="Z54" s="3"/>
      <c r="AA54" s="3"/>
      <c r="AB54" s="3"/>
      <c r="AC54" s="3"/>
      <c r="AD54" s="3"/>
    </row>
    <row r="55" spans="1:30" ht="15.75" x14ac:dyDescent="0.25">
      <c r="A55" s="378"/>
      <c r="B55" s="1690" t="s">
        <v>251</v>
      </c>
      <c r="C55" s="1690"/>
      <c r="D55" s="1347"/>
      <c r="E55" s="1035">
        <f>IF(D55&gt;0,D55/$E$39,0)</f>
        <v>0</v>
      </c>
      <c r="F55" s="38"/>
      <c r="G55" s="1525"/>
      <c r="H55" s="38"/>
      <c r="I55" s="1704" t="str">
        <f>IF(D55&gt;0,D55/$D$49," ")</f>
        <v xml:space="preserve"> </v>
      </c>
      <c r="J55" s="1704"/>
      <c r="K55" s="60"/>
      <c r="L55" s="60"/>
      <c r="M55" s="60"/>
      <c r="N55" s="1525"/>
      <c r="O55" s="1525"/>
      <c r="P55" s="1525"/>
      <c r="Q55" s="1525"/>
      <c r="R55" s="1525"/>
      <c r="S55" s="1525"/>
      <c r="T55" s="1525"/>
      <c r="U55" s="38"/>
      <c r="V55" s="38"/>
      <c r="W55" s="38"/>
      <c r="X55" s="38"/>
      <c r="Y55" s="3"/>
      <c r="Z55" s="3"/>
      <c r="AA55" s="3"/>
      <c r="AB55" s="3"/>
      <c r="AC55" s="3"/>
      <c r="AD55" s="3"/>
    </row>
    <row r="56" spans="1:30" s="378" customFormat="1" ht="15.75" x14ac:dyDescent="0.25">
      <c r="B56" s="1690" t="s">
        <v>252</v>
      </c>
      <c r="C56" s="1690"/>
      <c r="D56" s="1348">
        <f>+D47-D54-D55</f>
        <v>0</v>
      </c>
      <c r="E56" s="1035" t="str">
        <f>IF(D56&gt;0,D56/$E$39,"")</f>
        <v/>
      </c>
      <c r="F56" s="38"/>
      <c r="G56" s="1525"/>
      <c r="H56" s="38"/>
      <c r="I56" s="1704" t="str">
        <f>IF(D56&gt;0,D56/$D$49," ")</f>
        <v xml:space="preserve"> </v>
      </c>
      <c r="J56" s="1704"/>
      <c r="K56" s="60"/>
      <c r="L56" s="60"/>
      <c r="M56" s="60"/>
      <c r="N56" s="1525"/>
      <c r="O56" s="1525"/>
      <c r="P56" s="1525"/>
      <c r="Q56" s="1525"/>
      <c r="R56" s="1525"/>
      <c r="S56" s="1525"/>
      <c r="T56" s="1525"/>
      <c r="U56" s="38"/>
      <c r="V56" s="38"/>
      <c r="W56" s="38"/>
      <c r="X56" s="38"/>
      <c r="Y56" s="3"/>
      <c r="Z56" s="3"/>
      <c r="AA56" s="3"/>
      <c r="AB56" s="3"/>
      <c r="AC56" s="3"/>
      <c r="AD56" s="3"/>
    </row>
    <row r="57" spans="1:30" ht="15.75" customHeight="1" x14ac:dyDescent="0.25">
      <c r="A57" s="378"/>
      <c r="B57" s="1338" t="s">
        <v>253</v>
      </c>
      <c r="C57" s="378"/>
      <c r="D57" s="1034" t="e">
        <f>IF(AND(E55&gt;0.1,E40&lt;2),E39*0.1,IF(AND(E55&gt;0.2,E40&lt;4),E39*0.2,D55))</f>
        <v>#DIV/0!</v>
      </c>
      <c r="E57" s="359"/>
      <c r="F57" s="38"/>
      <c r="G57" s="69"/>
      <c r="H57" s="69"/>
      <c r="I57" s="69"/>
      <c r="J57" s="69"/>
      <c r="K57" s="378"/>
      <c r="L57" s="343"/>
      <c r="M57" s="343"/>
      <c r="N57" s="1525"/>
      <c r="O57" s="1525"/>
      <c r="P57" s="1525"/>
      <c r="Q57" s="1525"/>
      <c r="R57" s="1525"/>
      <c r="S57" s="1525"/>
      <c r="T57" s="1525"/>
      <c r="U57" s="3"/>
      <c r="V57" s="38"/>
      <c r="W57" s="38"/>
      <c r="X57" s="38"/>
      <c r="Y57" s="3"/>
      <c r="Z57" s="3"/>
      <c r="AA57" s="3"/>
      <c r="AB57" s="3"/>
      <c r="AC57" s="3"/>
      <c r="AD57" s="3"/>
    </row>
    <row r="58" spans="1:30" s="378" customFormat="1" ht="15.75" customHeight="1" x14ac:dyDescent="0.25">
      <c r="A58" s="582">
        <v>4</v>
      </c>
      <c r="B58" s="49" t="s">
        <v>254</v>
      </c>
      <c r="D58" s="591"/>
      <c r="E58" s="359"/>
      <c r="F58" s="38"/>
      <c r="G58" s="69"/>
      <c r="H58" s="69"/>
      <c r="I58" s="69"/>
      <c r="J58" s="69"/>
      <c r="L58" s="343"/>
      <c r="M58" s="343"/>
      <c r="N58" s="1525"/>
      <c r="O58" s="1525"/>
      <c r="P58" s="1525"/>
      <c r="Q58" s="1525"/>
      <c r="R58" s="1525"/>
      <c r="S58" s="1525"/>
      <c r="T58" s="1525"/>
      <c r="U58" s="3"/>
      <c r="V58" s="38"/>
      <c r="W58" s="38"/>
      <c r="X58" s="38"/>
      <c r="Y58" s="3"/>
      <c r="Z58" s="3"/>
      <c r="AA58" s="3"/>
      <c r="AB58" s="3"/>
      <c r="AC58" s="3"/>
      <c r="AD58" s="3"/>
    </row>
    <row r="59" spans="1:30" s="378" customFormat="1" ht="15.75" x14ac:dyDescent="0.25">
      <c r="A59" s="582"/>
      <c r="B59" s="1036" t="s">
        <v>255</v>
      </c>
      <c r="C59" s="49"/>
      <c r="D59" s="49"/>
      <c r="E59" s="49"/>
      <c r="F59" s="38"/>
      <c r="G59" s="69"/>
      <c r="H59" s="69"/>
      <c r="I59" s="69"/>
      <c r="J59" s="69"/>
      <c r="L59" s="343"/>
      <c r="M59" s="343"/>
      <c r="N59" s="1525"/>
      <c r="O59" s="1525"/>
      <c r="P59" s="1525"/>
      <c r="Q59" s="1525"/>
      <c r="R59" s="1525"/>
      <c r="S59" s="1525"/>
      <c r="T59" s="1525"/>
      <c r="U59" s="3"/>
      <c r="V59" s="38"/>
      <c r="W59" s="38"/>
      <c r="X59" s="38"/>
      <c r="Y59" s="3"/>
      <c r="Z59" s="3"/>
      <c r="AA59" s="3"/>
      <c r="AB59" s="3"/>
      <c r="AC59" s="3"/>
      <c r="AD59" s="3"/>
    </row>
    <row r="60" spans="1:30" s="378" customFormat="1" ht="14.25" customHeight="1" x14ac:dyDescent="0.25">
      <c r="A60" s="606"/>
      <c r="B60" s="1690" t="s">
        <v>256</v>
      </c>
      <c r="C60" s="1690"/>
      <c r="D60" s="1405">
        <v>0.2</v>
      </c>
      <c r="J60" s="69"/>
      <c r="L60" s="343"/>
      <c r="M60" s="343"/>
      <c r="N60" s="1525"/>
      <c r="O60" s="1525"/>
      <c r="P60" s="1525"/>
      <c r="Q60" s="1525"/>
      <c r="R60" s="1525"/>
      <c r="S60" s="1525"/>
      <c r="T60" s="1525"/>
      <c r="U60" s="3"/>
      <c r="V60" s="38"/>
      <c r="W60" s="38"/>
      <c r="X60" s="38"/>
      <c r="Y60" s="3"/>
      <c r="Z60" s="3"/>
      <c r="AA60" s="3"/>
      <c r="AB60" s="3"/>
      <c r="AC60" s="3"/>
      <c r="AD60" s="3"/>
    </row>
    <row r="61" spans="1:30" s="378" customFormat="1" ht="13.5" customHeight="1" x14ac:dyDescent="0.25">
      <c r="A61" s="606"/>
      <c r="B61" s="577"/>
      <c r="C61" s="577"/>
      <c r="D61" s="816"/>
      <c r="J61" s="69"/>
      <c r="L61" s="343"/>
      <c r="M61" s="343"/>
      <c r="N61" s="1525"/>
      <c r="O61" s="1525"/>
      <c r="P61" s="1525"/>
      <c r="Q61" s="1525"/>
      <c r="R61" s="1525"/>
      <c r="S61" s="1525"/>
      <c r="T61" s="1525"/>
      <c r="U61" s="3"/>
      <c r="V61" s="38"/>
      <c r="W61" s="38"/>
      <c r="X61" s="38"/>
      <c r="Y61" s="3"/>
      <c r="Z61" s="3"/>
      <c r="AA61" s="3"/>
      <c r="AB61" s="3"/>
      <c r="AC61" s="3"/>
      <c r="AD61" s="3"/>
    </row>
    <row r="62" spans="1:30" s="378" customFormat="1" ht="15" customHeight="1" x14ac:dyDescent="0.25">
      <c r="A62" s="582"/>
      <c r="B62" s="1036" t="s">
        <v>257</v>
      </c>
      <c r="C62" s="601"/>
      <c r="D62" s="601"/>
      <c r="E62" s="601"/>
      <c r="F62" s="601"/>
      <c r="G62" s="601"/>
      <c r="H62" s="601"/>
      <c r="I62" s="601"/>
      <c r="J62" s="3"/>
      <c r="K62" s="3"/>
      <c r="L62" s="3"/>
      <c r="M62" s="3"/>
      <c r="N62" s="3"/>
      <c r="O62" s="3"/>
      <c r="P62" s="3"/>
      <c r="Q62" s="3"/>
      <c r="R62" s="3"/>
      <c r="S62" s="3"/>
      <c r="T62" s="3"/>
      <c r="U62" s="3"/>
      <c r="V62" s="3"/>
      <c r="W62" s="3"/>
      <c r="X62" s="3"/>
      <c r="Y62" s="3"/>
      <c r="Z62" s="3"/>
      <c r="AA62" s="3"/>
      <c r="AB62" s="3"/>
      <c r="AC62" s="3"/>
      <c r="AD62" s="3"/>
    </row>
    <row r="63" spans="1:30" ht="13.5" customHeight="1" x14ac:dyDescent="0.25">
      <c r="A63" s="378"/>
      <c r="B63" s="1690" t="s">
        <v>256</v>
      </c>
      <c r="C63" s="1690"/>
      <c r="D63" s="1350">
        <f>IF((D60+D54)&gt;'GUIA DE APLICAÇÃO'!L572,(D54+D60)-'GUIA DE APLICAÇÃO'!L572,0)</f>
        <v>0.2</v>
      </c>
      <c r="E63" s="38"/>
      <c r="F63" s="378"/>
      <c r="G63" s="378"/>
      <c r="H63" s="378"/>
      <c r="I63" s="378"/>
      <c r="J63" s="3"/>
      <c r="K63" s="3"/>
      <c r="L63" s="3"/>
      <c r="M63" s="3"/>
      <c r="N63" s="3"/>
      <c r="O63" s="3"/>
      <c r="P63" s="3"/>
      <c r="Q63" s="3"/>
      <c r="R63" s="3"/>
      <c r="S63" s="3"/>
      <c r="T63" s="3"/>
      <c r="U63" s="3"/>
      <c r="V63" s="3"/>
      <c r="W63" s="3"/>
      <c r="X63" s="3"/>
      <c r="Y63" s="3"/>
      <c r="Z63" s="3"/>
      <c r="AA63" s="3"/>
      <c r="AB63" s="3"/>
      <c r="AC63" s="3"/>
      <c r="AD63" s="3"/>
    </row>
    <row r="64" spans="1:30" s="378" customFormat="1" ht="13.5" hidden="1" customHeight="1" x14ac:dyDescent="0.25">
      <c r="B64" s="577"/>
      <c r="C64" s="577"/>
      <c r="D64" s="38"/>
      <c r="E64" s="38"/>
      <c r="F64" s="38"/>
      <c r="G64" s="1525"/>
      <c r="H64" s="3"/>
      <c r="I64" s="3"/>
      <c r="J64" s="3"/>
      <c r="K64" s="3"/>
      <c r="L64" s="3"/>
      <c r="M64" s="3"/>
      <c r="N64" s="3"/>
      <c r="O64" s="3"/>
      <c r="P64" s="3"/>
      <c r="Q64" s="3"/>
      <c r="R64" s="3"/>
      <c r="S64" s="3"/>
      <c r="T64" s="3"/>
      <c r="U64" s="3"/>
      <c r="V64" s="3"/>
      <c r="W64" s="3"/>
      <c r="X64" s="3"/>
      <c r="Y64" s="3"/>
      <c r="Z64" s="3"/>
      <c r="AA64" s="3"/>
      <c r="AB64" s="3"/>
      <c r="AC64" s="3"/>
      <c r="AD64" s="3"/>
    </row>
    <row r="65" spans="2:30" s="378" customFormat="1" ht="13.5" hidden="1" customHeight="1" x14ac:dyDescent="0.25">
      <c r="F65" s="49"/>
      <c r="G65" s="49"/>
      <c r="H65" s="3"/>
      <c r="I65" s="3"/>
      <c r="J65" s="3"/>
      <c r="K65" s="3"/>
      <c r="L65" s="3"/>
      <c r="M65" s="3"/>
      <c r="N65" s="3"/>
      <c r="O65" s="3"/>
      <c r="P65" s="3"/>
      <c r="Q65" s="3"/>
      <c r="R65" s="3"/>
      <c r="S65" s="3"/>
      <c r="T65" s="3"/>
      <c r="U65" s="3"/>
      <c r="V65" s="3"/>
      <c r="W65" s="3"/>
      <c r="X65" s="3"/>
      <c r="Y65" s="3"/>
      <c r="Z65" s="3"/>
      <c r="AA65" s="3"/>
      <c r="AB65" s="3"/>
      <c r="AC65" s="3"/>
      <c r="AD65" s="3"/>
    </row>
    <row r="66" spans="2:30" s="378" customFormat="1" ht="13.5" hidden="1" customHeight="1" x14ac:dyDescent="0.25">
      <c r="F66" s="49"/>
      <c r="G66" s="49"/>
      <c r="H66" s="3"/>
      <c r="I66" s="3"/>
      <c r="J66" s="3"/>
      <c r="K66" s="3"/>
      <c r="L66" s="3"/>
      <c r="M66" s="3"/>
      <c r="N66" s="3"/>
      <c r="O66" s="3"/>
      <c r="P66" s="3"/>
      <c r="Q66" s="3"/>
      <c r="R66" s="3"/>
      <c r="S66" s="3"/>
      <c r="T66" s="3"/>
      <c r="U66" s="3"/>
      <c r="V66" s="3"/>
      <c r="W66" s="3"/>
      <c r="X66" s="3"/>
      <c r="Y66" s="3"/>
      <c r="Z66" s="3"/>
      <c r="AA66" s="3"/>
      <c r="AB66" s="3"/>
      <c r="AC66" s="3"/>
      <c r="AD66" s="3"/>
    </row>
    <row r="67" spans="2:30" ht="15.75" hidden="1" customHeight="1" x14ac:dyDescent="0.25">
      <c r="B67" s="378"/>
      <c r="C67" s="378"/>
      <c r="D67" s="378"/>
      <c r="E67" s="38"/>
      <c r="F67" s="38"/>
      <c r="G67" s="1525"/>
      <c r="H67" s="378"/>
      <c r="I67" s="378"/>
      <c r="J67" s="3"/>
      <c r="K67" s="3"/>
      <c r="L67" s="3"/>
      <c r="M67" s="3"/>
      <c r="N67" s="3"/>
      <c r="O67" s="3"/>
      <c r="P67" s="3"/>
      <c r="Q67" s="3"/>
      <c r="R67" s="3"/>
      <c r="S67" s="3"/>
      <c r="T67" s="3"/>
      <c r="U67" s="3"/>
      <c r="V67" s="3"/>
      <c r="W67" s="3"/>
      <c r="X67" s="3"/>
      <c r="Y67" s="3"/>
      <c r="Z67" s="3"/>
      <c r="AA67" s="3"/>
      <c r="AB67" s="3"/>
      <c r="AC67" s="3"/>
      <c r="AD67" s="3"/>
    </row>
    <row r="68" spans="2:30" ht="15.75" hidden="1" x14ac:dyDescent="0.25">
      <c r="B68" s="571" t="s">
        <v>258</v>
      </c>
      <c r="C68" s="69"/>
      <c r="D68" s="339"/>
      <c r="E68" s="38"/>
      <c r="F68" s="38"/>
      <c r="G68" s="1525"/>
      <c r="H68" s="378"/>
      <c r="I68" s="378"/>
      <c r="J68" s="3"/>
      <c r="K68" s="3"/>
      <c r="L68" s="3"/>
      <c r="M68" s="3"/>
      <c r="N68" s="3"/>
      <c r="O68" s="3"/>
      <c r="P68" s="3"/>
      <c r="Q68" s="3"/>
      <c r="R68" s="3"/>
      <c r="S68" s="3"/>
      <c r="T68" s="3"/>
      <c r="U68" s="3"/>
      <c r="V68" s="3"/>
      <c r="W68" s="3"/>
      <c r="X68" s="3"/>
      <c r="Y68" s="3"/>
      <c r="Z68" s="3"/>
      <c r="AA68" s="3"/>
      <c r="AB68" s="3"/>
      <c r="AC68" s="3"/>
      <c r="AD68" s="3"/>
    </row>
    <row r="69" spans="2:30" hidden="1" x14ac:dyDescent="0.25">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hidden="1" x14ac:dyDescent="0.25">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hidden="1" x14ac:dyDescent="0.25">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idden="1" x14ac:dyDescent="0.25">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hidden="1" x14ac:dyDescent="0.25">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hidden="1" x14ac:dyDescent="0.25">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hidden="1" x14ac:dyDescent="0.25">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hidden="1" x14ac:dyDescent="0.25">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hidden="1" x14ac:dyDescent="0.25">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78" spans="2:30" hidden="1" x14ac:dyDescent="0.25">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row>
    <row r="79" spans="2:30" hidden="1" x14ac:dyDescent="0.25">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row>
    <row r="80" spans="2:30" hidden="1" x14ac:dyDescent="0.25">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row>
    <row r="81" spans="2:30" hidden="1" x14ac:dyDescent="0.25">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row>
    <row r="82" spans="2:30" hidden="1" x14ac:dyDescent="0.25">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row>
    <row r="83" spans="2:30" hidden="1" x14ac:dyDescent="0.25">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row>
    <row r="84" spans="2:30" hidden="1" x14ac:dyDescent="0.25">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row>
    <row r="85" spans="2:30" hidden="1" x14ac:dyDescent="0.25">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row>
    <row r="86" spans="2:30" hidden="1" x14ac:dyDescent="0.25">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row>
    <row r="87" spans="2:30" hidden="1" x14ac:dyDescent="0.25">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row>
    <row r="88" spans="2:30" hidden="1" x14ac:dyDescent="0.25">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row>
    <row r="89" spans="2:30" hidden="1" x14ac:dyDescent="0.25">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row>
    <row r="90" spans="2:30" hidden="1" x14ac:dyDescent="0.25">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row>
    <row r="91" spans="2:30" hidden="1" x14ac:dyDescent="0.25">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row>
    <row r="92" spans="2:30" hidden="1" x14ac:dyDescent="0.25">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row>
    <row r="93" spans="2:30" hidden="1" x14ac:dyDescent="0.25">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row>
    <row r="94" spans="2:30" hidden="1" x14ac:dyDescent="0.25">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row>
    <row r="95" spans="2:30" hidden="1" x14ac:dyDescent="0.25">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row>
    <row r="96" spans="2:30" hidden="1" x14ac:dyDescent="0.25">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row>
    <row r="97" spans="2:30" hidden="1" x14ac:dyDescent="0.25">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row>
    <row r="98" spans="2:30" hidden="1" x14ac:dyDescent="0.25">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row>
    <row r="99" spans="2:30" hidden="1" x14ac:dyDescent="0.25">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row>
    <row r="100" spans="2:30" hidden="1" x14ac:dyDescent="0.25">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row>
    <row r="101" spans="2:30" hidden="1" x14ac:dyDescent="0.25">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row>
    <row r="102" spans="2:30" hidden="1" x14ac:dyDescent="0.25">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row>
    <row r="103" spans="2:30" hidden="1" x14ac:dyDescent="0.25">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row>
    <row r="104" spans="2:30" hidden="1" x14ac:dyDescent="0.25">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row>
    <row r="105" spans="2:30" hidden="1" x14ac:dyDescent="0.25">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row>
    <row r="106" spans="2:30" hidden="1" x14ac:dyDescent="0.25">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row>
    <row r="107" spans="2:30" hidden="1" x14ac:dyDescent="0.25">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row>
    <row r="108" spans="2:30" hidden="1" x14ac:dyDescent="0.25">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row>
    <row r="109" spans="2:30" hidden="1" x14ac:dyDescent="0.25">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row>
    <row r="110" spans="2:30" hidden="1" x14ac:dyDescent="0.25">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row>
    <row r="111" spans="2:30" hidden="1" x14ac:dyDescent="0.25">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row>
    <row r="112" spans="2:30" hidden="1" x14ac:dyDescent="0.25">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row>
    <row r="113" spans="2:30" hidden="1" x14ac:dyDescent="0.25">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row>
    <row r="114" spans="2:30" hidden="1" x14ac:dyDescent="0.25">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row>
    <row r="115" spans="2:30" hidden="1" x14ac:dyDescent="0.25">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row>
    <row r="116" spans="2:30" hidden="1" x14ac:dyDescent="0.25">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row>
    <row r="117" spans="2:30" hidden="1" x14ac:dyDescent="0.25">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row>
    <row r="118" spans="2:30" hidden="1" x14ac:dyDescent="0.25">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row>
    <row r="119" spans="2:30" hidden="1" x14ac:dyDescent="0.25">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row>
    <row r="120" spans="2:30" hidden="1" x14ac:dyDescent="0.25">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row>
    <row r="121" spans="2:30" hidden="1" x14ac:dyDescent="0.25">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row>
    <row r="122" spans="2:30" hidden="1" x14ac:dyDescent="0.25">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row>
    <row r="123" spans="2:30" hidden="1" x14ac:dyDescent="0.25">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row>
    <row r="124" spans="2:30" hidden="1" x14ac:dyDescent="0.25">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row>
    <row r="125" spans="2:30" hidden="1" x14ac:dyDescent="0.25">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row>
    <row r="126" spans="2:30" hidden="1" x14ac:dyDescent="0.25">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row>
    <row r="127" spans="2:30" hidden="1" x14ac:dyDescent="0.25">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row>
    <row r="128" spans="2:30" hidden="1" x14ac:dyDescent="0.25">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row>
    <row r="129" spans="2:30" hidden="1" x14ac:dyDescent="0.25">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row>
    <row r="130" spans="2:30" hidden="1" x14ac:dyDescent="0.25">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row>
    <row r="131" spans="2:30" hidden="1" x14ac:dyDescent="0.25">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row>
    <row r="132" spans="2:30" hidden="1" x14ac:dyDescent="0.25">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row>
    <row r="133" spans="2:30" hidden="1" x14ac:dyDescent="0.25">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row>
    <row r="134" spans="2:30" hidden="1" x14ac:dyDescent="0.25">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row>
    <row r="135" spans="2:30" hidden="1" x14ac:dyDescent="0.25">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row>
    <row r="136" spans="2:30" hidden="1" x14ac:dyDescent="0.25">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row>
    <row r="137" spans="2:30" hidden="1" x14ac:dyDescent="0.25">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row>
    <row r="138" spans="2:30" hidden="1" x14ac:dyDescent="0.25">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row>
    <row r="139" spans="2:30" hidden="1" x14ac:dyDescent="0.25">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row>
    <row r="140" spans="2:30" hidden="1" x14ac:dyDescent="0.25">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row>
    <row r="141" spans="2:30" hidden="1" x14ac:dyDescent="0.25">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row>
    <row r="142" spans="2:30" hidden="1" x14ac:dyDescent="0.25">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row>
    <row r="143" spans="2:30" hidden="1" x14ac:dyDescent="0.25">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row>
    <row r="144" spans="2:30" hidden="1" x14ac:dyDescent="0.25">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row>
    <row r="145" spans="2:30" hidden="1" x14ac:dyDescent="0.25">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row>
    <row r="146" spans="2:30" hidden="1" x14ac:dyDescent="0.25">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row>
    <row r="147" spans="2:30" hidden="1" x14ac:dyDescent="0.25">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row>
    <row r="148" spans="2:30" hidden="1" x14ac:dyDescent="0.25">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row>
    <row r="149" spans="2:30" hidden="1" x14ac:dyDescent="0.25">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row>
    <row r="150" spans="2:30" hidden="1" x14ac:dyDescent="0.25">
      <c r="B150" s="3"/>
      <c r="C150" s="3"/>
      <c r="D150" s="3"/>
      <c r="E150" s="3"/>
      <c r="F150" s="3"/>
      <c r="G150" s="3"/>
      <c r="H150" s="3"/>
      <c r="I150" s="3"/>
      <c r="J150" s="3"/>
      <c r="K150" s="3"/>
      <c r="L150" s="3"/>
      <c r="M150" s="3"/>
      <c r="N150" s="3"/>
      <c r="O150" s="3"/>
      <c r="P150" s="3"/>
      <c r="Q150" s="3"/>
      <c r="R150" s="3"/>
      <c r="S150" s="3"/>
      <c r="T150" s="3"/>
      <c r="U150" s="3"/>
      <c r="V150" s="3"/>
      <c r="W150" s="3"/>
      <c r="X150" s="3"/>
      <c r="Y150" s="3"/>
      <c r="Z150" s="378"/>
      <c r="AA150" s="378"/>
      <c r="AB150" s="378"/>
      <c r="AC150" s="378"/>
      <c r="AD150" s="378"/>
    </row>
    <row r="151" spans="2:30" hidden="1" x14ac:dyDescent="0.25">
      <c r="B151" s="3"/>
      <c r="C151" s="3"/>
      <c r="D151" s="3"/>
      <c r="E151" s="3"/>
      <c r="F151" s="3"/>
      <c r="G151" s="3"/>
      <c r="H151" s="3"/>
      <c r="I151" s="3"/>
      <c r="J151" s="3"/>
      <c r="K151" s="3"/>
      <c r="L151" s="3"/>
      <c r="M151" s="3"/>
      <c r="N151" s="3"/>
      <c r="O151" s="3"/>
      <c r="P151" s="3"/>
      <c r="Q151" s="3"/>
      <c r="R151" s="3"/>
      <c r="S151" s="3"/>
      <c r="T151" s="3"/>
      <c r="U151" s="3"/>
      <c r="V151" s="3"/>
      <c r="W151" s="3"/>
      <c r="X151" s="3"/>
      <c r="Y151" s="3"/>
      <c r="Z151" s="378"/>
      <c r="AA151" s="378"/>
      <c r="AB151" s="378"/>
      <c r="AC151" s="378"/>
      <c r="AD151" s="378"/>
    </row>
    <row r="152" spans="2:30" hidden="1" x14ac:dyDescent="0.25">
      <c r="B152" s="378"/>
      <c r="C152" s="378"/>
      <c r="D152" s="378"/>
      <c r="E152" s="378"/>
      <c r="F152" s="378"/>
      <c r="G152" s="378"/>
      <c r="H152" s="378"/>
      <c r="I152" s="378"/>
      <c r="J152" s="378"/>
      <c r="K152" s="378"/>
      <c r="L152" s="378"/>
      <c r="M152" s="378"/>
      <c r="N152" s="378"/>
      <c r="O152" s="378"/>
      <c r="P152" s="378"/>
      <c r="Q152" s="378"/>
      <c r="R152" s="378"/>
      <c r="S152" s="378"/>
      <c r="T152" s="378"/>
      <c r="U152" s="378"/>
      <c r="V152" s="378"/>
      <c r="W152" s="378"/>
      <c r="X152" s="378"/>
      <c r="Y152" s="378"/>
      <c r="Z152" s="378"/>
      <c r="AA152" s="378"/>
      <c r="AB152" s="378"/>
      <c r="AC152" s="378"/>
      <c r="AD152" s="378"/>
    </row>
    <row r="153" spans="2:30" hidden="1" x14ac:dyDescent="0.25">
      <c r="B153" s="378"/>
      <c r="C153" s="378"/>
      <c r="D153" s="378"/>
      <c r="E153" s="378"/>
      <c r="F153" s="378"/>
      <c r="G153" s="378"/>
      <c r="H153" s="378"/>
      <c r="I153" s="378"/>
      <c r="J153" s="378"/>
      <c r="K153" s="378"/>
      <c r="L153" s="378"/>
      <c r="M153" s="378"/>
      <c r="N153" s="378"/>
      <c r="O153" s="378"/>
      <c r="P153" s="378"/>
      <c r="Q153" s="378"/>
      <c r="R153" s="378"/>
      <c r="S153" s="378"/>
      <c r="T153" s="378"/>
      <c r="U153" s="378"/>
      <c r="V153" s="378"/>
      <c r="W153" s="378"/>
      <c r="X153" s="378"/>
      <c r="Y153" s="378"/>
      <c r="Z153" s="378"/>
      <c r="AA153" s="378"/>
      <c r="AB153" s="378"/>
      <c r="AC153" s="378"/>
      <c r="AD153" s="378"/>
    </row>
    <row r="154" spans="2:30" hidden="1" x14ac:dyDescent="0.25">
      <c r="B154" s="378"/>
      <c r="C154" s="378"/>
      <c r="D154" s="378"/>
      <c r="E154" s="378"/>
      <c r="F154" s="378"/>
      <c r="G154" s="378"/>
      <c r="H154" s="378"/>
      <c r="I154" s="378"/>
      <c r="J154" s="378"/>
      <c r="K154" s="378"/>
      <c r="L154" s="378"/>
      <c r="M154" s="378"/>
      <c r="N154" s="378"/>
      <c r="O154" s="378"/>
      <c r="P154" s="378"/>
      <c r="Q154" s="378"/>
      <c r="R154" s="378"/>
      <c r="S154" s="378"/>
      <c r="T154" s="378"/>
      <c r="U154" s="378"/>
      <c r="V154" s="378"/>
      <c r="W154" s="378"/>
      <c r="X154" s="378"/>
      <c r="Y154" s="378"/>
      <c r="Z154" s="378"/>
      <c r="AA154" s="378"/>
      <c r="AB154" s="378"/>
      <c r="AC154" s="378"/>
      <c r="AD154" s="378"/>
    </row>
    <row r="155" spans="2:30" hidden="1" x14ac:dyDescent="0.25">
      <c r="B155" s="378"/>
      <c r="C155" s="378"/>
      <c r="D155" s="378"/>
      <c r="E155" s="378"/>
      <c r="F155" s="378"/>
      <c r="G155" s="378"/>
      <c r="H155" s="378"/>
      <c r="I155" s="378"/>
      <c r="J155" s="378"/>
      <c r="K155" s="378"/>
      <c r="L155" s="378"/>
      <c r="M155" s="378"/>
      <c r="N155" s="378"/>
      <c r="O155" s="378"/>
      <c r="P155" s="378"/>
      <c r="Q155" s="378"/>
      <c r="R155" s="378"/>
      <c r="S155" s="378"/>
      <c r="T155" s="378"/>
      <c r="U155" s="378"/>
      <c r="V155" s="378"/>
      <c r="W155" s="378"/>
      <c r="X155" s="378"/>
      <c r="Y155" s="378"/>
      <c r="Z155" s="378"/>
      <c r="AA155" s="378"/>
      <c r="AB155" s="378"/>
      <c r="AC155" s="378"/>
      <c r="AD155" s="378"/>
    </row>
    <row r="156" spans="2:30" hidden="1" x14ac:dyDescent="0.25">
      <c r="B156" s="378"/>
      <c r="C156" s="378"/>
      <c r="D156" s="378"/>
      <c r="E156" s="378"/>
      <c r="F156" s="378"/>
      <c r="G156" s="378"/>
      <c r="H156" s="378"/>
      <c r="I156" s="378"/>
      <c r="J156" s="378"/>
      <c r="K156" s="378"/>
      <c r="L156" s="378"/>
      <c r="M156" s="378"/>
      <c r="N156" s="378"/>
      <c r="O156" s="378"/>
      <c r="P156" s="378"/>
      <c r="Q156" s="378"/>
      <c r="R156" s="378"/>
      <c r="S156" s="378"/>
      <c r="T156" s="378"/>
      <c r="U156" s="378"/>
      <c r="V156" s="378"/>
      <c r="W156" s="378"/>
      <c r="X156" s="378"/>
      <c r="Y156" s="378"/>
      <c r="Z156" s="378"/>
      <c r="AA156" s="378"/>
      <c r="AB156" s="378"/>
      <c r="AC156" s="378"/>
      <c r="AD156" s="378"/>
    </row>
    <row r="157" spans="2:30" hidden="1" x14ac:dyDescent="0.25">
      <c r="B157" s="378"/>
      <c r="C157" s="378"/>
      <c r="D157" s="378"/>
      <c r="E157" s="378"/>
      <c r="F157" s="378"/>
      <c r="G157" s="378"/>
      <c r="H157" s="378"/>
      <c r="I157" s="378"/>
      <c r="J157" s="378"/>
      <c r="K157" s="378"/>
      <c r="L157" s="378"/>
      <c r="M157" s="378"/>
      <c r="N157" s="378"/>
      <c r="O157" s="378"/>
      <c r="P157" s="378"/>
      <c r="Q157" s="378"/>
      <c r="R157" s="378"/>
      <c r="S157" s="378"/>
      <c r="T157" s="378"/>
      <c r="U157" s="378"/>
      <c r="V157" s="378"/>
      <c r="W157" s="378"/>
      <c r="X157" s="378"/>
      <c r="Y157" s="378"/>
      <c r="Z157" s="378"/>
      <c r="AA157" s="378"/>
      <c r="AB157" s="378"/>
      <c r="AC157" s="378"/>
      <c r="AD157" s="378"/>
    </row>
    <row r="158" spans="2:30" hidden="1" x14ac:dyDescent="0.25">
      <c r="B158" s="378"/>
      <c r="C158" s="378"/>
      <c r="D158" s="378"/>
      <c r="E158" s="378"/>
      <c r="F158" s="378"/>
      <c r="G158" s="378"/>
      <c r="H158" s="378"/>
      <c r="I158" s="378"/>
      <c r="J158" s="378"/>
      <c r="K158" s="378"/>
      <c r="L158" s="378"/>
      <c r="M158" s="378"/>
      <c r="N158" s="378"/>
      <c r="O158" s="378"/>
      <c r="P158" s="378"/>
      <c r="Q158" s="378"/>
      <c r="R158" s="378"/>
      <c r="S158" s="378"/>
      <c r="T158" s="378"/>
      <c r="U158" s="378"/>
      <c r="V158" s="378"/>
      <c r="W158" s="378"/>
      <c r="X158" s="378"/>
      <c r="Y158" s="378"/>
      <c r="Z158" s="378"/>
      <c r="AA158" s="378"/>
      <c r="AB158" s="378"/>
      <c r="AC158" s="378"/>
      <c r="AD158" s="378"/>
    </row>
    <row r="159" spans="2:30" hidden="1" x14ac:dyDescent="0.25">
      <c r="B159" s="378"/>
      <c r="C159" s="378"/>
      <c r="D159" s="378"/>
      <c r="E159" s="378"/>
      <c r="F159" s="378"/>
      <c r="G159" s="378"/>
      <c r="H159" s="378"/>
      <c r="I159" s="378"/>
      <c r="J159" s="378"/>
      <c r="K159" s="378"/>
      <c r="L159" s="378"/>
      <c r="M159" s="378"/>
      <c r="N159" s="378"/>
      <c r="O159" s="378"/>
      <c r="P159" s="378"/>
      <c r="Q159" s="378"/>
      <c r="R159" s="378"/>
      <c r="S159" s="378"/>
      <c r="T159" s="378"/>
      <c r="U159" s="378"/>
      <c r="V159" s="378"/>
      <c r="W159" s="378"/>
      <c r="X159" s="378"/>
      <c r="Y159" s="378"/>
      <c r="Z159" s="378"/>
      <c r="AA159" s="378"/>
      <c r="AB159" s="378"/>
      <c r="AC159" s="378"/>
      <c r="AD159" s="378"/>
    </row>
    <row r="160" spans="2:30" hidden="1" x14ac:dyDescent="0.25">
      <c r="B160" s="378"/>
      <c r="C160" s="378"/>
      <c r="D160" s="378"/>
      <c r="E160" s="378"/>
      <c r="F160" s="378"/>
      <c r="G160" s="378"/>
      <c r="H160" s="378"/>
      <c r="I160" s="378"/>
      <c r="J160" s="378"/>
      <c r="K160" s="378"/>
      <c r="L160" s="378"/>
      <c r="M160" s="378"/>
      <c r="N160" s="378"/>
      <c r="O160" s="378"/>
      <c r="P160" s="378"/>
      <c r="Q160" s="378"/>
      <c r="R160" s="378"/>
      <c r="S160" s="378"/>
      <c r="T160" s="378"/>
      <c r="U160" s="378"/>
      <c r="V160" s="378"/>
      <c r="W160" s="378"/>
      <c r="X160" s="378"/>
      <c r="Y160" s="378"/>
      <c r="Z160" s="378"/>
      <c r="AA160" s="378"/>
      <c r="AB160" s="378"/>
      <c r="AC160" s="378"/>
      <c r="AD160" s="378"/>
    </row>
  </sheetData>
  <mergeCells count="27">
    <mergeCell ref="I54:J54"/>
    <mergeCell ref="I55:J55"/>
    <mergeCell ref="I56:J56"/>
    <mergeCell ref="E52:E53"/>
    <mergeCell ref="B1:B3"/>
    <mergeCell ref="F39:G40"/>
    <mergeCell ref="B34:D34"/>
    <mergeCell ref="B39:C40"/>
    <mergeCell ref="B35:D35"/>
    <mergeCell ref="B36:D36"/>
    <mergeCell ref="B37:D37"/>
    <mergeCell ref="B38:D38"/>
    <mergeCell ref="B43:I43"/>
    <mergeCell ref="B42:D42"/>
    <mergeCell ref="H39:H40"/>
    <mergeCell ref="B60:C60"/>
    <mergeCell ref="B63:C63"/>
    <mergeCell ref="C2:E3"/>
    <mergeCell ref="B55:C55"/>
    <mergeCell ref="B49:C49"/>
    <mergeCell ref="B54:C54"/>
    <mergeCell ref="B52:C53"/>
    <mergeCell ref="D52:D53"/>
    <mergeCell ref="B56:C56"/>
    <mergeCell ref="B46:C46"/>
    <mergeCell ref="B47:C47"/>
    <mergeCell ref="B48:C48"/>
  </mergeCells>
  <pageMargins left="0.70866141732283472" right="0.70866141732283472" top="0.74803149606299213" bottom="0.74803149606299213" header="0.31496062992125984" footer="0.31496062992125984"/>
  <pageSetup paperSize="9" orientation="landscape" verticalDpi="300" r:id="rId1"/>
  <ignoredErrors>
    <ignoredError sqref="F35:F38 E40 D57" evalError="1"/>
    <ignoredError sqref="E55" formula="1"/>
    <ignoredError sqref="D63" unlockedFormula="1"/>
  </ignoredErrors>
  <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66"/>
    <pageSetUpPr fitToPage="1"/>
  </sheetPr>
  <dimension ref="A1:DV1834"/>
  <sheetViews>
    <sheetView showGridLines="0" zoomScaleNormal="100" zoomScaleSheetLayoutView="120" zoomScalePageLayoutView="150" workbookViewId="0">
      <selection activeCell="D2" sqref="D2"/>
    </sheetView>
  </sheetViews>
  <sheetFormatPr defaultColWidth="0" defaultRowHeight="14.25" zeroHeight="1" x14ac:dyDescent="0.2"/>
  <cols>
    <col min="1" max="1" width="6.42578125" style="6" customWidth="1"/>
    <col min="2" max="2" width="21.28515625" style="6" customWidth="1"/>
    <col min="3" max="3" width="24" style="6" customWidth="1"/>
    <col min="4" max="4" width="18.42578125" style="6" customWidth="1"/>
    <col min="5" max="5" width="16" style="6" customWidth="1"/>
    <col min="6" max="6" width="14.7109375" style="6" customWidth="1"/>
    <col min="7" max="7" width="14.85546875" style="6" customWidth="1"/>
    <col min="8" max="8" width="13.7109375" style="6" customWidth="1"/>
    <col min="9" max="9" width="4.28515625" style="6" customWidth="1"/>
    <col min="10" max="10" width="15.42578125" style="6" hidden="1" customWidth="1"/>
    <col min="11" max="11" width="13.42578125" style="6" hidden="1" customWidth="1"/>
    <col min="12" max="12" width="13.140625" style="6" hidden="1" customWidth="1"/>
    <col min="13" max="14" width="12.42578125" style="6" hidden="1" customWidth="1"/>
    <col min="15" max="15" width="14" style="6" hidden="1" customWidth="1"/>
    <col min="16" max="16" width="13.42578125" style="6" hidden="1" customWidth="1"/>
    <col min="17" max="17" width="12.7109375" style="6" hidden="1" customWidth="1"/>
    <col min="18" max="18" width="11.7109375" style="6" hidden="1" customWidth="1"/>
    <col min="19" max="19" width="12.28515625" style="6" hidden="1" customWidth="1"/>
    <col min="20" max="20" width="13.140625" style="6" hidden="1" customWidth="1"/>
    <col min="21" max="21" width="13.7109375" style="6" hidden="1" customWidth="1"/>
    <col min="22" max="22" width="13.42578125" style="6" hidden="1" customWidth="1"/>
    <col min="23" max="23" width="11.42578125" style="6" hidden="1" customWidth="1"/>
    <col min="24" max="24" width="11.28515625" style="6" hidden="1" customWidth="1"/>
    <col min="25" max="25" width="11.42578125" style="6" hidden="1" customWidth="1"/>
    <col min="26" max="26" width="21.85546875" style="6" hidden="1" customWidth="1"/>
    <col min="27" max="27" width="12.28515625" style="6" hidden="1" customWidth="1"/>
    <col min="28" max="28" width="11" style="6" hidden="1" customWidth="1"/>
    <col min="29" max="29" width="11.140625" style="6" hidden="1" customWidth="1"/>
    <col min="30" max="30" width="9.140625" style="6" hidden="1" customWidth="1"/>
    <col min="31" max="31" width="18.28515625" style="6" hidden="1" customWidth="1"/>
    <col min="32" max="32" width="9.7109375" style="6" hidden="1" customWidth="1"/>
    <col min="33" max="33" width="12.85546875" style="6" hidden="1" customWidth="1"/>
    <col min="34" max="34" width="16.140625" style="6" hidden="1" customWidth="1"/>
    <col min="35" max="35" width="14.85546875" style="6" hidden="1" customWidth="1"/>
    <col min="36" max="36" width="14.140625" style="6" hidden="1" customWidth="1"/>
    <col min="37" max="37" width="14" style="6" hidden="1" customWidth="1"/>
    <col min="38" max="38" width="9.140625" style="6" hidden="1" customWidth="1"/>
    <col min="39" max="42" width="9.140625" style="16" hidden="1" customWidth="1"/>
    <col min="43" max="43" width="8.7109375" style="16" hidden="1" customWidth="1"/>
    <col min="44" max="53" width="9.140625" style="16" hidden="1" customWidth="1"/>
    <col min="54" max="54" width="14.85546875" style="16" hidden="1" customWidth="1"/>
    <col min="55" max="55" width="15.85546875" style="16" hidden="1" customWidth="1"/>
    <col min="56" max="69" width="0" style="16" hidden="1" customWidth="1"/>
    <col min="70" max="126" width="0" style="6" hidden="1" customWidth="1"/>
    <col min="127" max="16384" width="9.140625" style="6" hidden="1"/>
  </cols>
  <sheetData>
    <row r="1" spans="1:126" ht="33.75" customHeight="1" x14ac:dyDescent="0.2">
      <c r="A1" s="13"/>
      <c r="B1" s="1921" t="s">
        <v>0</v>
      </c>
      <c r="C1" s="1691" t="s">
        <v>259</v>
      </c>
      <c r="D1" s="13"/>
      <c r="E1" s="13"/>
      <c r="F1" s="13"/>
      <c r="G1" s="13"/>
      <c r="H1" s="13"/>
      <c r="I1" s="694"/>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row>
    <row r="2" spans="1:126" ht="19.5" customHeight="1" x14ac:dyDescent="0.2">
      <c r="A2" s="13"/>
      <c r="B2" s="1922"/>
      <c r="C2" s="1922"/>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row>
    <row r="3" spans="1:126" ht="14.25" customHeight="1" x14ac:dyDescent="0.2">
      <c r="A3" s="13"/>
      <c r="B3" s="1923" t="s">
        <v>4</v>
      </c>
      <c r="C3" s="1924"/>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row>
    <row r="4" spans="1:126" ht="17.25" customHeight="1" x14ac:dyDescent="0.4">
      <c r="A4" s="13"/>
      <c r="B4" s="87"/>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row>
    <row r="5" spans="1:126" ht="19.5" customHeight="1" x14ac:dyDescent="0.2">
      <c r="A5" s="615">
        <v>1</v>
      </c>
      <c r="B5" s="703" t="s">
        <v>260</v>
      </c>
      <c r="C5" s="612"/>
      <c r="D5" s="612"/>
      <c r="E5" s="612"/>
      <c r="F5" s="612"/>
      <c r="G5" s="612"/>
      <c r="H5" s="613"/>
      <c r="I5" s="38"/>
      <c r="J5" s="38"/>
      <c r="K5" s="38"/>
      <c r="L5" s="38"/>
      <c r="M5" s="38"/>
      <c r="N5" s="38"/>
      <c r="O5" s="13"/>
      <c r="P5" s="13"/>
      <c r="Q5" s="13"/>
      <c r="R5" s="13"/>
      <c r="S5" s="38"/>
      <c r="T5" s="38"/>
      <c r="U5" s="38"/>
      <c r="V5" s="38"/>
      <c r="W5" s="38"/>
      <c r="X5" s="38"/>
      <c r="AB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row>
    <row r="6" spans="1:126" ht="16.5" customHeight="1" x14ac:dyDescent="0.4">
      <c r="A6" s="13"/>
      <c r="B6" s="1888"/>
      <c r="C6" s="1889"/>
      <c r="E6" s="573"/>
      <c r="G6" s="1725" t="s">
        <v>261</v>
      </c>
      <c r="H6" s="1868"/>
      <c r="I6" s="587"/>
      <c r="J6" s="38"/>
      <c r="K6" s="38"/>
      <c r="L6" s="38"/>
      <c r="M6" s="38"/>
      <c r="N6" s="38"/>
      <c r="O6" s="38"/>
      <c r="P6" s="38"/>
      <c r="Q6" s="38"/>
      <c r="R6" s="38"/>
      <c r="S6" s="38"/>
      <c r="T6" s="38"/>
      <c r="U6" s="95"/>
      <c r="V6" s="96"/>
      <c r="W6" s="38"/>
      <c r="X6" s="38"/>
      <c r="AB6" s="89"/>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row>
    <row r="7" spans="1:126" ht="17.25" customHeight="1" x14ac:dyDescent="0.4">
      <c r="A7" s="13"/>
      <c r="B7" s="1892" t="s">
        <v>262</v>
      </c>
      <c r="C7" s="1893"/>
      <c r="E7" s="573"/>
      <c r="G7" s="1725"/>
      <c r="H7" s="1868"/>
      <c r="I7" s="587"/>
      <c r="J7" s="38"/>
      <c r="K7" s="38"/>
      <c r="L7" s="38"/>
      <c r="M7" s="38"/>
      <c r="N7" s="38"/>
      <c r="O7" s="38"/>
      <c r="P7" s="38"/>
      <c r="Q7" s="38"/>
      <c r="R7" s="38"/>
      <c r="S7" s="38"/>
      <c r="T7" s="38"/>
      <c r="U7" s="95"/>
      <c r="V7" s="96"/>
      <c r="W7" s="38"/>
      <c r="X7" s="38"/>
      <c r="AB7" s="89"/>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row>
    <row r="8" spans="1:126" ht="16.5" customHeight="1" x14ac:dyDescent="0.4">
      <c r="A8" s="13"/>
      <c r="B8" s="1894" t="s">
        <v>263</v>
      </c>
      <c r="C8" s="1765"/>
      <c r="D8" s="1317"/>
      <c r="E8" s="1329"/>
      <c r="F8" s="1311"/>
      <c r="G8" s="348"/>
      <c r="H8" s="697"/>
      <c r="I8" s="587"/>
      <c r="J8" s="694"/>
      <c r="K8" s="38"/>
      <c r="L8" s="38"/>
      <c r="M8" s="38"/>
      <c r="N8" s="38"/>
      <c r="O8" s="38"/>
      <c r="P8" s="38"/>
      <c r="Q8" s="38"/>
      <c r="R8" s="38"/>
      <c r="S8" s="38"/>
      <c r="T8" s="38"/>
      <c r="U8" s="95"/>
      <c r="V8" s="96"/>
      <c r="W8" s="38"/>
      <c r="X8" s="38"/>
      <c r="AB8" s="89"/>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row>
    <row r="9" spans="1:126" ht="18.75" customHeight="1" thickBot="1" x14ac:dyDescent="0.45">
      <c r="A9" s="13"/>
      <c r="B9" s="1890" t="s">
        <v>264</v>
      </c>
      <c r="C9" s="1891"/>
      <c r="D9" s="1318"/>
      <c r="E9" s="1330"/>
      <c r="F9" s="1331"/>
      <c r="G9" s="698" t="s">
        <v>265</v>
      </c>
      <c r="H9" s="1524">
        <v>0.9</v>
      </c>
      <c r="I9" s="38"/>
      <c r="J9" s="38"/>
      <c r="K9" s="38"/>
      <c r="L9" s="38"/>
      <c r="M9" s="38"/>
      <c r="N9" s="38"/>
      <c r="O9" s="38"/>
      <c r="P9" s="38"/>
      <c r="Q9" s="38"/>
      <c r="R9" s="38"/>
      <c r="S9" s="38"/>
      <c r="T9" s="38"/>
      <c r="U9" s="91"/>
      <c r="V9" s="92"/>
      <c r="W9" s="38"/>
      <c r="X9" s="38"/>
      <c r="AB9" s="89"/>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row>
    <row r="10" spans="1:126" ht="18.75" customHeight="1" x14ac:dyDescent="0.4">
      <c r="A10" s="13"/>
      <c r="B10" s="1882" t="s">
        <v>266</v>
      </c>
      <c r="C10" s="1883"/>
      <c r="D10" s="1319"/>
      <c r="E10" s="1351"/>
      <c r="F10" s="1321"/>
      <c r="G10" s="1895" t="s">
        <v>267</v>
      </c>
      <c r="H10" s="1887">
        <v>0.7</v>
      </c>
      <c r="I10" s="694"/>
      <c r="J10" s="38"/>
      <c r="K10" s="38"/>
      <c r="L10" s="38"/>
      <c r="M10" s="38"/>
      <c r="N10" s="38"/>
      <c r="O10" s="38"/>
      <c r="P10" s="38"/>
      <c r="Q10" s="38"/>
      <c r="R10" s="38"/>
      <c r="S10" s="38"/>
      <c r="T10" s="38"/>
      <c r="U10" s="38"/>
      <c r="V10" s="38"/>
      <c r="W10" s="38"/>
      <c r="X10" s="38"/>
      <c r="AB10" s="89"/>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row>
    <row r="11" spans="1:126" ht="16.5" customHeight="1" thickBot="1" x14ac:dyDescent="0.45">
      <c r="A11" s="13"/>
      <c r="B11" s="1793" t="s">
        <v>268</v>
      </c>
      <c r="C11" s="1884"/>
      <c r="D11" s="1496"/>
      <c r="E11" s="1495"/>
      <c r="F11" s="1497"/>
      <c r="G11" s="1895"/>
      <c r="H11" s="1887"/>
      <c r="I11" s="694"/>
      <c r="J11" s="694"/>
      <c r="K11" s="38"/>
      <c r="L11" s="38"/>
      <c r="M11" s="38"/>
      <c r="N11" s="38"/>
      <c r="O11" s="38"/>
      <c r="P11" s="38"/>
      <c r="Q11" s="38"/>
      <c r="R11" s="38"/>
      <c r="S11" s="38"/>
      <c r="T11" s="38"/>
      <c r="U11" s="38"/>
      <c r="V11" s="38"/>
      <c r="W11" s="38"/>
      <c r="X11" s="38"/>
      <c r="AB11" s="89"/>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row>
    <row r="12" spans="1:126" ht="16.5" customHeight="1" x14ac:dyDescent="0.4">
      <c r="A12" s="13"/>
      <c r="B12" s="1808" t="s">
        <v>269</v>
      </c>
      <c r="C12" s="1885"/>
      <c r="D12" s="1332"/>
      <c r="E12" s="1334"/>
      <c r="F12" s="1321"/>
      <c r="G12" s="698" t="s">
        <v>270</v>
      </c>
      <c r="H12" s="1524">
        <v>0.5</v>
      </c>
      <c r="I12" s="694"/>
      <c r="J12" s="694"/>
      <c r="K12" s="38"/>
      <c r="L12" s="38"/>
      <c r="M12" s="38"/>
      <c r="N12" s="38"/>
      <c r="O12" s="38"/>
      <c r="P12" s="38"/>
      <c r="Q12" s="38"/>
      <c r="R12" s="38"/>
      <c r="S12" s="38"/>
      <c r="T12" s="38"/>
      <c r="U12" s="38"/>
      <c r="V12" s="38"/>
      <c r="W12" s="38"/>
      <c r="X12" s="38"/>
      <c r="AB12" s="89"/>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c r="CL12" s="13"/>
      <c r="CM12" s="13"/>
      <c r="CN12" s="13"/>
      <c r="CO12" s="13"/>
      <c r="CP12" s="13"/>
      <c r="CQ12" s="13"/>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row>
    <row r="13" spans="1:126" ht="16.5" customHeight="1" thickBot="1" x14ac:dyDescent="0.45">
      <c r="A13" s="13"/>
      <c r="B13" s="1765" t="s">
        <v>271</v>
      </c>
      <c r="C13" s="1886"/>
      <c r="D13" s="1333"/>
      <c r="E13" s="1335"/>
      <c r="F13" s="1497"/>
      <c r="G13" s="698" t="s">
        <v>272</v>
      </c>
      <c r="H13" s="1524">
        <v>0.3</v>
      </c>
      <c r="I13" s="694"/>
      <c r="J13" s="13"/>
      <c r="K13" s="38"/>
      <c r="L13" s="38"/>
      <c r="M13" s="38"/>
      <c r="N13" s="38"/>
      <c r="O13" s="38"/>
      <c r="P13" s="38"/>
      <c r="Q13" s="38"/>
      <c r="R13" s="38"/>
      <c r="S13" s="38"/>
      <c r="T13" s="38"/>
      <c r="U13" s="38"/>
      <c r="V13" s="38"/>
      <c r="W13" s="38"/>
      <c r="X13" s="38"/>
      <c r="AB13" s="89"/>
      <c r="AC13" s="89"/>
      <c r="AD13" s="89"/>
      <c r="AE13" s="89"/>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c r="CC13" s="13"/>
      <c r="CD13" s="13"/>
      <c r="CE13" s="13"/>
      <c r="CF13" s="13"/>
      <c r="CG13" s="13"/>
      <c r="CH13" s="13"/>
      <c r="CI13" s="13"/>
      <c r="CJ13" s="13"/>
      <c r="CK13" s="13"/>
      <c r="CL13" s="13"/>
      <c r="CM13" s="13"/>
      <c r="CN13" s="13"/>
      <c r="CO13" s="13"/>
      <c r="CP13" s="13"/>
      <c r="CQ13" s="13"/>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row>
    <row r="14" spans="1:126" ht="19.5" customHeight="1" x14ac:dyDescent="0.4">
      <c r="A14" s="13"/>
      <c r="B14" s="102" t="s">
        <v>273</v>
      </c>
      <c r="C14" s="98"/>
      <c r="D14" s="694"/>
      <c r="E14" s="694"/>
      <c r="F14" s="694"/>
      <c r="G14" s="103"/>
      <c r="H14" s="99"/>
      <c r="I14" s="13"/>
      <c r="J14" s="13"/>
      <c r="K14" s="38"/>
      <c r="L14" s="38"/>
      <c r="M14" s="38"/>
      <c r="N14" s="38"/>
      <c r="O14" s="38"/>
      <c r="P14" s="38"/>
      <c r="Q14" s="38"/>
      <c r="R14" s="38"/>
      <c r="S14" s="38"/>
      <c r="T14" s="38"/>
      <c r="U14" s="38"/>
      <c r="V14" s="38"/>
      <c r="W14" s="38"/>
      <c r="X14" s="38"/>
      <c r="Y14" s="38"/>
      <c r="Z14" s="89"/>
      <c r="AA14" s="89"/>
      <c r="AB14" s="89"/>
      <c r="AC14" s="89"/>
      <c r="AD14" s="89"/>
      <c r="AE14" s="89"/>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row>
    <row r="15" spans="1:126" ht="16.5" customHeight="1" x14ac:dyDescent="0.4">
      <c r="A15" s="13"/>
      <c r="B15" s="97"/>
      <c r="C15" s="105"/>
      <c r="D15" s="104"/>
      <c r="E15" s="104"/>
      <c r="F15" s="104"/>
      <c r="G15" s="13"/>
      <c r="H15" s="99"/>
      <c r="I15" s="13"/>
      <c r="J15" s="13"/>
      <c r="K15" s="13"/>
      <c r="L15" s="13"/>
      <c r="M15" s="13"/>
      <c r="N15" s="13"/>
      <c r="O15" s="38"/>
      <c r="P15" s="38"/>
      <c r="Q15" s="38"/>
      <c r="R15" s="38"/>
      <c r="S15" s="38"/>
      <c r="T15" s="38"/>
      <c r="U15" s="38"/>
      <c r="V15" s="38"/>
      <c r="W15" s="38"/>
      <c r="X15" s="38"/>
      <c r="Y15" s="38"/>
      <c r="Z15" s="89"/>
      <c r="AA15" s="89"/>
      <c r="AB15" s="89"/>
      <c r="AC15" s="89"/>
      <c r="AD15" s="89"/>
      <c r="AE15" s="89"/>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row>
    <row r="16" spans="1:126" ht="15.75" customHeight="1" x14ac:dyDescent="0.4">
      <c r="A16" s="13"/>
      <c r="B16" s="290" t="s">
        <v>274</v>
      </c>
      <c r="C16" s="626" t="str">
        <f>IF(D10&gt;0,'GUIA DE APLICAÇÃO'!K596,"")</f>
        <v/>
      </c>
      <c r="D16" s="384" t="s">
        <v>275</v>
      </c>
      <c r="E16" s="106"/>
      <c r="F16" s="106"/>
      <c r="G16" s="106"/>
      <c r="H16" s="107"/>
      <c r="I16" s="694"/>
      <c r="J16" s="694"/>
      <c r="K16" s="13"/>
      <c r="L16" s="13"/>
      <c r="M16" s="13"/>
      <c r="N16" s="13"/>
      <c r="O16" s="38"/>
      <c r="P16" s="38"/>
      <c r="Q16" s="38"/>
      <c r="R16" s="38"/>
      <c r="S16" s="38"/>
      <c r="T16" s="38"/>
      <c r="U16" s="38"/>
      <c r="V16" s="38"/>
      <c r="W16" s="38"/>
      <c r="X16" s="38"/>
      <c r="Y16" s="38"/>
      <c r="Z16" s="89"/>
      <c r="AA16" s="89"/>
      <c r="AB16" s="89"/>
      <c r="AC16" s="89"/>
      <c r="AD16" s="89"/>
      <c r="AE16" s="89"/>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2"/>
      <c r="CS16" s="12"/>
      <c r="CT16" s="12"/>
      <c r="CU16" s="12"/>
      <c r="CV16" s="12"/>
      <c r="CW16" s="12"/>
      <c r="CX16" s="12"/>
      <c r="CY16" s="12"/>
      <c r="CZ16" s="12"/>
      <c r="DA16" s="12"/>
      <c r="DB16" s="12"/>
      <c r="DC16" s="12"/>
      <c r="DD16" s="12"/>
      <c r="DE16" s="12"/>
      <c r="DF16" s="12"/>
      <c r="DG16" s="12"/>
      <c r="DH16" s="12"/>
      <c r="DI16" s="12"/>
      <c r="DJ16" s="12"/>
      <c r="DK16" s="12"/>
      <c r="DL16" s="12"/>
      <c r="DM16" s="12"/>
      <c r="DN16" s="12"/>
      <c r="DO16" s="12"/>
      <c r="DP16" s="12"/>
      <c r="DQ16" s="12"/>
      <c r="DR16" s="12"/>
      <c r="DS16" s="12"/>
      <c r="DT16" s="12"/>
      <c r="DU16" s="12"/>
      <c r="DV16" s="12"/>
    </row>
    <row r="17" spans="1:95" ht="16.5" customHeight="1" x14ac:dyDescent="0.2">
      <c r="A17" s="13"/>
      <c r="B17" s="50"/>
      <c r="C17" s="1037"/>
      <c r="D17" s="1037"/>
      <c r="E17" s="1037"/>
      <c r="F17" s="1037"/>
      <c r="G17" s="38"/>
      <c r="H17" s="108"/>
      <c r="I17" s="108"/>
      <c r="J17" s="109"/>
      <c r="K17" s="13"/>
      <c r="L17" s="13"/>
      <c r="M17" s="13"/>
      <c r="N17" s="13"/>
      <c r="O17" s="13"/>
      <c r="P17" s="13"/>
      <c r="Q17" s="13"/>
      <c r="R17" s="38"/>
      <c r="S17" s="38"/>
      <c r="T17" s="38"/>
      <c r="U17" s="38"/>
      <c r="V17" s="38"/>
      <c r="W17" s="38"/>
      <c r="X17" s="38"/>
      <c r="Y17" s="38"/>
      <c r="Z17" s="38"/>
      <c r="AA17" s="38"/>
      <c r="AB17" s="38"/>
      <c r="AC17" s="38"/>
      <c r="AD17" s="38"/>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row>
    <row r="18" spans="1:95" ht="20.25" customHeight="1" x14ac:dyDescent="0.2">
      <c r="A18" s="615">
        <v>2</v>
      </c>
      <c r="B18" s="703" t="s">
        <v>276</v>
      </c>
      <c r="C18" s="607"/>
      <c r="D18" s="607"/>
      <c r="E18" s="607"/>
      <c r="F18" s="607"/>
      <c r="G18" s="607"/>
      <c r="H18" s="527"/>
      <c r="I18" s="111"/>
      <c r="J18" s="13"/>
      <c r="K18" s="112"/>
      <c r="L18" s="112"/>
      <c r="M18" s="112"/>
      <c r="N18" s="112"/>
      <c r="O18" s="13"/>
      <c r="P18" s="13"/>
      <c r="Q18" s="13"/>
      <c r="R18" s="38"/>
      <c r="S18" s="38"/>
      <c r="T18" s="38"/>
      <c r="U18" s="38"/>
      <c r="V18" s="38"/>
      <c r="W18" s="38"/>
      <c r="X18" s="13"/>
      <c r="AA18" s="13"/>
      <c r="AB18" s="13"/>
      <c r="AC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row>
    <row r="19" spans="1:95" ht="16.5" customHeight="1" x14ac:dyDescent="0.2">
      <c r="A19" s="38"/>
      <c r="B19" s="115"/>
      <c r="C19" s="116"/>
      <c r="D19" s="116"/>
      <c r="E19" s="116"/>
      <c r="F19" s="1899" t="s">
        <v>277</v>
      </c>
      <c r="G19" s="1725" t="s">
        <v>179</v>
      </c>
      <c r="H19" s="13"/>
      <c r="I19" s="101"/>
      <c r="J19" s="13"/>
      <c r="K19" s="112"/>
      <c r="L19" s="112"/>
      <c r="M19" s="112"/>
      <c r="N19" s="112"/>
      <c r="O19" s="13"/>
      <c r="P19" s="13"/>
      <c r="Q19" s="13"/>
      <c r="R19" s="38"/>
      <c r="S19" s="38"/>
      <c r="T19" s="38"/>
      <c r="U19" s="38"/>
      <c r="V19" s="38"/>
      <c r="W19" s="38"/>
      <c r="X19" s="13"/>
      <c r="AA19" s="13"/>
      <c r="AB19" s="13"/>
      <c r="AC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row>
    <row r="20" spans="1:95" ht="16.5" customHeight="1" x14ac:dyDescent="0.2">
      <c r="A20" s="38"/>
      <c r="B20" s="742" t="s">
        <v>278</v>
      </c>
      <c r="C20" s="116"/>
      <c r="D20" s="116"/>
      <c r="E20" s="117"/>
      <c r="F20" s="1900"/>
      <c r="G20" s="1725"/>
      <c r="H20" s="13"/>
      <c r="I20" s="101"/>
      <c r="J20" s="13"/>
      <c r="K20" s="112"/>
      <c r="L20" s="112"/>
      <c r="M20" s="112"/>
      <c r="N20" s="112"/>
      <c r="O20" s="13"/>
      <c r="P20" s="13"/>
      <c r="Q20" s="13"/>
      <c r="R20" s="38"/>
      <c r="S20" s="38"/>
      <c r="T20" s="38"/>
      <c r="U20" s="38"/>
      <c r="V20" s="38"/>
      <c r="W20" s="38"/>
      <c r="X20" s="13"/>
      <c r="AA20" s="13"/>
      <c r="AB20" s="13"/>
      <c r="AC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c r="CC20" s="13"/>
      <c r="CD20" s="13"/>
      <c r="CE20" s="13"/>
      <c r="CF20" s="13"/>
      <c r="CG20" s="13"/>
      <c r="CH20" s="13"/>
      <c r="CI20" s="13"/>
      <c r="CJ20" s="13"/>
      <c r="CK20" s="13"/>
      <c r="CL20" s="13"/>
      <c r="CM20" s="13"/>
      <c r="CN20" s="13"/>
      <c r="CO20" s="13"/>
      <c r="CP20" s="13"/>
      <c r="CQ20" s="13"/>
    </row>
    <row r="21" spans="1:95" ht="18" customHeight="1" x14ac:dyDescent="0.2">
      <c r="A21" s="38"/>
      <c r="B21" s="1903" t="s">
        <v>279</v>
      </c>
      <c r="C21" s="1903"/>
      <c r="D21" s="1903"/>
      <c r="E21" s="1903"/>
      <c r="F21" s="880"/>
      <c r="G21" s="390">
        <v>2</v>
      </c>
      <c r="I21" s="101"/>
      <c r="J21" s="13"/>
      <c r="K21" s="112"/>
      <c r="L21" s="112"/>
      <c r="M21" s="112"/>
      <c r="N21" s="112"/>
      <c r="O21" s="13"/>
      <c r="P21" s="13"/>
      <c r="Q21" s="13"/>
      <c r="R21" s="38"/>
      <c r="S21" s="38"/>
      <c r="T21" s="38"/>
      <c r="U21" s="38"/>
      <c r="V21" s="38"/>
      <c r="W21" s="38"/>
      <c r="X21" s="13"/>
      <c r="AA21" s="13"/>
      <c r="AB21" s="13"/>
      <c r="AC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13"/>
      <c r="CL21" s="13"/>
      <c r="CM21" s="13"/>
      <c r="CN21" s="13"/>
      <c r="CO21" s="13"/>
      <c r="CP21" s="13"/>
      <c r="CQ21" s="13"/>
    </row>
    <row r="22" spans="1:95" ht="16.5" customHeight="1" x14ac:dyDescent="0.2">
      <c r="A22" s="38"/>
      <c r="B22" s="1903" t="s">
        <v>280</v>
      </c>
      <c r="C22" s="1903"/>
      <c r="D22" s="1903"/>
      <c r="E22" s="1903"/>
      <c r="F22" s="880"/>
      <c r="G22" s="390">
        <v>2</v>
      </c>
      <c r="I22" s="101"/>
      <c r="J22" s="13"/>
      <c r="K22" s="112"/>
      <c r="L22" s="112"/>
      <c r="M22" s="112"/>
      <c r="N22" s="112"/>
      <c r="O22" s="13"/>
      <c r="P22" s="13"/>
      <c r="Q22" s="13"/>
      <c r="R22" s="38"/>
      <c r="S22" s="38"/>
      <c r="T22" s="38"/>
      <c r="U22" s="38"/>
      <c r="V22" s="38"/>
      <c r="W22" s="38"/>
      <c r="X22" s="13"/>
      <c r="Y22" s="13"/>
      <c r="Z22" s="13"/>
      <c r="AA22" s="13"/>
      <c r="AB22" s="13"/>
      <c r="AC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13"/>
      <c r="CL22" s="13"/>
      <c r="CM22" s="13"/>
      <c r="CN22" s="13"/>
      <c r="CO22" s="13"/>
      <c r="CP22" s="13"/>
      <c r="CQ22" s="13"/>
    </row>
    <row r="23" spans="1:95" ht="16.5" customHeight="1" x14ac:dyDescent="0.2">
      <c r="A23" s="38"/>
      <c r="B23" s="1903" t="s">
        <v>281</v>
      </c>
      <c r="C23" s="1903"/>
      <c r="D23" s="1903"/>
      <c r="E23" s="1903"/>
      <c r="F23" s="881">
        <f>'1 QUESTIONÁRIO'!K141</f>
        <v>0</v>
      </c>
      <c r="G23" s="390">
        <v>1</v>
      </c>
      <c r="I23" s="101"/>
      <c r="J23" s="13"/>
      <c r="K23" s="112"/>
      <c r="L23" s="112"/>
      <c r="M23" s="112"/>
      <c r="N23" s="112"/>
      <c r="O23" s="13"/>
      <c r="P23" s="13"/>
      <c r="Q23" s="13"/>
      <c r="R23" s="38"/>
      <c r="S23" s="38"/>
      <c r="T23" s="38"/>
      <c r="U23" s="38"/>
      <c r="V23" s="38"/>
      <c r="W23" s="38"/>
      <c r="X23" s="13"/>
      <c r="Y23" s="13"/>
      <c r="Z23" s="13"/>
      <c r="AA23" s="13"/>
      <c r="AB23" s="13"/>
      <c r="AC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c r="CM23" s="13"/>
      <c r="CN23" s="13"/>
      <c r="CO23" s="13"/>
      <c r="CP23" s="13"/>
      <c r="CQ23" s="13"/>
    </row>
    <row r="24" spans="1:95" ht="15.75" customHeight="1" thickBot="1" x14ac:dyDescent="0.25">
      <c r="A24" s="38"/>
      <c r="B24" s="1901" t="s">
        <v>282</v>
      </c>
      <c r="C24" s="1901"/>
      <c r="D24" s="1901"/>
      <c r="E24" s="1901"/>
      <c r="F24" s="1322">
        <f>'1 QUESTIONÁRIO'!F141</f>
        <v>0</v>
      </c>
      <c r="G24" s="406">
        <v>0.3</v>
      </c>
      <c r="I24" s="101"/>
      <c r="J24" s="112"/>
      <c r="K24" s="112"/>
      <c r="L24" s="112"/>
      <c r="M24" s="112"/>
      <c r="N24" s="112"/>
      <c r="O24" s="13"/>
      <c r="P24" s="13"/>
      <c r="Q24" s="13"/>
      <c r="R24" s="38"/>
      <c r="S24" s="38"/>
      <c r="T24" s="38"/>
      <c r="U24" s="38"/>
      <c r="V24" s="38"/>
      <c r="W24" s="38"/>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s="13"/>
      <c r="CP24" s="13"/>
      <c r="CQ24" s="13"/>
    </row>
    <row r="25" spans="1:95" ht="15" customHeight="1" x14ac:dyDescent="0.2">
      <c r="A25" s="38"/>
      <c r="B25" s="1902" t="s">
        <v>283</v>
      </c>
      <c r="C25" s="1902"/>
      <c r="D25" s="1902"/>
      <c r="E25" s="1902"/>
      <c r="F25" s="1897" t="str">
        <f>IF('1 QUESTIONÁRIO'!I132&gt;0.8,"sim","não")</f>
        <v>sim</v>
      </c>
      <c r="G25" s="119"/>
      <c r="H25" s="13"/>
      <c r="I25" s="101"/>
      <c r="J25" s="112"/>
      <c r="K25" s="112"/>
      <c r="L25" s="112"/>
      <c r="M25" s="112"/>
      <c r="N25" s="112"/>
      <c r="O25" s="13"/>
      <c r="P25" s="13"/>
      <c r="Q25" s="13"/>
      <c r="R25" s="38"/>
      <c r="S25" s="38"/>
      <c r="T25" s="38"/>
      <c r="U25" s="38"/>
      <c r="V25" s="38"/>
      <c r="W25" s="38"/>
      <c r="X25" s="13"/>
      <c r="Y25" s="13"/>
      <c r="Z25" s="13"/>
      <c r="AA25" s="13"/>
      <c r="AB25" s="13"/>
      <c r="AC25" s="13"/>
      <c r="AD25" s="110"/>
      <c r="AE25" s="110"/>
      <c r="AF25" s="38"/>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c r="CL25" s="13"/>
      <c r="CM25" s="13"/>
      <c r="CN25" s="13"/>
      <c r="CO25" s="13"/>
      <c r="CP25" s="13"/>
      <c r="CQ25" s="13"/>
    </row>
    <row r="26" spans="1:95" ht="14.25" customHeight="1" x14ac:dyDescent="0.2">
      <c r="A26" s="38"/>
      <c r="B26" s="1903"/>
      <c r="C26" s="1903"/>
      <c r="D26" s="1903"/>
      <c r="E26" s="1903"/>
      <c r="F26" s="1898"/>
      <c r="G26" s="119"/>
      <c r="H26" s="13"/>
      <c r="I26" s="101"/>
      <c r="J26" s="112"/>
      <c r="K26" s="112"/>
      <c r="L26" s="112"/>
      <c r="M26" s="112"/>
      <c r="N26" s="112"/>
      <c r="O26" s="13"/>
      <c r="P26" s="13"/>
      <c r="Q26" s="13"/>
      <c r="R26" s="38"/>
      <c r="S26" s="38"/>
      <c r="T26" s="38"/>
      <c r="U26" s="38"/>
      <c r="V26" s="38"/>
      <c r="W26" s="38"/>
      <c r="X26" s="13"/>
      <c r="Y26" s="13"/>
      <c r="Z26" s="13"/>
      <c r="AA26" s="13"/>
      <c r="AB26" s="13"/>
      <c r="AC26" s="13"/>
      <c r="AD26" s="110"/>
      <c r="AE26" s="110"/>
      <c r="AF26" s="38"/>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c r="CL26" s="13"/>
      <c r="CM26" s="13"/>
      <c r="CN26" s="13"/>
      <c r="CO26" s="13"/>
      <c r="CP26" s="13"/>
      <c r="CQ26" s="13"/>
    </row>
    <row r="27" spans="1:95" ht="14.25" customHeight="1" x14ac:dyDescent="0.2">
      <c r="A27" s="38"/>
      <c r="B27" s="93"/>
      <c r="C27" s="13"/>
      <c r="D27" s="1931" t="s">
        <v>284</v>
      </c>
      <c r="E27" s="1931"/>
      <c r="F27" s="398">
        <f>F21+F22+F23+F24</f>
        <v>0</v>
      </c>
      <c r="G27" s="13"/>
      <c r="H27" s="13"/>
      <c r="I27" s="101"/>
      <c r="J27" s="112"/>
      <c r="K27" s="13"/>
      <c r="L27" s="13"/>
      <c r="M27" s="13"/>
      <c r="N27" s="13"/>
      <c r="O27" s="13"/>
      <c r="P27" s="13"/>
      <c r="Q27" s="13"/>
      <c r="R27" s="38"/>
      <c r="S27" s="38"/>
      <c r="T27" s="38"/>
      <c r="U27" s="38"/>
      <c r="V27" s="38"/>
      <c r="W27" s="38"/>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13"/>
      <c r="CL27" s="13"/>
      <c r="CM27" s="13"/>
      <c r="CN27" s="13"/>
      <c r="CO27" s="13"/>
      <c r="CP27" s="13"/>
      <c r="CQ27" s="13"/>
    </row>
    <row r="28" spans="1:95" ht="15.75" customHeight="1" x14ac:dyDescent="0.2">
      <c r="A28" s="13"/>
      <c r="B28" s="290" t="s">
        <v>274</v>
      </c>
      <c r="C28" s="626" t="str">
        <f>IF(F27&lt;0.99,"",'GUIA DE APLICAÇÃO'!H603)</f>
        <v/>
      </c>
      <c r="D28" s="385" t="s">
        <v>285</v>
      </c>
      <c r="E28" s="121"/>
      <c r="F28" s="122"/>
      <c r="G28" s="122"/>
      <c r="H28" s="122"/>
      <c r="I28" s="123"/>
      <c r="J28" s="38"/>
      <c r="K28" s="124"/>
      <c r="L28" s="124"/>
      <c r="M28" s="13"/>
      <c r="N28" s="13"/>
      <c r="O28" s="13"/>
      <c r="P28" s="13"/>
      <c r="Q28" s="13"/>
      <c r="R28" s="38"/>
      <c r="S28" s="38"/>
      <c r="T28" s="38"/>
      <c r="U28" s="38"/>
      <c r="V28" s="38"/>
      <c r="W28" s="38"/>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c r="CL28" s="13"/>
      <c r="CM28" s="13"/>
      <c r="CN28" s="13"/>
      <c r="CO28" s="13"/>
      <c r="CP28" s="13"/>
      <c r="CQ28" s="13"/>
    </row>
    <row r="29" spans="1:95" ht="16.5" customHeight="1" x14ac:dyDescent="0.2">
      <c r="A29" s="13"/>
      <c r="B29" s="5"/>
      <c r="C29" s="124"/>
      <c r="D29" s="124"/>
      <c r="E29" s="124"/>
      <c r="F29" s="124"/>
      <c r="G29" s="124"/>
      <c r="H29" s="124"/>
      <c r="I29" s="110"/>
      <c r="J29" s="110"/>
      <c r="K29" s="124"/>
      <c r="L29" s="124"/>
      <c r="M29" s="13"/>
      <c r="N29" s="13"/>
      <c r="O29" s="13"/>
      <c r="P29" s="13"/>
      <c r="Q29" s="13"/>
      <c r="R29" s="38"/>
      <c r="S29" s="38"/>
      <c r="T29" s="38"/>
      <c r="U29" s="38"/>
      <c r="V29" s="38"/>
      <c r="W29" s="38"/>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3"/>
      <c r="CN29" s="13"/>
      <c r="CO29" s="13"/>
      <c r="CP29" s="13"/>
      <c r="CQ29" s="13"/>
    </row>
    <row r="30" spans="1:95" ht="18.75" customHeight="1" x14ac:dyDescent="0.2">
      <c r="A30" s="615">
        <v>3</v>
      </c>
      <c r="B30" s="703" t="s">
        <v>286</v>
      </c>
      <c r="C30" s="607"/>
      <c r="D30" s="607"/>
      <c r="E30" s="607"/>
      <c r="F30" s="607"/>
      <c r="G30" s="607"/>
      <c r="H30" s="527"/>
      <c r="I30" s="111"/>
      <c r="J30" s="13"/>
      <c r="K30" s="124"/>
      <c r="L30" s="110"/>
      <c r="M30" s="124"/>
      <c r="N30" s="124"/>
      <c r="O30" s="124"/>
      <c r="P30" s="124"/>
      <c r="Q30" s="13"/>
      <c r="R30" s="125"/>
      <c r="S30" s="125"/>
      <c r="T30" s="125"/>
      <c r="U30" s="125"/>
      <c r="V30" s="125"/>
      <c r="W30" s="125"/>
      <c r="X30" s="125"/>
      <c r="AA30" s="13"/>
      <c r="AB30" s="13"/>
      <c r="AC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c r="CL30" s="13"/>
      <c r="CM30" s="13"/>
      <c r="CN30" s="13"/>
      <c r="CO30" s="13"/>
      <c r="CP30" s="13"/>
      <c r="CQ30" s="13"/>
    </row>
    <row r="31" spans="1:95" ht="15" customHeight="1" x14ac:dyDescent="0.2">
      <c r="A31" s="38"/>
      <c r="B31" s="1932"/>
      <c r="C31" s="1933"/>
      <c r="D31" s="1933"/>
      <c r="E31" s="38"/>
      <c r="F31" s="1942" t="s">
        <v>287</v>
      </c>
      <c r="G31" s="1725" t="s">
        <v>179</v>
      </c>
      <c r="H31" s="13"/>
      <c r="I31" s="101"/>
      <c r="J31" s="13"/>
      <c r="K31" s="124"/>
      <c r="L31" s="110"/>
      <c r="M31" s="124"/>
      <c r="N31" s="124"/>
      <c r="O31" s="124"/>
      <c r="P31" s="124"/>
      <c r="Q31" s="13"/>
      <c r="R31" s="125"/>
      <c r="S31" s="125"/>
      <c r="T31" s="125"/>
      <c r="U31" s="125"/>
      <c r="V31" s="125"/>
      <c r="W31" s="125"/>
      <c r="X31" s="125"/>
      <c r="AA31" s="13"/>
      <c r="AB31" s="13"/>
      <c r="AC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c r="CL31" s="13"/>
      <c r="CM31" s="13"/>
      <c r="CN31" s="13"/>
      <c r="CO31" s="13"/>
      <c r="CP31" s="13"/>
      <c r="CQ31" s="13"/>
    </row>
    <row r="32" spans="1:95" ht="14.25" customHeight="1" x14ac:dyDescent="0.2">
      <c r="A32" s="38"/>
      <c r="B32" s="1925" t="s">
        <v>288</v>
      </c>
      <c r="C32" s="1780"/>
      <c r="D32" s="1780"/>
      <c r="E32" s="38"/>
      <c r="F32" s="1943"/>
      <c r="G32" s="1726"/>
      <c r="I32" s="101"/>
      <c r="J32" s="13"/>
      <c r="K32" s="124"/>
      <c r="L32" s="110"/>
      <c r="M32" s="124"/>
      <c r="N32" s="124"/>
      <c r="O32" s="124"/>
      <c r="P32" s="124"/>
      <c r="Q32" s="13"/>
      <c r="R32" s="125"/>
      <c r="S32" s="125"/>
      <c r="T32" s="125"/>
      <c r="U32" s="125"/>
      <c r="V32" s="125"/>
      <c r="W32" s="125"/>
      <c r="X32" s="125"/>
      <c r="AA32" s="13"/>
      <c r="AB32" s="13"/>
      <c r="AC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c r="CL32" s="13"/>
      <c r="CM32" s="13"/>
      <c r="CN32" s="13"/>
      <c r="CO32" s="13"/>
      <c r="CP32" s="13"/>
      <c r="CQ32" s="13"/>
    </row>
    <row r="33" spans="1:95" ht="15.75" customHeight="1" x14ac:dyDescent="0.2">
      <c r="A33" s="38"/>
      <c r="B33" s="629" t="s">
        <v>289</v>
      </c>
      <c r="C33" s="1731" t="s">
        <v>290</v>
      </c>
      <c r="D33" s="1731"/>
      <c r="E33" s="1731"/>
      <c r="F33" s="882" t="str">
        <f>IF('1 QUESTIONÁRIO'!G203&gt;0,('1 QUESTIONÁRIO'!G203/'1 QUESTIONÁRIO'!G205-1),"")</f>
        <v/>
      </c>
      <c r="G33" s="390">
        <v>0.6</v>
      </c>
      <c r="I33" s="101"/>
      <c r="J33" s="13"/>
      <c r="K33" s="124"/>
      <c r="L33" s="110"/>
      <c r="M33" s="124"/>
      <c r="N33" s="124"/>
      <c r="O33" s="124"/>
      <c r="P33" s="124"/>
      <c r="Q33" s="13"/>
      <c r="R33" s="125"/>
      <c r="S33" s="125"/>
      <c r="T33" s="125"/>
      <c r="U33" s="125"/>
      <c r="V33" s="125"/>
      <c r="W33" s="125"/>
      <c r="X33" s="125"/>
      <c r="AA33" s="13"/>
      <c r="AB33" s="13"/>
      <c r="AC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c r="CL33" s="13"/>
      <c r="CM33" s="13"/>
      <c r="CN33" s="13"/>
      <c r="CO33" s="13"/>
      <c r="CP33" s="13"/>
      <c r="CQ33" s="13"/>
    </row>
    <row r="34" spans="1:95" ht="15.75" customHeight="1" x14ac:dyDescent="0.2">
      <c r="A34" s="38"/>
      <c r="B34" s="1782" t="s">
        <v>291</v>
      </c>
      <c r="C34" s="1731" t="s">
        <v>292</v>
      </c>
      <c r="D34" s="1731"/>
      <c r="E34" s="1731"/>
      <c r="F34" s="882" t="str">
        <f>IF('1 QUESTIONÁRIO'!E157&gt;0,('1 QUESTIONÁRIO'!E157/'1 QUESTIONÁRIO'!G157-1),"")</f>
        <v/>
      </c>
      <c r="G34" s="390">
        <v>1</v>
      </c>
      <c r="I34" s="101"/>
      <c r="J34" s="13"/>
      <c r="K34" s="124"/>
      <c r="L34" s="110"/>
      <c r="M34" s="124"/>
      <c r="N34" s="124"/>
      <c r="O34" s="124"/>
      <c r="P34" s="124"/>
      <c r="Q34" s="13"/>
      <c r="R34" s="125"/>
      <c r="S34" s="125"/>
      <c r="T34" s="125"/>
      <c r="U34" s="125"/>
      <c r="V34" s="125"/>
      <c r="W34" s="125"/>
      <c r="X34" s="125"/>
      <c r="Y34" s="13"/>
      <c r="Z34" s="13"/>
      <c r="AA34" s="13"/>
      <c r="AB34" s="13"/>
      <c r="AC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c r="CL34" s="13"/>
      <c r="CM34" s="13"/>
      <c r="CN34" s="13"/>
      <c r="CO34" s="13"/>
      <c r="CP34" s="13"/>
      <c r="CQ34" s="13"/>
    </row>
    <row r="35" spans="1:95" ht="16.5" customHeight="1" x14ac:dyDescent="0.2">
      <c r="A35" s="38"/>
      <c r="B35" s="1811"/>
      <c r="C35" s="1731" t="s">
        <v>293</v>
      </c>
      <c r="D35" s="1731"/>
      <c r="E35" s="1731"/>
      <c r="F35" s="882" t="str">
        <f>IF('1 QUESTIONÁRIO'!E173&gt;0,('1 QUESTIONÁRIO'!E173/'1 QUESTIONÁRIO'!G173-1),"")</f>
        <v/>
      </c>
      <c r="G35" s="390">
        <v>1</v>
      </c>
      <c r="I35" s="101"/>
      <c r="J35" s="13"/>
      <c r="K35" s="124"/>
      <c r="L35" s="110"/>
      <c r="M35" s="124"/>
      <c r="N35" s="124"/>
      <c r="O35" s="124"/>
      <c r="P35" s="124"/>
      <c r="Q35" s="13"/>
      <c r="R35" s="125"/>
      <c r="S35" s="125"/>
      <c r="T35" s="125"/>
      <c r="U35" s="125"/>
      <c r="V35" s="125"/>
      <c r="W35" s="125"/>
      <c r="X35" s="125"/>
      <c r="Y35" s="13"/>
      <c r="Z35" s="13"/>
      <c r="AA35" s="13"/>
      <c r="AB35" s="13"/>
      <c r="AC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c r="CC35" s="13"/>
      <c r="CD35" s="13"/>
      <c r="CE35" s="13"/>
      <c r="CF35" s="13"/>
      <c r="CG35" s="13"/>
      <c r="CH35" s="13"/>
      <c r="CI35" s="13"/>
      <c r="CJ35" s="13"/>
      <c r="CK35" s="13"/>
      <c r="CL35" s="13"/>
      <c r="CM35" s="13"/>
      <c r="CN35" s="13"/>
      <c r="CO35" s="13"/>
      <c r="CP35" s="13"/>
      <c r="CQ35" s="13"/>
    </row>
    <row r="36" spans="1:95" ht="15.75" customHeight="1" x14ac:dyDescent="0.2">
      <c r="A36" s="38"/>
      <c r="B36" s="1811"/>
      <c r="C36" s="1731" t="s">
        <v>294</v>
      </c>
      <c r="D36" s="1731"/>
      <c r="E36" s="1731"/>
      <c r="F36" s="882">
        <f>IF('1 QUESTIONÁRIO'!F191&gt;0,('1 QUESTIONÁRIO'!F191/'1 QUESTIONÁRIO'!J191-1),"")</f>
        <v>0</v>
      </c>
      <c r="G36" s="390">
        <v>1</v>
      </c>
      <c r="I36" s="101"/>
      <c r="J36" s="13"/>
      <c r="K36" s="124"/>
      <c r="L36" s="110"/>
      <c r="M36" s="124"/>
      <c r="N36" s="124"/>
      <c r="O36" s="124"/>
      <c r="P36" s="124"/>
      <c r="Q36" s="13"/>
      <c r="R36" s="125"/>
      <c r="S36" s="125"/>
      <c r="T36" s="125"/>
      <c r="U36" s="125"/>
      <c r="V36" s="125"/>
      <c r="W36" s="125"/>
      <c r="X36" s="125"/>
      <c r="Y36" s="13"/>
      <c r="Z36" s="13"/>
      <c r="AA36" s="13"/>
      <c r="AB36" s="13"/>
      <c r="AC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c r="CC36" s="13"/>
      <c r="CD36" s="13"/>
      <c r="CE36" s="13"/>
      <c r="CF36" s="13"/>
      <c r="CG36" s="13"/>
      <c r="CH36" s="13"/>
      <c r="CI36" s="13"/>
      <c r="CJ36" s="13"/>
      <c r="CK36" s="13"/>
      <c r="CL36" s="13"/>
      <c r="CM36" s="13"/>
      <c r="CN36" s="13"/>
      <c r="CO36" s="13"/>
      <c r="CP36" s="13"/>
      <c r="CQ36" s="13"/>
    </row>
    <row r="37" spans="1:95" ht="17.25" customHeight="1" thickBot="1" x14ac:dyDescent="0.25">
      <c r="A37" s="38"/>
      <c r="B37" s="1904"/>
      <c r="C37" s="1930" t="s">
        <v>295</v>
      </c>
      <c r="D37" s="1930"/>
      <c r="E37" s="1930"/>
      <c r="F37" s="883" t="e">
        <f>+'GUIA DE APLICAÇÃO'!H554</f>
        <v>#DIV/0!</v>
      </c>
      <c r="G37" s="390">
        <v>1</v>
      </c>
      <c r="I37" s="101"/>
      <c r="J37" s="112"/>
      <c r="K37" s="124"/>
      <c r="L37" s="110"/>
      <c r="M37" s="124"/>
      <c r="N37" s="124"/>
      <c r="O37" s="124"/>
      <c r="P37" s="124"/>
      <c r="Q37" s="13"/>
      <c r="R37" s="125"/>
      <c r="S37" s="125"/>
      <c r="T37" s="125"/>
      <c r="U37" s="125"/>
      <c r="V37" s="125"/>
      <c r="W37" s="125"/>
      <c r="X37" s="125"/>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13"/>
      <c r="CN37" s="13"/>
      <c r="CO37" s="13"/>
      <c r="CP37" s="13"/>
      <c r="CQ37" s="13"/>
    </row>
    <row r="38" spans="1:95" ht="18" customHeight="1" thickBot="1" x14ac:dyDescent="0.25">
      <c r="A38" s="38"/>
      <c r="B38" s="1896" t="s">
        <v>296</v>
      </c>
      <c r="C38" s="1896"/>
      <c r="D38" s="1896"/>
      <c r="E38" s="1896"/>
      <c r="F38" s="884" t="e">
        <f>+'GUIA DE APLICAÇÃO'!H558</f>
        <v>#DIV/0!</v>
      </c>
      <c r="G38" s="38"/>
      <c r="I38" s="101"/>
      <c r="J38" s="112"/>
      <c r="K38" s="124"/>
      <c r="L38" s="110"/>
      <c r="M38" s="124"/>
      <c r="N38" s="124"/>
      <c r="O38" s="124"/>
      <c r="P38" s="124"/>
      <c r="Q38" s="13"/>
      <c r="R38" s="125"/>
      <c r="S38" s="125"/>
      <c r="T38" s="125"/>
      <c r="U38" s="125"/>
      <c r="V38" s="125"/>
      <c r="W38" s="125"/>
      <c r="X38" s="125"/>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row>
    <row r="39" spans="1:95" ht="18" customHeight="1" x14ac:dyDescent="0.2">
      <c r="A39" s="38"/>
      <c r="B39" s="1929" t="s">
        <v>297</v>
      </c>
      <c r="C39" s="1929"/>
      <c r="D39" s="1929"/>
      <c r="E39" s="1929"/>
      <c r="F39" s="885" t="e">
        <f>'GUIA DE APLICAÇÃO'!H556</f>
        <v>#DIV/0!</v>
      </c>
      <c r="G39" s="38"/>
      <c r="I39" s="101"/>
      <c r="J39" s="112"/>
      <c r="K39" s="124"/>
      <c r="L39" s="110"/>
      <c r="M39" s="124"/>
      <c r="N39" s="124"/>
      <c r="O39" s="124"/>
      <c r="P39" s="124"/>
      <c r="Q39" s="13"/>
      <c r="R39" s="125"/>
      <c r="S39" s="125"/>
      <c r="T39" s="125"/>
      <c r="U39" s="125"/>
      <c r="V39" s="125"/>
      <c r="W39" s="125"/>
      <c r="X39" s="125"/>
      <c r="Y39" s="13"/>
      <c r="Z39" s="13"/>
      <c r="AA39" s="13"/>
      <c r="AB39" s="13"/>
      <c r="AC39" s="13"/>
      <c r="AD39" s="38"/>
      <c r="AE39" s="127"/>
      <c r="AF39" s="38"/>
      <c r="AG39" s="38"/>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13"/>
      <c r="CL39" s="13"/>
      <c r="CM39" s="13"/>
      <c r="CN39" s="13"/>
      <c r="CO39" s="13"/>
      <c r="CP39" s="13"/>
      <c r="CQ39" s="13"/>
    </row>
    <row r="40" spans="1:95" ht="16.5" customHeight="1" x14ac:dyDescent="0.2">
      <c r="A40" s="38"/>
      <c r="B40" s="128"/>
      <c r="C40" s="38"/>
      <c r="D40" s="38"/>
      <c r="G40" s="38"/>
      <c r="I40" s="101"/>
      <c r="J40" s="112"/>
      <c r="K40" s="124"/>
      <c r="L40" s="110"/>
      <c r="M40" s="124"/>
      <c r="N40" s="124"/>
      <c r="O40" s="124"/>
      <c r="P40" s="124"/>
      <c r="Q40" s="13"/>
      <c r="R40" s="125"/>
      <c r="S40" s="125"/>
      <c r="T40" s="125"/>
      <c r="U40" s="125"/>
      <c r="V40" s="125"/>
      <c r="W40" s="125"/>
      <c r="X40" s="125"/>
      <c r="Y40" s="13"/>
      <c r="Z40" s="13"/>
      <c r="AA40" s="13"/>
      <c r="AB40" s="13"/>
      <c r="AC40" s="13"/>
      <c r="AD40" s="38"/>
      <c r="AE40" s="127"/>
      <c r="AF40" s="38"/>
      <c r="AG40" s="38"/>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c r="CB40" s="13"/>
      <c r="CC40" s="13"/>
      <c r="CD40" s="13"/>
      <c r="CE40" s="13"/>
      <c r="CF40" s="13"/>
      <c r="CG40" s="13"/>
      <c r="CH40" s="13"/>
      <c r="CI40" s="13"/>
      <c r="CJ40" s="13"/>
      <c r="CK40" s="13"/>
      <c r="CL40" s="13"/>
      <c r="CM40" s="13"/>
      <c r="CN40" s="13"/>
      <c r="CO40" s="13"/>
      <c r="CP40" s="13"/>
      <c r="CQ40" s="13"/>
    </row>
    <row r="41" spans="1:95" ht="15" customHeight="1" x14ac:dyDescent="0.2">
      <c r="A41" s="38"/>
      <c r="B41" s="290" t="s">
        <v>274</v>
      </c>
      <c r="C41" s="627" t="e">
        <f>IF('GUIA DE APLICAÇÃO'!I612&gt;1,1,'GUIA DE APLICAÇÃO'!I612)</f>
        <v>#DIV/0!</v>
      </c>
      <c r="D41" s="385" t="s">
        <v>298</v>
      </c>
      <c r="E41" s="129"/>
      <c r="F41" s="121"/>
      <c r="G41" s="121"/>
      <c r="H41" s="121"/>
      <c r="I41" s="101"/>
      <c r="J41" s="112"/>
      <c r="K41" s="130"/>
      <c r="L41" s="131"/>
      <c r="M41" s="124"/>
      <c r="N41" s="124"/>
      <c r="O41" s="132"/>
      <c r="P41" s="124"/>
      <c r="Q41" s="13"/>
      <c r="R41" s="13"/>
      <c r="S41" s="13"/>
      <c r="T41" s="13"/>
      <c r="U41" s="13"/>
      <c r="V41" s="13"/>
      <c r="W41" s="13"/>
      <c r="X41" s="13"/>
      <c r="Y41" s="13"/>
      <c r="Z41" s="13"/>
      <c r="AA41" s="13"/>
      <c r="AB41" s="13"/>
      <c r="AC41" s="13"/>
      <c r="AD41" s="38"/>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row>
    <row r="42" spans="1:95" ht="15" customHeight="1" x14ac:dyDescent="0.2">
      <c r="A42" s="38"/>
      <c r="B42" s="636"/>
      <c r="C42" s="133"/>
      <c r="D42" s="637"/>
      <c r="E42" s="134"/>
      <c r="F42" s="38"/>
      <c r="G42" s="38"/>
      <c r="H42" s="38"/>
      <c r="I42" s="694"/>
      <c r="J42" s="112"/>
      <c r="K42" s="130"/>
      <c r="L42" s="131"/>
      <c r="M42" s="124"/>
      <c r="N42" s="124"/>
      <c r="O42" s="132"/>
      <c r="P42" s="124"/>
      <c r="Q42" s="13"/>
      <c r="R42" s="13"/>
      <c r="S42" s="13"/>
      <c r="T42" s="13"/>
      <c r="U42" s="13"/>
      <c r="V42" s="13"/>
      <c r="W42" s="13"/>
      <c r="X42" s="13"/>
      <c r="Y42" s="13"/>
      <c r="Z42" s="13"/>
      <c r="AA42" s="13"/>
      <c r="AB42" s="13"/>
      <c r="AC42" s="13"/>
      <c r="AD42" s="38"/>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13"/>
      <c r="CL42" s="13"/>
      <c r="CM42" s="13"/>
      <c r="CN42" s="13"/>
      <c r="CO42" s="13"/>
      <c r="CP42" s="13"/>
      <c r="CQ42" s="13"/>
    </row>
    <row r="43" spans="1:95" ht="18.75" customHeight="1" x14ac:dyDescent="0.2">
      <c r="A43" s="615">
        <v>4</v>
      </c>
      <c r="B43" s="703" t="s">
        <v>299</v>
      </c>
      <c r="C43" s="630"/>
      <c r="D43" s="630"/>
      <c r="E43" s="630"/>
      <c r="F43" s="630"/>
      <c r="G43" s="630"/>
      <c r="H43" s="631"/>
      <c r="I43" s="111"/>
      <c r="J43" s="5"/>
      <c r="K43" s="5"/>
      <c r="L43" s="5"/>
      <c r="M43" s="5"/>
      <c r="N43" s="5"/>
      <c r="O43" s="5"/>
      <c r="P43" s="5"/>
      <c r="Q43" s="5"/>
      <c r="R43" s="5"/>
      <c r="S43" s="5"/>
      <c r="T43" s="5"/>
      <c r="U43" s="5"/>
      <c r="V43" s="5"/>
      <c r="W43" s="13"/>
      <c r="X43" s="13"/>
      <c r="AA43" s="13"/>
      <c r="AB43" s="13"/>
      <c r="AC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c r="CH43" s="13"/>
      <c r="CI43" s="13"/>
      <c r="CJ43" s="13"/>
      <c r="CK43" s="13"/>
      <c r="CL43" s="13"/>
      <c r="CM43" s="13"/>
      <c r="CN43" s="13"/>
      <c r="CO43" s="13"/>
      <c r="CP43" s="13"/>
      <c r="CQ43" s="13"/>
    </row>
    <row r="44" spans="1:95" ht="16.5" customHeight="1" x14ac:dyDescent="0.2">
      <c r="A44" s="608"/>
      <c r="B44" s="632"/>
      <c r="C44" s="145"/>
      <c r="D44" s="145"/>
      <c r="E44" s="145"/>
      <c r="F44" s="145"/>
      <c r="G44" s="145"/>
      <c r="H44" s="633"/>
      <c r="I44" s="111"/>
      <c r="J44" s="5"/>
      <c r="K44" s="5"/>
      <c r="L44" s="5"/>
      <c r="M44" s="5"/>
      <c r="N44" s="5"/>
      <c r="O44" s="5"/>
      <c r="P44" s="5"/>
      <c r="Q44" s="5"/>
      <c r="R44" s="5"/>
      <c r="S44" s="5"/>
      <c r="T44" s="5"/>
      <c r="U44" s="5"/>
      <c r="V44" s="5"/>
      <c r="W44" s="13"/>
      <c r="X44" s="13"/>
      <c r="AA44" s="13"/>
      <c r="AB44" s="13"/>
      <c r="AC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row>
    <row r="45" spans="1:95" ht="16.5" customHeight="1" x14ac:dyDescent="0.2">
      <c r="A45" s="38"/>
      <c r="B45" s="1934" t="s">
        <v>300</v>
      </c>
      <c r="C45" s="1941"/>
      <c r="D45" s="1908" t="s">
        <v>301</v>
      </c>
      <c r="E45" s="1725" t="s">
        <v>179</v>
      </c>
      <c r="F45" s="13"/>
      <c r="G45" s="13"/>
      <c r="H45" s="13"/>
      <c r="I45" s="101"/>
      <c r="J45" s="5"/>
      <c r="K45" s="5"/>
      <c r="L45" s="5"/>
      <c r="M45" s="5"/>
      <c r="N45" s="5"/>
      <c r="O45" s="5"/>
      <c r="P45" s="5"/>
      <c r="Q45" s="5"/>
      <c r="R45" s="5"/>
      <c r="S45" s="5"/>
      <c r="T45" s="5"/>
      <c r="U45" s="5"/>
      <c r="V45" s="5"/>
      <c r="W45" s="13"/>
      <c r="X45" s="13"/>
      <c r="AA45" s="13"/>
      <c r="AB45" s="13"/>
      <c r="AC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row>
    <row r="46" spans="1:95" ht="16.5" customHeight="1" x14ac:dyDescent="0.2">
      <c r="A46" s="38"/>
      <c r="B46" s="1934"/>
      <c r="C46" s="1941"/>
      <c r="D46" s="1909"/>
      <c r="E46" s="1726"/>
      <c r="F46" s="13"/>
      <c r="G46" s="13"/>
      <c r="H46" s="13"/>
      <c r="I46" s="101"/>
      <c r="J46" s="5"/>
      <c r="K46" s="5"/>
      <c r="L46" s="5"/>
      <c r="M46" s="5"/>
      <c r="N46" s="5"/>
      <c r="O46" s="5"/>
      <c r="P46" s="5"/>
      <c r="Q46" s="5"/>
      <c r="R46" s="5"/>
      <c r="S46" s="5"/>
      <c r="T46" s="5"/>
      <c r="U46" s="5"/>
      <c r="V46" s="5"/>
      <c r="W46" s="13"/>
      <c r="X46" s="13"/>
      <c r="AA46" s="13"/>
      <c r="AB46" s="13"/>
      <c r="AC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row>
    <row r="47" spans="1:95" ht="13.5" customHeight="1" x14ac:dyDescent="0.2">
      <c r="A47" s="38"/>
      <c r="B47" s="1752" t="s">
        <v>302</v>
      </c>
      <c r="C47" s="634" t="s">
        <v>303</v>
      </c>
      <c r="D47" s="407"/>
      <c r="E47" s="391">
        <v>0.7</v>
      </c>
      <c r="F47" s="13"/>
      <c r="G47" s="13"/>
      <c r="H47" s="13"/>
      <c r="I47" s="101"/>
      <c r="J47" s="5"/>
      <c r="K47" s="5"/>
      <c r="L47" s="5"/>
      <c r="M47" s="5"/>
      <c r="N47" s="5"/>
      <c r="O47" s="5"/>
      <c r="P47" s="5"/>
      <c r="Q47" s="5"/>
      <c r="R47" s="5"/>
      <c r="S47" s="5"/>
      <c r="T47" s="5"/>
      <c r="U47" s="5"/>
      <c r="V47" s="5"/>
      <c r="W47" s="13"/>
      <c r="X47" s="13"/>
      <c r="AA47" s="13"/>
      <c r="AB47" s="13"/>
      <c r="AC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row>
    <row r="48" spans="1:95" ht="13.5" customHeight="1" x14ac:dyDescent="0.2">
      <c r="A48" s="38"/>
      <c r="B48" s="1753"/>
      <c r="C48" s="634" t="s">
        <v>304</v>
      </c>
      <c r="D48" s="407"/>
      <c r="E48" s="392">
        <v>1</v>
      </c>
      <c r="F48" s="13"/>
      <c r="G48" s="13"/>
      <c r="H48" s="13"/>
      <c r="I48" s="101"/>
      <c r="J48" s="5"/>
      <c r="K48" s="5"/>
      <c r="L48" s="5"/>
      <c r="M48" s="5"/>
      <c r="N48" s="5"/>
      <c r="O48" s="5"/>
      <c r="P48" s="5"/>
      <c r="Q48" s="5"/>
      <c r="R48" s="5"/>
      <c r="S48" s="5"/>
      <c r="T48" s="5"/>
      <c r="U48" s="5"/>
      <c r="V48" s="5"/>
      <c r="W48" s="13"/>
      <c r="X48" s="13"/>
      <c r="AA48" s="13"/>
      <c r="AB48" s="13"/>
      <c r="AC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3"/>
      <c r="CE48" s="13"/>
      <c r="CF48" s="13"/>
      <c r="CG48" s="13"/>
      <c r="CH48" s="13"/>
      <c r="CI48" s="13"/>
      <c r="CJ48" s="13"/>
      <c r="CK48" s="13"/>
      <c r="CL48" s="13"/>
      <c r="CM48" s="13"/>
      <c r="CN48" s="13"/>
      <c r="CO48" s="13"/>
      <c r="CP48" s="13"/>
      <c r="CQ48" s="13"/>
    </row>
    <row r="49" spans="1:95" ht="13.5" customHeight="1" x14ac:dyDescent="0.2">
      <c r="A49" s="38"/>
      <c r="B49" s="1753"/>
      <c r="C49" s="634" t="s">
        <v>305</v>
      </c>
      <c r="D49" s="407"/>
      <c r="E49" s="391">
        <v>0.7</v>
      </c>
      <c r="F49" s="142"/>
      <c r="G49" s="13"/>
      <c r="H49" s="13"/>
      <c r="I49" s="101"/>
      <c r="J49" s="5"/>
      <c r="K49" s="5"/>
      <c r="L49" s="5"/>
      <c r="M49" s="5"/>
      <c r="N49" s="5"/>
      <c r="O49" s="5"/>
      <c r="P49" s="5"/>
      <c r="Q49" s="5"/>
      <c r="R49" s="5"/>
      <c r="S49" s="5"/>
      <c r="T49" s="5"/>
      <c r="U49" s="5"/>
      <c r="V49" s="5"/>
      <c r="W49" s="13"/>
      <c r="X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row>
    <row r="50" spans="1:95" ht="13.5" customHeight="1" x14ac:dyDescent="0.2">
      <c r="A50" s="38"/>
      <c r="B50" s="1753"/>
      <c r="C50" s="634" t="s">
        <v>306</v>
      </c>
      <c r="D50" s="407"/>
      <c r="E50" s="391">
        <v>0.6</v>
      </c>
      <c r="F50" s="13"/>
      <c r="G50" s="139"/>
      <c r="H50" s="139"/>
      <c r="I50" s="101"/>
      <c r="J50" s="5"/>
      <c r="K50" s="5"/>
      <c r="L50" s="5"/>
      <c r="M50" s="5"/>
      <c r="N50" s="5"/>
      <c r="O50" s="5"/>
      <c r="P50" s="5"/>
      <c r="Q50" s="5"/>
      <c r="R50" s="5"/>
      <c r="S50" s="5"/>
      <c r="T50" s="5"/>
      <c r="U50" s="5"/>
      <c r="V50" s="5"/>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row>
    <row r="51" spans="1:95" ht="13.5" customHeight="1" x14ac:dyDescent="0.2">
      <c r="A51" s="38"/>
      <c r="B51" s="1753"/>
      <c r="C51" s="634" t="s">
        <v>307</v>
      </c>
      <c r="D51" s="407"/>
      <c r="E51" s="391">
        <v>0.4</v>
      </c>
      <c r="F51" s="13"/>
      <c r="G51" s="139"/>
      <c r="H51" s="139"/>
      <c r="I51" s="101"/>
      <c r="J51" s="5"/>
      <c r="K51" s="5"/>
      <c r="L51" s="5"/>
      <c r="M51" s="5"/>
      <c r="N51" s="5"/>
      <c r="O51" s="5"/>
      <c r="P51" s="5"/>
      <c r="Q51" s="5"/>
      <c r="R51" s="5"/>
      <c r="S51" s="5"/>
      <c r="T51" s="5"/>
      <c r="U51" s="5"/>
      <c r="V51" s="5"/>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row>
    <row r="52" spans="1:95" ht="14.25" customHeight="1" x14ac:dyDescent="0.2">
      <c r="A52" s="38"/>
      <c r="B52" s="1754"/>
      <c r="C52" s="635" t="s">
        <v>308</v>
      </c>
      <c r="D52" s="407"/>
      <c r="E52" s="391">
        <v>0.1</v>
      </c>
      <c r="F52" s="13"/>
      <c r="G52" s="139"/>
      <c r="H52" s="139"/>
      <c r="I52" s="101"/>
      <c r="J52" s="5"/>
      <c r="K52" s="5"/>
      <c r="L52" s="5"/>
      <c r="M52" s="5"/>
      <c r="N52" s="5"/>
      <c r="O52" s="5"/>
      <c r="P52" s="5"/>
      <c r="Q52" s="5"/>
      <c r="R52" s="5"/>
      <c r="S52" s="5"/>
      <c r="T52" s="5"/>
      <c r="U52" s="5"/>
      <c r="V52" s="5"/>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row>
    <row r="53" spans="1:95" ht="15.75" customHeight="1" x14ac:dyDescent="0.2">
      <c r="A53" s="38"/>
      <c r="B53" s="128"/>
      <c r="C53" s="38"/>
      <c r="D53" s="38"/>
      <c r="E53" s="38"/>
      <c r="F53" s="13"/>
      <c r="G53" s="139"/>
      <c r="H53" s="139"/>
      <c r="I53" s="101"/>
      <c r="J53" s="5"/>
      <c r="K53" s="5"/>
      <c r="L53" s="5"/>
      <c r="M53" s="5"/>
      <c r="N53" s="5"/>
      <c r="O53" s="5"/>
      <c r="P53" s="5"/>
      <c r="Q53" s="5"/>
      <c r="R53" s="5"/>
      <c r="S53" s="5"/>
      <c r="T53" s="5"/>
      <c r="U53" s="5"/>
      <c r="V53" s="5"/>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row>
    <row r="54" spans="1:95" ht="14.25" customHeight="1" x14ac:dyDescent="0.2">
      <c r="A54" s="38"/>
      <c r="B54" s="290" t="s">
        <v>274</v>
      </c>
      <c r="C54" s="627">
        <f>('GUIA DE APLICAÇÃO'!F623*E47)+('GUIA DE APLICAÇÃO'!F624*E48)+('GUIA DE APLICAÇÃO'!F625*E49)+('GUIA DE APLICAÇÃO'!G623*E50)+('GUIA DE APLICAÇÃO'!G624*E51)+('GUIA DE APLICAÇÃO'!G625*E52)</f>
        <v>0</v>
      </c>
      <c r="D54" s="385" t="s">
        <v>285</v>
      </c>
      <c r="E54" s="143"/>
      <c r="F54" s="143"/>
      <c r="G54" s="143"/>
      <c r="H54" s="143"/>
      <c r="I54" s="101"/>
      <c r="J54" s="5"/>
      <c r="K54" s="5"/>
      <c r="L54" s="5"/>
      <c r="M54" s="5"/>
      <c r="N54" s="5"/>
      <c r="O54" s="5"/>
      <c r="P54" s="5"/>
      <c r="Q54" s="5"/>
      <c r="R54" s="5"/>
      <c r="S54" s="5"/>
      <c r="T54" s="5"/>
      <c r="U54" s="5"/>
      <c r="V54" s="5"/>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row>
    <row r="55" spans="1:95" ht="15" customHeight="1" x14ac:dyDescent="0.2">
      <c r="A55" s="38"/>
      <c r="B55" s="110"/>
      <c r="C55" s="110"/>
      <c r="D55" s="110"/>
      <c r="E55" s="110"/>
      <c r="F55" s="110"/>
      <c r="G55" s="138"/>
      <c r="H55" s="138"/>
      <c r="I55" s="139"/>
      <c r="J55" s="5"/>
      <c r="K55" s="5"/>
      <c r="L55" s="5"/>
      <c r="M55" s="5"/>
      <c r="N55" s="5"/>
      <c r="O55" s="5"/>
      <c r="P55" s="5"/>
      <c r="Q55" s="5"/>
      <c r="R55" s="5"/>
      <c r="S55" s="5"/>
      <c r="T55" s="5"/>
      <c r="U55" s="5"/>
      <c r="V55" s="5"/>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row>
    <row r="56" spans="1:95" ht="19.5" customHeight="1" x14ac:dyDescent="0.2">
      <c r="A56" s="615">
        <v>5</v>
      </c>
      <c r="B56" s="703" t="s">
        <v>309</v>
      </c>
      <c r="C56" s="630"/>
      <c r="D56" s="630"/>
      <c r="E56" s="630"/>
      <c r="F56" s="630"/>
      <c r="G56" s="630"/>
      <c r="H56" s="631"/>
      <c r="I56" s="111"/>
      <c r="J56" s="13"/>
      <c r="K56" s="137"/>
      <c r="L56" s="137"/>
      <c r="M56" s="137"/>
      <c r="N56" s="137"/>
      <c r="O56" s="137"/>
      <c r="P56" s="137"/>
      <c r="Q56" s="137"/>
      <c r="R56" s="137"/>
      <c r="S56" s="137"/>
      <c r="T56" s="137"/>
      <c r="U56" s="137"/>
      <c r="V56" s="137"/>
      <c r="W56" s="38"/>
      <c r="X56" s="38"/>
      <c r="AA56" s="38"/>
      <c r="AB56" s="38"/>
      <c r="AC56" s="38"/>
      <c r="AH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row>
    <row r="57" spans="1:95" ht="35.25" customHeight="1" x14ac:dyDescent="0.2">
      <c r="A57" s="144"/>
      <c r="B57" s="368"/>
      <c r="C57" s="145"/>
      <c r="D57" s="1910" t="s">
        <v>310</v>
      </c>
      <c r="E57" s="1910"/>
      <c r="F57" s="1910"/>
      <c r="G57" s="1910"/>
      <c r="H57" s="145"/>
      <c r="I57" s="101"/>
      <c r="J57" s="13"/>
      <c r="K57" s="137"/>
      <c r="L57" s="137"/>
      <c r="M57" s="137"/>
      <c r="N57" s="137"/>
      <c r="O57" s="137"/>
      <c r="P57" s="137"/>
      <c r="Q57" s="137"/>
      <c r="R57" s="137"/>
      <c r="S57" s="137"/>
      <c r="T57" s="137"/>
      <c r="U57" s="137"/>
      <c r="V57" s="137"/>
      <c r="W57" s="38"/>
      <c r="X57" s="38"/>
      <c r="AA57" s="38"/>
      <c r="AB57" s="38"/>
      <c r="AC57" s="38"/>
      <c r="AH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row>
    <row r="58" spans="1:95" ht="16.5" customHeight="1" x14ac:dyDescent="0.2">
      <c r="A58" s="38"/>
      <c r="B58" s="1934" t="s">
        <v>311</v>
      </c>
      <c r="C58" s="1935"/>
      <c r="D58" s="1874" t="s">
        <v>312</v>
      </c>
      <c r="E58" s="1874" t="s">
        <v>313</v>
      </c>
      <c r="F58" s="1874" t="s">
        <v>314</v>
      </c>
      <c r="G58" s="1874" t="s">
        <v>315</v>
      </c>
      <c r="H58" s="1873" t="s">
        <v>179</v>
      </c>
      <c r="I58" s="101"/>
      <c r="J58" s="13"/>
      <c r="K58" s="137"/>
      <c r="L58" s="137"/>
      <c r="M58" s="137"/>
      <c r="N58" s="137"/>
      <c r="O58" s="137"/>
      <c r="P58" s="137"/>
      <c r="Q58" s="137"/>
      <c r="R58" s="137"/>
      <c r="S58" s="137"/>
      <c r="T58" s="137"/>
      <c r="U58" s="137"/>
      <c r="V58" s="137"/>
      <c r="W58" s="38"/>
      <c r="X58" s="38"/>
      <c r="AA58" s="38"/>
      <c r="AB58" s="38"/>
      <c r="AC58" s="38"/>
      <c r="AH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row>
    <row r="59" spans="1:95" ht="16.5" customHeight="1" x14ac:dyDescent="0.2">
      <c r="A59" s="38"/>
      <c r="B59" s="1936"/>
      <c r="C59" s="1937"/>
      <c r="D59" s="1875"/>
      <c r="E59" s="1875"/>
      <c r="F59" s="1875"/>
      <c r="G59" s="1875"/>
      <c r="H59" s="1914"/>
      <c r="I59" s="101"/>
      <c r="J59" s="13"/>
      <c r="K59" s="137"/>
      <c r="L59" s="137"/>
      <c r="M59" s="137"/>
      <c r="N59" s="137"/>
      <c r="O59" s="137"/>
      <c r="P59" s="137"/>
      <c r="Q59" s="137"/>
      <c r="R59" s="137"/>
      <c r="S59" s="137"/>
      <c r="T59" s="137"/>
      <c r="U59" s="137"/>
      <c r="V59" s="137"/>
      <c r="W59" s="38"/>
      <c r="X59" s="38"/>
      <c r="AA59" s="38"/>
      <c r="AB59" s="38"/>
      <c r="AC59" s="38"/>
      <c r="AH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row>
    <row r="60" spans="1:95" ht="16.5" customHeight="1" x14ac:dyDescent="0.2">
      <c r="A60" s="38"/>
      <c r="B60" s="1731" t="s">
        <v>316</v>
      </c>
      <c r="C60" s="1721"/>
      <c r="D60" s="886"/>
      <c r="E60" s="887"/>
      <c r="F60" s="888"/>
      <c r="G60" s="889"/>
      <c r="H60" s="392" t="s">
        <v>317</v>
      </c>
      <c r="I60" s="101"/>
      <c r="J60" s="13"/>
      <c r="K60" s="137"/>
      <c r="L60" s="137"/>
      <c r="M60" s="137"/>
      <c r="N60" s="137"/>
      <c r="O60" s="137"/>
      <c r="P60" s="137"/>
      <c r="Q60" s="137"/>
      <c r="R60" s="137"/>
      <c r="S60" s="137"/>
      <c r="T60" s="137"/>
      <c r="U60" s="137"/>
      <c r="V60" s="137"/>
      <c r="W60" s="38"/>
      <c r="X60" s="38"/>
      <c r="AA60" s="38"/>
      <c r="AB60" s="38"/>
      <c r="AC60" s="38"/>
      <c r="AH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row>
    <row r="61" spans="1:95" ht="16.5" customHeight="1" x14ac:dyDescent="0.2">
      <c r="A61" s="38"/>
      <c r="B61" s="1730" t="s">
        <v>318</v>
      </c>
      <c r="C61" s="1721"/>
      <c r="D61" s="886"/>
      <c r="E61" s="887"/>
      <c r="F61" s="888"/>
      <c r="G61" s="889"/>
      <c r="H61" s="392">
        <v>1</v>
      </c>
      <c r="I61" s="101"/>
      <c r="J61" s="13"/>
      <c r="K61" s="137"/>
      <c r="L61" s="137"/>
      <c r="M61" s="137"/>
      <c r="N61" s="137"/>
      <c r="O61" s="137"/>
      <c r="P61" s="137"/>
      <c r="Q61" s="137"/>
      <c r="R61" s="137"/>
      <c r="S61" s="137"/>
      <c r="T61" s="137"/>
      <c r="U61" s="137"/>
      <c r="V61" s="137"/>
      <c r="W61" s="38"/>
      <c r="X61" s="38"/>
      <c r="AA61" s="38"/>
      <c r="AB61" s="38"/>
      <c r="AC61" s="38"/>
      <c r="AH61" s="13"/>
      <c r="AI61" s="147"/>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row>
    <row r="62" spans="1:95" ht="30" customHeight="1" x14ac:dyDescent="0.2">
      <c r="A62" s="38"/>
      <c r="B62" s="1730" t="s">
        <v>319</v>
      </c>
      <c r="C62" s="1721"/>
      <c r="D62" s="886"/>
      <c r="E62" s="887"/>
      <c r="F62" s="888"/>
      <c r="G62" s="889"/>
      <c r="H62" s="392">
        <v>1</v>
      </c>
      <c r="I62" s="101"/>
      <c r="J62" s="139"/>
      <c r="K62" s="137"/>
      <c r="L62" s="137"/>
      <c r="M62" s="137"/>
      <c r="N62" s="137"/>
      <c r="O62" s="137"/>
      <c r="P62" s="137"/>
      <c r="Q62" s="137"/>
      <c r="R62" s="137"/>
      <c r="S62" s="137"/>
      <c r="T62" s="137"/>
      <c r="U62" s="137"/>
      <c r="V62" s="137"/>
      <c r="W62" s="38"/>
      <c r="X62" s="38"/>
      <c r="AA62" s="38"/>
      <c r="AB62" s="38"/>
      <c r="AC62" s="38"/>
      <c r="AH62" s="13"/>
      <c r="AI62" s="147"/>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row>
    <row r="63" spans="1:95" ht="15" customHeight="1" x14ac:dyDescent="0.2">
      <c r="A63" s="38"/>
      <c r="B63" s="1730" t="s">
        <v>320</v>
      </c>
      <c r="C63" s="1721"/>
      <c r="D63" s="886"/>
      <c r="E63" s="887"/>
      <c r="F63" s="888"/>
      <c r="G63" s="889"/>
      <c r="H63" s="392">
        <v>1</v>
      </c>
      <c r="I63" s="101"/>
      <c r="J63" s="139"/>
      <c r="K63" s="137"/>
      <c r="L63" s="137"/>
      <c r="M63" s="137"/>
      <c r="N63" s="137"/>
      <c r="O63" s="137"/>
      <c r="P63" s="137"/>
      <c r="Q63" s="137"/>
      <c r="R63" s="137"/>
      <c r="S63" s="137"/>
      <c r="T63" s="137"/>
      <c r="U63" s="137"/>
      <c r="V63" s="137"/>
      <c r="W63" s="38"/>
      <c r="X63" s="38"/>
      <c r="Y63" s="13"/>
      <c r="Z63" s="13"/>
      <c r="AA63" s="38"/>
      <c r="AB63" s="38"/>
      <c r="AC63" s="38"/>
      <c r="AD63" s="13"/>
      <c r="AE63" s="13"/>
      <c r="AF63" s="13"/>
      <c r="AG63" s="13"/>
      <c r="AH63" s="13"/>
      <c r="AI63" s="147"/>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row>
    <row r="64" spans="1:95" ht="15.75" customHeight="1" x14ac:dyDescent="0.2">
      <c r="A64" s="38"/>
      <c r="B64" s="1730" t="s">
        <v>321</v>
      </c>
      <c r="C64" s="1721"/>
      <c r="D64" s="886"/>
      <c r="E64" s="887"/>
      <c r="F64" s="888"/>
      <c r="G64" s="889"/>
      <c r="H64" s="392">
        <v>1</v>
      </c>
      <c r="I64" s="101"/>
      <c r="J64" s="139"/>
      <c r="K64" s="137"/>
      <c r="L64" s="137"/>
      <c r="M64" s="137"/>
      <c r="N64" s="137"/>
      <c r="O64" s="137"/>
      <c r="P64" s="137"/>
      <c r="Q64" s="137"/>
      <c r="R64" s="137"/>
      <c r="S64" s="137"/>
      <c r="T64" s="137"/>
      <c r="U64" s="137"/>
      <c r="V64" s="137"/>
      <c r="W64" s="38"/>
      <c r="X64" s="38"/>
      <c r="Y64" s="13"/>
      <c r="Z64" s="13"/>
      <c r="AA64" s="38"/>
      <c r="AB64" s="38"/>
      <c r="AC64" s="38"/>
      <c r="AD64" s="13"/>
      <c r="AE64" s="13"/>
      <c r="AF64" s="13"/>
      <c r="AG64" s="13"/>
      <c r="AH64" s="13"/>
      <c r="AI64" s="147"/>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row>
    <row r="65" spans="1:95" ht="15.75" customHeight="1" x14ac:dyDescent="0.2">
      <c r="A65" s="38"/>
      <c r="B65" s="1730" t="s">
        <v>322</v>
      </c>
      <c r="C65" s="1721"/>
      <c r="D65" s="886"/>
      <c r="E65" s="887"/>
      <c r="F65" s="888"/>
      <c r="G65" s="889"/>
      <c r="H65" s="392">
        <v>1</v>
      </c>
      <c r="I65" s="101"/>
      <c r="J65" s="139"/>
      <c r="K65" s="137"/>
      <c r="L65" s="137"/>
      <c r="M65" s="137"/>
      <c r="N65" s="137"/>
      <c r="O65" s="137"/>
      <c r="P65" s="137"/>
      <c r="Q65" s="137"/>
      <c r="R65" s="137"/>
      <c r="S65" s="137"/>
      <c r="T65" s="137"/>
      <c r="U65" s="137"/>
      <c r="V65" s="137"/>
      <c r="W65" s="38"/>
      <c r="X65" s="38"/>
      <c r="Y65" s="13"/>
      <c r="Z65" s="13"/>
      <c r="AA65" s="38"/>
      <c r="AB65" s="38"/>
      <c r="AC65" s="38"/>
      <c r="AD65" s="13"/>
      <c r="AE65" s="13"/>
      <c r="AF65" s="13"/>
      <c r="AG65" s="13"/>
      <c r="AH65" s="13"/>
      <c r="AI65" s="147"/>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row>
    <row r="66" spans="1:95" ht="16.5" customHeight="1" x14ac:dyDescent="0.2">
      <c r="A66" s="38"/>
      <c r="B66" s="1731" t="s">
        <v>323</v>
      </c>
      <c r="C66" s="1721"/>
      <c r="D66" s="886"/>
      <c r="E66" s="887"/>
      <c r="F66" s="888"/>
      <c r="G66" s="889"/>
      <c r="H66" s="392">
        <v>1</v>
      </c>
      <c r="I66" s="101"/>
      <c r="J66" s="145"/>
      <c r="K66" s="137"/>
      <c r="L66" s="137"/>
      <c r="M66" s="137"/>
      <c r="N66" s="137"/>
      <c r="O66" s="137"/>
      <c r="P66" s="137"/>
      <c r="Q66" s="137"/>
      <c r="R66" s="137"/>
      <c r="S66" s="137"/>
      <c r="T66" s="137"/>
      <c r="U66" s="137"/>
      <c r="V66" s="137"/>
      <c r="W66" s="38"/>
      <c r="X66" s="38"/>
      <c r="Y66" s="13"/>
      <c r="Z66" s="13"/>
      <c r="AA66" s="38"/>
      <c r="AB66" s="38"/>
      <c r="AC66" s="38"/>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row>
    <row r="67" spans="1:95" ht="15.75" customHeight="1" x14ac:dyDescent="0.2">
      <c r="A67" s="38"/>
      <c r="B67" s="1731" t="s">
        <v>324</v>
      </c>
      <c r="C67" s="1721"/>
      <c r="D67" s="886"/>
      <c r="E67" s="887"/>
      <c r="F67" s="888"/>
      <c r="G67" s="889"/>
      <c r="H67" s="392">
        <v>1</v>
      </c>
      <c r="I67" s="101"/>
      <c r="J67" s="145"/>
      <c r="K67" s="137"/>
      <c r="L67" s="137"/>
      <c r="M67" s="137"/>
      <c r="N67" s="137"/>
      <c r="O67" s="137"/>
      <c r="P67" s="137"/>
      <c r="Q67" s="137"/>
      <c r="R67" s="137"/>
      <c r="S67" s="137"/>
      <c r="T67" s="137"/>
      <c r="U67" s="137"/>
      <c r="V67" s="137"/>
      <c r="W67" s="38"/>
      <c r="X67" s="38"/>
      <c r="Y67" s="13"/>
      <c r="Z67" s="13"/>
      <c r="AA67" s="38"/>
      <c r="AB67" s="38"/>
      <c r="AC67" s="38"/>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row>
    <row r="68" spans="1:95" ht="15" customHeight="1" x14ac:dyDescent="0.2">
      <c r="A68" s="38"/>
      <c r="B68" s="1730" t="s">
        <v>325</v>
      </c>
      <c r="C68" s="1721"/>
      <c r="D68" s="886"/>
      <c r="E68" s="890"/>
      <c r="F68" s="891"/>
      <c r="G68" s="892"/>
      <c r="H68" s="392">
        <v>1</v>
      </c>
      <c r="I68" s="101"/>
      <c r="J68" s="145"/>
      <c r="K68" s="137"/>
      <c r="L68" s="137"/>
      <c r="M68" s="137"/>
      <c r="N68" s="137"/>
      <c r="O68" s="137"/>
      <c r="P68" s="137"/>
      <c r="Q68" s="137"/>
      <c r="R68" s="137"/>
      <c r="S68" s="137"/>
      <c r="T68" s="137"/>
      <c r="U68" s="137"/>
      <c r="V68" s="137"/>
      <c r="W68" s="38"/>
      <c r="X68" s="38"/>
      <c r="Y68" s="13"/>
      <c r="Z68" s="13"/>
      <c r="AA68" s="38"/>
      <c r="AB68" s="38"/>
      <c r="AC68" s="38"/>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row>
    <row r="69" spans="1:95" ht="16.5" customHeight="1" x14ac:dyDescent="0.2">
      <c r="A69" s="38"/>
      <c r="B69" s="1878" t="s">
        <v>326</v>
      </c>
      <c r="C69" s="1879"/>
      <c r="D69" s="1880" t="s">
        <v>327</v>
      </c>
      <c r="E69" s="1880"/>
      <c r="F69" s="1880"/>
      <c r="G69" s="1880"/>
      <c r="H69" s="1881"/>
      <c r="I69" s="101"/>
      <c r="J69" s="145"/>
      <c r="K69" s="137"/>
      <c r="L69" s="137"/>
      <c r="M69" s="137"/>
      <c r="N69" s="137"/>
      <c r="O69" s="137"/>
      <c r="P69" s="137"/>
      <c r="Q69" s="137"/>
      <c r="R69" s="137"/>
      <c r="S69" s="137"/>
      <c r="T69" s="137"/>
      <c r="U69" s="137"/>
      <c r="V69" s="137"/>
      <c r="W69" s="38"/>
      <c r="X69" s="38"/>
      <c r="Y69" s="13"/>
      <c r="Z69" s="13"/>
      <c r="AA69" s="38"/>
      <c r="AB69" s="38"/>
      <c r="AC69" s="38"/>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row>
    <row r="70" spans="1:95" ht="15" customHeight="1" x14ac:dyDescent="0.2">
      <c r="A70" s="38"/>
      <c r="B70" s="290" t="s">
        <v>328</v>
      </c>
      <c r="C70" s="638">
        <f>IF('1 QUESTIONÁRIO'!I224="x",('GUIA DE APLICAÇÃO'!H632/11),('GUIA DE APLICAÇÃO'!H632/9))</f>
        <v>0</v>
      </c>
      <c r="D70" s="637" t="s">
        <v>329</v>
      </c>
      <c r="E70" s="204"/>
      <c r="F70" s="110"/>
      <c r="G70" s="110"/>
      <c r="H70" s="608"/>
      <c r="I70" s="694"/>
      <c r="J70" s="145"/>
      <c r="K70" s="137"/>
      <c r="L70" s="137"/>
      <c r="M70" s="137"/>
      <c r="N70" s="137"/>
      <c r="O70" s="137"/>
      <c r="P70" s="137"/>
      <c r="Q70" s="137"/>
      <c r="R70" s="137"/>
      <c r="S70" s="137"/>
      <c r="T70" s="137"/>
      <c r="U70" s="137"/>
      <c r="V70" s="137"/>
      <c r="W70" s="38"/>
      <c r="X70" s="38"/>
      <c r="Y70" s="13"/>
      <c r="Z70" s="13"/>
      <c r="AA70" s="38"/>
      <c r="AB70" s="38"/>
      <c r="AC70" s="38"/>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row>
    <row r="71" spans="1:95" ht="16.5" customHeight="1" x14ac:dyDescent="0.2">
      <c r="A71" s="608"/>
      <c r="B71" s="111"/>
      <c r="C71" s="114"/>
      <c r="D71" s="114"/>
      <c r="E71" s="114"/>
      <c r="F71" s="114"/>
      <c r="G71" s="114"/>
      <c r="H71" s="608"/>
      <c r="I71" s="111"/>
      <c r="J71" s="114"/>
      <c r="K71" s="137"/>
      <c r="L71" s="137"/>
      <c r="M71" s="137"/>
      <c r="N71" s="137"/>
      <c r="O71" s="137"/>
      <c r="P71" s="137"/>
      <c r="Q71" s="137"/>
      <c r="R71" s="137"/>
      <c r="S71" s="137"/>
      <c r="T71" s="137"/>
      <c r="U71" s="137"/>
      <c r="V71" s="137"/>
      <c r="W71" s="38"/>
      <c r="X71" s="38"/>
      <c r="AA71" s="38"/>
      <c r="AB71" s="38"/>
      <c r="AC71" s="38"/>
      <c r="AH71" s="13"/>
      <c r="AM71" s="13"/>
      <c r="AN71" s="13"/>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c r="BV71" s="13"/>
      <c r="BW71" s="13"/>
      <c r="BX71" s="13"/>
      <c r="BY71" s="13"/>
      <c r="BZ71" s="13"/>
      <c r="CA71" s="13"/>
      <c r="CB71" s="13"/>
      <c r="CC71" s="13"/>
      <c r="CD71" s="13"/>
      <c r="CE71" s="13"/>
      <c r="CF71" s="13"/>
      <c r="CG71" s="13"/>
      <c r="CH71" s="13"/>
      <c r="CI71" s="13"/>
      <c r="CJ71" s="13"/>
      <c r="CK71" s="13"/>
      <c r="CL71" s="13"/>
      <c r="CM71" s="13"/>
      <c r="CN71" s="13"/>
      <c r="CO71" s="13"/>
      <c r="CP71" s="13"/>
      <c r="CQ71" s="13"/>
    </row>
    <row r="72" spans="1:95" ht="33.75" customHeight="1" x14ac:dyDescent="0.2">
      <c r="A72" s="38"/>
      <c r="B72" s="1938" t="s">
        <v>330</v>
      </c>
      <c r="C72" s="1780"/>
      <c r="D72" s="1910" t="s">
        <v>310</v>
      </c>
      <c r="E72" s="1910"/>
      <c r="F72" s="1910"/>
      <c r="G72" s="1910"/>
      <c r="H72" s="138"/>
      <c r="I72" s="101"/>
      <c r="J72" s="137"/>
      <c r="K72" s="137"/>
      <c r="L72" s="137"/>
      <c r="M72" s="137"/>
      <c r="N72" s="137"/>
      <c r="O72" s="137"/>
      <c r="P72" s="137"/>
      <c r="Q72" s="137"/>
      <c r="R72" s="137"/>
      <c r="S72" s="137"/>
      <c r="T72" s="137"/>
      <c r="U72" s="137"/>
      <c r="V72" s="137"/>
      <c r="W72" s="38"/>
      <c r="X72" s="38"/>
      <c r="AA72" s="38"/>
      <c r="AB72" s="38"/>
      <c r="AC72" s="38"/>
      <c r="AH72" s="13"/>
      <c r="AM72" s="13"/>
      <c r="AN72" s="13"/>
      <c r="AO72" s="13"/>
      <c r="AP72" s="13"/>
      <c r="AQ72" s="13"/>
      <c r="AR72" s="13"/>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c r="BW72" s="13"/>
      <c r="BX72" s="13"/>
      <c r="BY72" s="13"/>
      <c r="BZ72" s="13"/>
      <c r="CA72" s="13"/>
      <c r="CB72" s="13"/>
      <c r="CC72" s="13"/>
      <c r="CD72" s="13"/>
      <c r="CE72" s="13"/>
      <c r="CF72" s="13"/>
      <c r="CG72" s="13"/>
      <c r="CH72" s="13"/>
      <c r="CI72" s="13"/>
      <c r="CJ72" s="13"/>
      <c r="CK72" s="13"/>
      <c r="CL72" s="13"/>
      <c r="CM72" s="13"/>
      <c r="CN72" s="13"/>
      <c r="CO72" s="13"/>
      <c r="CP72" s="13"/>
      <c r="CQ72" s="13"/>
    </row>
    <row r="73" spans="1:95" ht="20.25" customHeight="1" x14ac:dyDescent="0.2">
      <c r="A73" s="38"/>
      <c r="B73" s="1938"/>
      <c r="C73" s="1780"/>
      <c r="D73" s="1874" t="s">
        <v>312</v>
      </c>
      <c r="E73" s="1874" t="s">
        <v>313</v>
      </c>
      <c r="F73" s="1874" t="s">
        <v>314</v>
      </c>
      <c r="G73" s="1874" t="s">
        <v>315</v>
      </c>
      <c r="H73" s="1915" t="s">
        <v>179</v>
      </c>
      <c r="I73" s="101"/>
      <c r="J73" s="137"/>
      <c r="K73" s="137"/>
      <c r="L73" s="137"/>
      <c r="M73" s="137"/>
      <c r="N73" s="137"/>
      <c r="O73" s="137"/>
      <c r="P73" s="137"/>
      <c r="Q73" s="137"/>
      <c r="R73" s="137"/>
      <c r="S73" s="137"/>
      <c r="T73" s="137"/>
      <c r="U73" s="137"/>
      <c r="V73" s="137"/>
      <c r="W73" s="38"/>
      <c r="X73" s="38"/>
      <c r="AA73" s="38"/>
      <c r="AB73" s="38"/>
      <c r="AC73" s="38"/>
      <c r="AH73" s="13"/>
      <c r="AM73" s="13"/>
      <c r="AN73" s="13"/>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row>
    <row r="74" spans="1:95" ht="18" customHeight="1" x14ac:dyDescent="0.2">
      <c r="A74" s="38"/>
      <c r="B74" s="1939"/>
      <c r="C74" s="1940"/>
      <c r="D74" s="1875"/>
      <c r="E74" s="1875"/>
      <c r="F74" s="1875"/>
      <c r="G74" s="1875"/>
      <c r="H74" s="1915"/>
      <c r="I74" s="101"/>
      <c r="J74" s="137"/>
      <c r="K74" s="137"/>
      <c r="L74" s="137"/>
      <c r="M74" s="137"/>
      <c r="N74" s="137"/>
      <c r="O74" s="137"/>
      <c r="P74" s="137"/>
      <c r="Q74" s="137"/>
      <c r="R74" s="137"/>
      <c r="S74" s="137"/>
      <c r="T74" s="137"/>
      <c r="U74" s="137"/>
      <c r="V74" s="137"/>
      <c r="W74" s="38"/>
      <c r="X74" s="38"/>
      <c r="Y74" s="38"/>
      <c r="Z74" s="38"/>
      <c r="AA74" s="38"/>
      <c r="AB74" s="38"/>
      <c r="AC74" s="38"/>
      <c r="AH74" s="13"/>
      <c r="AM74" s="13"/>
      <c r="AN74" s="13"/>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row>
    <row r="75" spans="1:95" ht="16.5" customHeight="1" x14ac:dyDescent="0.2">
      <c r="A75" s="38"/>
      <c r="B75" s="1730" t="s">
        <v>331</v>
      </c>
      <c r="C75" s="1721"/>
      <c r="D75" s="510"/>
      <c r="E75" s="558"/>
      <c r="F75" s="560"/>
      <c r="G75" s="556"/>
      <c r="H75" s="392">
        <v>1</v>
      </c>
      <c r="I75" s="101"/>
      <c r="J75" s="694"/>
      <c r="K75" s="137"/>
      <c r="L75" s="137"/>
      <c r="M75" s="137"/>
      <c r="N75" s="137"/>
      <c r="O75" s="137"/>
      <c r="P75" s="137"/>
      <c r="Q75" s="137"/>
      <c r="R75" s="137"/>
      <c r="S75" s="137"/>
      <c r="T75" s="137"/>
      <c r="U75" s="137"/>
      <c r="V75" s="137"/>
      <c r="W75" s="38"/>
      <c r="X75" s="38"/>
      <c r="Y75" s="13"/>
      <c r="Z75" s="13"/>
      <c r="AA75" s="38"/>
      <c r="AB75" s="38"/>
      <c r="AC75" s="38"/>
      <c r="AH75" s="13"/>
      <c r="AM75" s="13"/>
      <c r="AN75" s="13"/>
      <c r="AO75" s="13"/>
      <c r="AP75" s="13"/>
      <c r="AQ75" s="13"/>
      <c r="AR75" s="13"/>
      <c r="AS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c r="BV75" s="13"/>
      <c r="BW75" s="13"/>
      <c r="BX75" s="13"/>
      <c r="BY75" s="13"/>
      <c r="BZ75" s="13"/>
      <c r="CA75" s="13"/>
      <c r="CB75" s="13"/>
      <c r="CC75" s="13"/>
      <c r="CD75" s="13"/>
      <c r="CE75" s="13"/>
      <c r="CF75" s="13"/>
      <c r="CG75" s="13"/>
      <c r="CH75" s="13"/>
      <c r="CI75" s="13"/>
      <c r="CJ75" s="13"/>
      <c r="CK75" s="13"/>
      <c r="CL75" s="13"/>
      <c r="CM75" s="13"/>
      <c r="CN75" s="13"/>
      <c r="CO75" s="13"/>
      <c r="CP75" s="13"/>
      <c r="CQ75" s="13"/>
    </row>
    <row r="76" spans="1:95" ht="15.75" customHeight="1" x14ac:dyDescent="0.2">
      <c r="A76" s="38"/>
      <c r="B76" s="1730" t="s">
        <v>332</v>
      </c>
      <c r="C76" s="1721"/>
      <c r="D76" s="510"/>
      <c r="E76" s="558"/>
      <c r="F76" s="560"/>
      <c r="G76" s="556"/>
      <c r="H76" s="392">
        <v>1</v>
      </c>
      <c r="I76" s="101"/>
      <c r="J76" s="137"/>
      <c r="K76" s="137"/>
      <c r="L76" s="137"/>
      <c r="M76" s="137"/>
      <c r="N76" s="137"/>
      <c r="O76" s="137"/>
      <c r="P76" s="137"/>
      <c r="Q76" s="137"/>
      <c r="R76" s="137"/>
      <c r="S76" s="137"/>
      <c r="T76" s="137"/>
      <c r="U76" s="137"/>
      <c r="V76" s="137"/>
      <c r="W76" s="38"/>
      <c r="X76" s="38"/>
      <c r="Y76" s="13"/>
      <c r="Z76" s="13"/>
      <c r="AA76" s="38"/>
      <c r="AB76" s="38"/>
      <c r="AC76" s="38"/>
      <c r="AH76" s="13"/>
      <c r="AM76" s="13"/>
      <c r="AN76" s="13"/>
      <c r="AO76" s="13"/>
      <c r="AP76" s="13"/>
      <c r="AQ76" s="13"/>
      <c r="AR76" s="13"/>
      <c r="AS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c r="BV76" s="13"/>
      <c r="BW76" s="13"/>
      <c r="BX76" s="13"/>
      <c r="BY76" s="13"/>
      <c r="BZ76" s="13"/>
      <c r="CA76" s="13"/>
      <c r="CB76" s="13"/>
      <c r="CC76" s="13"/>
      <c r="CD76" s="13"/>
      <c r="CE76" s="13"/>
      <c r="CF76" s="13"/>
      <c r="CG76" s="13"/>
      <c r="CH76" s="13"/>
      <c r="CI76" s="13"/>
      <c r="CJ76" s="13"/>
      <c r="CK76" s="13"/>
      <c r="CL76" s="13"/>
      <c r="CM76" s="13"/>
      <c r="CN76" s="13"/>
      <c r="CO76" s="13"/>
      <c r="CP76" s="13"/>
      <c r="CQ76" s="13"/>
    </row>
    <row r="77" spans="1:95" ht="14.25" customHeight="1" x14ac:dyDescent="0.2">
      <c r="A77" s="38"/>
      <c r="B77" s="1730" t="s">
        <v>333</v>
      </c>
      <c r="C77" s="1721"/>
      <c r="D77" s="511"/>
      <c r="E77" s="559"/>
      <c r="F77" s="561"/>
      <c r="G77" s="557"/>
      <c r="H77" s="392">
        <v>1</v>
      </c>
      <c r="I77" s="101"/>
      <c r="J77" s="139"/>
      <c r="K77" s="137"/>
      <c r="L77" s="137"/>
      <c r="M77" s="137"/>
      <c r="N77" s="137"/>
      <c r="O77" s="137"/>
      <c r="P77" s="137"/>
      <c r="Q77" s="137"/>
      <c r="R77" s="137"/>
      <c r="S77" s="137"/>
      <c r="T77" s="137"/>
      <c r="U77" s="137"/>
      <c r="V77" s="137"/>
      <c r="W77" s="38"/>
      <c r="X77" s="38"/>
      <c r="Y77" s="13"/>
      <c r="Z77" s="13"/>
      <c r="AA77" s="38"/>
      <c r="AB77" s="38"/>
      <c r="AC77" s="38"/>
      <c r="AH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row>
    <row r="78" spans="1:95" ht="13.5" customHeight="1" x14ac:dyDescent="0.2">
      <c r="A78" s="38"/>
      <c r="B78" s="128"/>
      <c r="C78" s="138"/>
      <c r="D78" s="138"/>
      <c r="E78" s="138"/>
      <c r="F78" s="138"/>
      <c r="G78" s="138"/>
      <c r="H78" s="13"/>
      <c r="I78" s="101"/>
      <c r="J78" s="137"/>
      <c r="K78" s="137"/>
      <c r="L78" s="137"/>
      <c r="M78" s="137"/>
      <c r="N78" s="137"/>
      <c r="O78" s="137"/>
      <c r="P78" s="137"/>
      <c r="Q78" s="137"/>
      <c r="R78" s="137"/>
      <c r="S78" s="137"/>
      <c r="T78" s="137"/>
      <c r="U78" s="137"/>
      <c r="V78" s="137"/>
      <c r="W78" s="38"/>
      <c r="X78" s="38"/>
      <c r="Y78" s="13"/>
      <c r="Z78" s="13"/>
      <c r="AA78" s="38"/>
      <c r="AB78" s="38"/>
      <c r="AC78" s="38"/>
      <c r="AH78" s="13"/>
      <c r="AM78" s="13"/>
      <c r="AN78" s="13"/>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row>
    <row r="79" spans="1:95" ht="13.5" customHeight="1" x14ac:dyDescent="0.2">
      <c r="A79" s="38"/>
      <c r="B79" s="290" t="s">
        <v>328</v>
      </c>
      <c r="C79" s="638" t="str">
        <f>IF((D75+D76+D77)=0,"",'GUIA DE APLICAÇÃO'!F649/3)</f>
        <v/>
      </c>
      <c r="D79" s="639" t="s">
        <v>334</v>
      </c>
      <c r="E79" s="148"/>
      <c r="F79" s="148"/>
      <c r="G79" s="148"/>
      <c r="H79" s="13"/>
      <c r="I79" s="101"/>
      <c r="J79" s="137"/>
      <c r="K79" s="137"/>
      <c r="L79" s="137"/>
      <c r="M79" s="137"/>
      <c r="N79" s="137"/>
      <c r="O79" s="137"/>
      <c r="P79" s="137"/>
      <c r="Q79" s="137"/>
      <c r="R79" s="137"/>
      <c r="S79" s="137"/>
      <c r="T79" s="137"/>
      <c r="U79" s="137"/>
      <c r="V79" s="137"/>
      <c r="W79" s="38"/>
      <c r="X79" s="38"/>
      <c r="Y79" s="38"/>
      <c r="Z79" s="38"/>
      <c r="AA79" s="38"/>
      <c r="AB79" s="38"/>
      <c r="AC79" s="38"/>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3"/>
      <c r="CN79" s="13"/>
      <c r="CO79" s="13"/>
      <c r="CP79" s="13"/>
      <c r="CQ79" s="13"/>
    </row>
    <row r="80" spans="1:95" ht="13.5" customHeight="1" x14ac:dyDescent="0.2">
      <c r="A80" s="38"/>
      <c r="B80" s="128"/>
      <c r="C80" s="636"/>
      <c r="D80" s="639"/>
      <c r="E80" s="148"/>
      <c r="F80" s="148"/>
      <c r="G80" s="148"/>
      <c r="H80" s="148"/>
      <c r="I80" s="101"/>
      <c r="J80" s="137"/>
      <c r="K80" s="137"/>
      <c r="L80" s="137"/>
      <c r="M80" s="137"/>
      <c r="N80" s="137"/>
      <c r="O80" s="137"/>
      <c r="P80" s="137"/>
      <c r="Q80" s="137"/>
      <c r="R80" s="137"/>
      <c r="S80" s="137"/>
      <c r="T80" s="137"/>
      <c r="U80" s="137"/>
      <c r="V80" s="137"/>
      <c r="W80" s="38"/>
      <c r="X80" s="38"/>
      <c r="Y80" s="38"/>
      <c r="Z80" s="38"/>
      <c r="AA80" s="38"/>
      <c r="AB80" s="38"/>
      <c r="AC80" s="38"/>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c r="BI80" s="13"/>
      <c r="BJ80" s="13"/>
      <c r="BK80" s="13"/>
      <c r="BL80" s="13"/>
      <c r="BM80" s="13"/>
      <c r="BN80" s="13"/>
      <c r="BO80" s="13"/>
      <c r="BP80" s="13"/>
      <c r="BQ80" s="13"/>
      <c r="BR80" s="13"/>
      <c r="BS80" s="13"/>
      <c r="BT80" s="13"/>
      <c r="BU80" s="13"/>
      <c r="BV80" s="13"/>
      <c r="BW80" s="13"/>
      <c r="BX80" s="13"/>
      <c r="BY80" s="13"/>
      <c r="BZ80" s="13"/>
      <c r="CA80" s="13"/>
      <c r="CB80" s="13"/>
      <c r="CC80" s="13"/>
      <c r="CD80" s="13"/>
      <c r="CE80" s="13"/>
      <c r="CF80" s="13"/>
      <c r="CG80" s="13"/>
      <c r="CH80" s="13"/>
      <c r="CI80" s="13"/>
      <c r="CJ80" s="13"/>
      <c r="CK80" s="13"/>
      <c r="CL80" s="13"/>
      <c r="CM80" s="13"/>
      <c r="CN80" s="13"/>
      <c r="CO80" s="13"/>
      <c r="CP80" s="13"/>
      <c r="CQ80" s="13"/>
    </row>
    <row r="81" spans="1:95" ht="13.5" customHeight="1" x14ac:dyDescent="0.2">
      <c r="A81" s="38"/>
      <c r="B81" s="290" t="s">
        <v>274</v>
      </c>
      <c r="C81" s="626">
        <f>IF(C79="",C70,(((C70*2)+C79)/3))</f>
        <v>0</v>
      </c>
      <c r="D81" s="983"/>
      <c r="E81" s="984"/>
      <c r="F81" s="984"/>
      <c r="G81" s="984"/>
      <c r="H81" s="985"/>
      <c r="I81" s="101"/>
      <c r="J81" s="137"/>
      <c r="K81" s="137"/>
      <c r="L81" s="137"/>
      <c r="M81" s="137"/>
      <c r="N81" s="137"/>
      <c r="O81" s="137"/>
      <c r="P81" s="137"/>
      <c r="Q81" s="137"/>
      <c r="R81" s="137"/>
      <c r="S81" s="137"/>
      <c r="T81" s="137"/>
      <c r="U81" s="137"/>
      <c r="V81" s="137"/>
      <c r="W81" s="38"/>
      <c r="X81" s="38"/>
      <c r="Y81" s="38"/>
      <c r="Z81" s="38"/>
      <c r="AA81" s="38"/>
      <c r="AB81" s="38"/>
      <c r="AC81" s="38"/>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3"/>
      <c r="CE81" s="13"/>
      <c r="CF81" s="13"/>
      <c r="CG81" s="13"/>
      <c r="CH81" s="13"/>
      <c r="CI81" s="13"/>
      <c r="CJ81" s="13"/>
      <c r="CK81" s="13"/>
      <c r="CL81" s="13"/>
      <c r="CM81" s="13"/>
      <c r="CN81" s="13"/>
      <c r="CO81" s="13"/>
      <c r="CP81" s="13"/>
      <c r="CQ81" s="13"/>
    </row>
    <row r="82" spans="1:95" ht="13.5" customHeight="1" x14ac:dyDescent="0.2">
      <c r="A82" s="38"/>
      <c r="B82" s="636"/>
      <c r="C82" s="636"/>
      <c r="D82" s="639"/>
      <c r="E82" s="148"/>
      <c r="F82" s="148"/>
      <c r="G82" s="148"/>
      <c r="H82" s="148"/>
      <c r="I82" s="694"/>
      <c r="J82" s="137"/>
      <c r="K82" s="137"/>
      <c r="L82" s="137"/>
      <c r="M82" s="137"/>
      <c r="N82" s="137"/>
      <c r="O82" s="137"/>
      <c r="P82" s="137"/>
      <c r="Q82" s="137"/>
      <c r="R82" s="137"/>
      <c r="S82" s="137"/>
      <c r="T82" s="137"/>
      <c r="U82" s="137"/>
      <c r="V82" s="137"/>
      <c r="W82" s="38"/>
      <c r="X82" s="38"/>
      <c r="Y82" s="38"/>
      <c r="Z82" s="38"/>
      <c r="AA82" s="38"/>
      <c r="AB82" s="38"/>
      <c r="AC82" s="38"/>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c r="BI82" s="13"/>
      <c r="BJ82" s="13"/>
      <c r="BK82" s="13"/>
      <c r="BL82" s="13"/>
      <c r="BM82" s="13"/>
      <c r="BN82" s="13"/>
      <c r="BO82" s="13"/>
      <c r="BP82" s="13"/>
      <c r="BQ82" s="13"/>
      <c r="BR82" s="13"/>
      <c r="BS82" s="13"/>
      <c r="BT82" s="13"/>
      <c r="BU82" s="13"/>
      <c r="BV82" s="13"/>
      <c r="BW82" s="13"/>
      <c r="BX82" s="13"/>
      <c r="BY82" s="13"/>
      <c r="BZ82" s="13"/>
      <c r="CA82" s="13"/>
      <c r="CB82" s="13"/>
      <c r="CC82" s="13"/>
      <c r="CD82" s="13"/>
      <c r="CE82" s="13"/>
      <c r="CF82" s="13"/>
      <c r="CG82" s="13"/>
      <c r="CH82" s="13"/>
      <c r="CI82" s="13"/>
      <c r="CJ82" s="13"/>
      <c r="CK82" s="13"/>
      <c r="CL82" s="13"/>
      <c r="CM82" s="13"/>
      <c r="CN82" s="13"/>
      <c r="CO82" s="13"/>
      <c r="CP82" s="13"/>
      <c r="CQ82" s="13"/>
    </row>
    <row r="83" spans="1:95" ht="18.75" customHeight="1" x14ac:dyDescent="0.2">
      <c r="A83" s="615">
        <v>6</v>
      </c>
      <c r="B83" s="703" t="s">
        <v>335</v>
      </c>
      <c r="C83" s="630"/>
      <c r="D83" s="630"/>
      <c r="E83" s="630"/>
      <c r="F83" s="630"/>
      <c r="G83" s="630"/>
      <c r="H83" s="631"/>
      <c r="I83" s="111"/>
      <c r="J83" s="137"/>
      <c r="K83" s="110"/>
      <c r="L83" s="110"/>
      <c r="M83" s="110"/>
      <c r="N83" s="110"/>
      <c r="O83" s="110"/>
      <c r="P83" s="110"/>
      <c r="Q83" s="110"/>
      <c r="R83" s="110"/>
      <c r="S83" s="110"/>
      <c r="T83" s="110"/>
      <c r="U83" s="110"/>
      <c r="V83" s="110"/>
      <c r="W83" s="110"/>
      <c r="X83" s="110"/>
      <c r="AA83" s="38"/>
      <c r="AB83" s="38"/>
      <c r="AC83" s="38"/>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13"/>
      <c r="CJ83" s="13"/>
      <c r="CK83" s="13"/>
      <c r="CL83" s="13"/>
      <c r="CM83" s="13"/>
      <c r="CN83" s="13"/>
      <c r="CO83" s="13"/>
      <c r="CP83" s="13"/>
      <c r="CQ83" s="13"/>
    </row>
    <row r="84" spans="1:95" ht="12" customHeight="1" x14ac:dyDescent="0.2">
      <c r="A84" s="608"/>
      <c r="B84" s="632"/>
      <c r="C84" s="145"/>
      <c r="D84" s="145"/>
      <c r="E84" s="145"/>
      <c r="F84" s="145"/>
      <c r="G84" s="145"/>
      <c r="H84" s="633"/>
      <c r="I84" s="111"/>
      <c r="J84" s="114"/>
      <c r="K84" s="110"/>
      <c r="L84" s="110"/>
      <c r="M84" s="110"/>
      <c r="N84" s="110"/>
      <c r="O84" s="110"/>
      <c r="P84" s="110"/>
      <c r="Q84" s="110"/>
      <c r="R84" s="110"/>
      <c r="S84" s="110"/>
      <c r="T84" s="110"/>
      <c r="U84" s="110"/>
      <c r="V84" s="110"/>
      <c r="W84" s="110"/>
      <c r="X84" s="110"/>
      <c r="AA84" s="38"/>
      <c r="AB84" s="38"/>
      <c r="AC84" s="38"/>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R84" s="13"/>
      <c r="BS84" s="13"/>
      <c r="BT84" s="13"/>
      <c r="BU84" s="13"/>
      <c r="BV84" s="13"/>
      <c r="BW84" s="13"/>
      <c r="BX84" s="13"/>
      <c r="BY84" s="13"/>
      <c r="BZ84" s="13"/>
      <c r="CA84" s="13"/>
      <c r="CB84" s="13"/>
      <c r="CC84" s="13"/>
      <c r="CD84" s="13"/>
      <c r="CE84" s="13"/>
      <c r="CF84" s="13"/>
      <c r="CG84" s="13"/>
      <c r="CH84" s="13"/>
      <c r="CI84" s="13"/>
      <c r="CJ84" s="13"/>
      <c r="CK84" s="13"/>
      <c r="CL84" s="13"/>
      <c r="CM84" s="13"/>
      <c r="CN84" s="13"/>
      <c r="CO84" s="13"/>
      <c r="CP84" s="13"/>
      <c r="CQ84" s="13"/>
    </row>
    <row r="85" spans="1:95" ht="21" customHeight="1" x14ac:dyDescent="0.2">
      <c r="A85" s="38"/>
      <c r="B85" s="150"/>
      <c r="C85" s="640"/>
      <c r="D85" s="1876" t="s">
        <v>336</v>
      </c>
      <c r="E85" s="1876" t="s">
        <v>337</v>
      </c>
      <c r="F85" s="1876" t="s">
        <v>338</v>
      </c>
      <c r="G85" s="1876" t="s">
        <v>339</v>
      </c>
      <c r="H85" s="1873" t="s">
        <v>179</v>
      </c>
      <c r="I85" s="101"/>
      <c r="J85" s="694"/>
      <c r="K85" s="110"/>
      <c r="L85" s="110"/>
      <c r="M85" s="110"/>
      <c r="N85" s="110"/>
      <c r="O85" s="110"/>
      <c r="P85" s="110"/>
      <c r="Q85" s="110"/>
      <c r="R85" s="110"/>
      <c r="S85" s="110"/>
      <c r="T85" s="110"/>
      <c r="U85" s="110"/>
      <c r="V85" s="110"/>
      <c r="W85" s="110"/>
      <c r="X85" s="110"/>
      <c r="AA85" s="38"/>
      <c r="AB85" s="38"/>
      <c r="AC85" s="38"/>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row>
    <row r="86" spans="1:95" ht="18.75" customHeight="1" thickBot="1" x14ac:dyDescent="0.25">
      <c r="A86" s="38"/>
      <c r="B86" s="742" t="s">
        <v>340</v>
      </c>
      <c r="C86" s="625"/>
      <c r="D86" s="1877"/>
      <c r="E86" s="1877"/>
      <c r="F86" s="1877"/>
      <c r="G86" s="1916"/>
      <c r="H86" s="1873"/>
      <c r="I86" s="101"/>
      <c r="J86" s="137"/>
      <c r="K86" s="110"/>
      <c r="L86" s="110"/>
      <c r="M86" s="110"/>
      <c r="N86" s="110"/>
      <c r="O86" s="110"/>
      <c r="P86" s="110"/>
      <c r="Q86" s="110"/>
      <c r="R86" s="110"/>
      <c r="S86" s="110"/>
      <c r="T86" s="110"/>
      <c r="U86" s="110"/>
      <c r="V86" s="110"/>
      <c r="W86" s="110"/>
      <c r="X86" s="110"/>
      <c r="AA86" s="38"/>
      <c r="AB86" s="38"/>
      <c r="AC86" s="38"/>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row>
    <row r="87" spans="1:95" ht="15.75" customHeight="1" thickBot="1" x14ac:dyDescent="0.25">
      <c r="A87" s="38"/>
      <c r="B87" s="1793" t="s">
        <v>341</v>
      </c>
      <c r="C87" s="1794"/>
      <c r="D87" s="642"/>
      <c r="E87" s="643"/>
      <c r="F87" s="644"/>
      <c r="G87" s="645"/>
      <c r="H87" s="348"/>
      <c r="I87" s="101"/>
      <c r="J87" s="694"/>
      <c r="K87" s="110"/>
      <c r="L87" s="110"/>
      <c r="M87" s="110"/>
      <c r="N87" s="110"/>
      <c r="O87" s="110"/>
      <c r="P87" s="110"/>
      <c r="Q87" s="110"/>
      <c r="R87" s="110"/>
      <c r="S87" s="110"/>
      <c r="T87" s="110"/>
      <c r="U87" s="110"/>
      <c r="V87" s="110"/>
      <c r="W87" s="110"/>
      <c r="X87" s="110"/>
      <c r="AA87" s="38"/>
      <c r="AB87" s="38"/>
      <c r="AC87" s="38"/>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row>
    <row r="88" spans="1:95" ht="16.5" customHeight="1" x14ac:dyDescent="0.2">
      <c r="A88" s="38"/>
      <c r="B88" s="1754" t="s">
        <v>342</v>
      </c>
      <c r="C88" s="1754"/>
      <c r="D88" s="509"/>
      <c r="E88" s="151"/>
      <c r="F88" s="409"/>
      <c r="G88" s="151"/>
      <c r="H88" s="392">
        <v>0.7</v>
      </c>
      <c r="I88" s="101"/>
      <c r="J88" s="137"/>
      <c r="K88" s="110"/>
      <c r="L88" s="110"/>
      <c r="M88" s="110"/>
      <c r="N88" s="110"/>
      <c r="O88" s="110"/>
      <c r="P88" s="110"/>
      <c r="Q88" s="110"/>
      <c r="R88" s="110"/>
      <c r="S88" s="110"/>
      <c r="T88" s="110"/>
      <c r="U88" s="110"/>
      <c r="V88" s="110"/>
      <c r="W88" s="110"/>
      <c r="X88" s="110"/>
      <c r="AA88" s="38"/>
      <c r="AB88" s="38"/>
      <c r="AC88" s="38"/>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row>
    <row r="89" spans="1:95" ht="15.75" customHeight="1" x14ac:dyDescent="0.2">
      <c r="A89" s="38"/>
      <c r="B89" s="1731" t="s">
        <v>343</v>
      </c>
      <c r="C89" s="1731"/>
      <c r="D89" s="508"/>
      <c r="E89" s="151"/>
      <c r="F89" s="410"/>
      <c r="G89" s="151"/>
      <c r="H89" s="392">
        <v>1</v>
      </c>
      <c r="I89" s="101"/>
      <c r="J89" s="110"/>
      <c r="K89" s="110"/>
      <c r="L89" s="110"/>
      <c r="M89" s="110"/>
      <c r="N89" s="110"/>
      <c r="O89" s="110"/>
      <c r="P89" s="110"/>
      <c r="Q89" s="110"/>
      <c r="R89" s="110"/>
      <c r="S89" s="110"/>
      <c r="T89" s="110"/>
      <c r="U89" s="110"/>
      <c r="V89" s="110"/>
      <c r="W89" s="110"/>
      <c r="X89" s="110"/>
      <c r="AA89" s="38"/>
      <c r="AB89" s="38"/>
      <c r="AC89" s="38"/>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R89" s="13"/>
      <c r="BS89" s="13"/>
      <c r="BT89" s="13"/>
      <c r="BU89" s="13"/>
      <c r="BV89" s="13"/>
      <c r="BW89" s="13"/>
      <c r="BX89" s="13"/>
      <c r="BY89" s="13"/>
      <c r="BZ89" s="13"/>
      <c r="CA89" s="13"/>
      <c r="CB89" s="13"/>
      <c r="CC89" s="13"/>
      <c r="CD89" s="13"/>
      <c r="CE89" s="13"/>
      <c r="CF89" s="13"/>
      <c r="CG89" s="13"/>
      <c r="CH89" s="13"/>
      <c r="CI89" s="13"/>
      <c r="CJ89" s="13"/>
      <c r="CK89" s="13"/>
      <c r="CL89" s="13"/>
      <c r="CM89" s="13"/>
      <c r="CN89" s="13"/>
      <c r="CO89" s="13"/>
      <c r="CP89" s="13"/>
      <c r="CQ89" s="13"/>
    </row>
    <row r="90" spans="1:95" ht="15.75" customHeight="1" x14ac:dyDescent="0.2">
      <c r="A90" s="38"/>
      <c r="B90" s="1731" t="s">
        <v>344</v>
      </c>
      <c r="C90" s="1731"/>
      <c r="D90" s="508"/>
      <c r="E90" s="151"/>
      <c r="F90" s="410"/>
      <c r="G90" s="151"/>
      <c r="H90" s="392">
        <v>1.2</v>
      </c>
      <c r="I90" s="101"/>
      <c r="J90" s="110"/>
      <c r="K90" s="110"/>
      <c r="L90" s="110"/>
      <c r="M90" s="110"/>
      <c r="N90" s="110"/>
      <c r="O90" s="110"/>
      <c r="P90" s="110"/>
      <c r="Q90" s="110"/>
      <c r="R90" s="110"/>
      <c r="S90" s="110"/>
      <c r="T90" s="110"/>
      <c r="U90" s="110"/>
      <c r="V90" s="110"/>
      <c r="W90" s="110"/>
      <c r="X90" s="110"/>
      <c r="Y90" s="13"/>
      <c r="Z90" s="13"/>
      <c r="AA90" s="38"/>
      <c r="AB90" s="38"/>
      <c r="AC90" s="38"/>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R90" s="13"/>
      <c r="BS90" s="13"/>
      <c r="BT90" s="13"/>
      <c r="BU90" s="13"/>
      <c r="BV90" s="13"/>
      <c r="BW90" s="13"/>
      <c r="BX90" s="13"/>
      <c r="BY90" s="13"/>
      <c r="BZ90" s="13"/>
      <c r="CA90" s="13"/>
      <c r="CB90" s="13"/>
      <c r="CC90" s="13"/>
      <c r="CD90" s="13"/>
      <c r="CE90" s="13"/>
      <c r="CF90" s="13"/>
      <c r="CG90" s="13"/>
      <c r="CH90" s="13"/>
      <c r="CI90" s="13"/>
      <c r="CJ90" s="13"/>
      <c r="CK90" s="13"/>
      <c r="CL90" s="13"/>
      <c r="CM90" s="13"/>
      <c r="CN90" s="13"/>
      <c r="CO90" s="13"/>
      <c r="CP90" s="13"/>
      <c r="CQ90" s="13"/>
    </row>
    <row r="91" spans="1:95" ht="15.75" customHeight="1" thickBot="1" x14ac:dyDescent="0.25">
      <c r="A91" s="38"/>
      <c r="B91" s="1791" t="s">
        <v>345</v>
      </c>
      <c r="C91" s="1791"/>
      <c r="D91" s="893"/>
      <c r="E91" s="151"/>
      <c r="F91" s="414"/>
      <c r="G91" s="151"/>
      <c r="H91" s="392">
        <v>1.5</v>
      </c>
      <c r="I91" s="101"/>
      <c r="J91" s="110"/>
      <c r="K91" s="110"/>
      <c r="L91" s="110"/>
      <c r="M91" s="110"/>
      <c r="N91" s="110"/>
      <c r="O91" s="110"/>
      <c r="P91" s="110"/>
      <c r="Q91" s="110"/>
      <c r="R91" s="110"/>
      <c r="S91" s="110"/>
      <c r="T91" s="110"/>
      <c r="U91" s="110"/>
      <c r="V91" s="110"/>
      <c r="W91" s="110"/>
      <c r="X91" s="110"/>
      <c r="Y91" s="13"/>
      <c r="Z91" s="13"/>
      <c r="AA91" s="38"/>
      <c r="AB91" s="38"/>
      <c r="AC91" s="38"/>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R91" s="13"/>
      <c r="BS91" s="13"/>
      <c r="BT91" s="13"/>
      <c r="BU91" s="13"/>
      <c r="BV91" s="13"/>
      <c r="BW91" s="13"/>
      <c r="BX91" s="13"/>
      <c r="BY91" s="13"/>
      <c r="BZ91" s="13"/>
      <c r="CA91" s="13"/>
      <c r="CB91" s="13"/>
      <c r="CC91" s="13"/>
      <c r="CD91" s="13"/>
      <c r="CE91" s="13"/>
      <c r="CF91" s="13"/>
      <c r="CG91" s="13"/>
      <c r="CH91" s="13"/>
      <c r="CI91" s="13"/>
      <c r="CJ91" s="13"/>
      <c r="CK91" s="13"/>
      <c r="CL91" s="13"/>
      <c r="CM91" s="13"/>
      <c r="CN91" s="13"/>
      <c r="CO91" s="13"/>
      <c r="CP91" s="13"/>
      <c r="CQ91" s="13"/>
    </row>
    <row r="92" spans="1:95" ht="14.25" customHeight="1" x14ac:dyDescent="0.2">
      <c r="A92" s="38"/>
      <c r="B92" s="1790" t="s">
        <v>346</v>
      </c>
      <c r="C92" s="1790"/>
      <c r="D92" s="509"/>
      <c r="E92" s="151"/>
      <c r="F92" s="409"/>
      <c r="G92" s="151"/>
      <c r="H92" s="392">
        <v>0.5</v>
      </c>
      <c r="I92" s="101"/>
      <c r="J92" s="110"/>
      <c r="K92" s="110"/>
      <c r="L92" s="110"/>
      <c r="M92" s="110"/>
      <c r="N92" s="110"/>
      <c r="O92" s="110"/>
      <c r="P92" s="110"/>
      <c r="Q92" s="110"/>
      <c r="R92" s="110"/>
      <c r="S92" s="110"/>
      <c r="T92" s="110"/>
      <c r="U92" s="110"/>
      <c r="V92" s="110"/>
      <c r="W92" s="110"/>
      <c r="X92" s="110"/>
      <c r="Y92" s="13"/>
      <c r="Z92" s="13"/>
      <c r="AA92" s="38"/>
      <c r="AB92" s="38"/>
      <c r="AC92" s="38"/>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13"/>
      <c r="CA92" s="13"/>
      <c r="CB92" s="13"/>
      <c r="CC92" s="13"/>
      <c r="CD92" s="13"/>
      <c r="CE92" s="13"/>
      <c r="CF92" s="13"/>
      <c r="CG92" s="13"/>
      <c r="CH92" s="13"/>
      <c r="CI92" s="13"/>
      <c r="CJ92" s="13"/>
      <c r="CK92" s="13"/>
      <c r="CL92" s="13"/>
      <c r="CM92" s="13"/>
      <c r="CN92" s="13"/>
      <c r="CO92" s="13"/>
      <c r="CP92" s="13"/>
      <c r="CQ92" s="13"/>
    </row>
    <row r="93" spans="1:95" ht="15.75" customHeight="1" thickBot="1" x14ac:dyDescent="0.25">
      <c r="A93" s="38"/>
      <c r="B93" s="1805" t="s">
        <v>347</v>
      </c>
      <c r="C93" s="1805"/>
      <c r="D93" s="512"/>
      <c r="E93" s="151"/>
      <c r="F93" s="414"/>
      <c r="G93" s="152"/>
      <c r="H93" s="392">
        <v>0.8</v>
      </c>
      <c r="I93" s="101"/>
      <c r="J93" s="110"/>
      <c r="K93" s="110"/>
      <c r="L93" s="110"/>
      <c r="M93" s="110"/>
      <c r="N93" s="110"/>
      <c r="O93" s="110"/>
      <c r="P93" s="110"/>
      <c r="Q93" s="110"/>
      <c r="R93" s="110"/>
      <c r="S93" s="110"/>
      <c r="T93" s="110"/>
      <c r="U93" s="110"/>
      <c r="V93" s="110"/>
      <c r="W93" s="110"/>
      <c r="X93" s="110"/>
      <c r="Y93" s="13"/>
      <c r="Z93" s="13"/>
      <c r="AA93" s="38"/>
      <c r="AB93" s="38"/>
      <c r="AC93" s="38"/>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R93" s="13"/>
      <c r="BS93" s="13"/>
      <c r="BT93" s="13"/>
      <c r="BU93" s="13"/>
      <c r="BV93" s="13"/>
      <c r="BW93" s="13"/>
      <c r="BX93" s="13"/>
      <c r="BY93" s="13"/>
      <c r="BZ93" s="13"/>
      <c r="CA93" s="13"/>
      <c r="CB93" s="13"/>
      <c r="CC93" s="13"/>
      <c r="CD93" s="13"/>
      <c r="CE93" s="13"/>
      <c r="CF93" s="13"/>
      <c r="CG93" s="13"/>
      <c r="CH93" s="13"/>
      <c r="CI93" s="13"/>
      <c r="CJ93" s="13"/>
      <c r="CK93" s="13"/>
      <c r="CL93" s="13"/>
      <c r="CM93" s="13"/>
      <c r="CN93" s="13"/>
      <c r="CO93" s="13"/>
      <c r="CP93" s="13"/>
      <c r="CQ93" s="13"/>
    </row>
    <row r="94" spans="1:95" ht="15.75" customHeight="1" thickBot="1" x14ac:dyDescent="0.25">
      <c r="A94" s="38"/>
      <c r="B94" s="1754" t="s">
        <v>348</v>
      </c>
      <c r="C94" s="1754"/>
      <c r="D94" s="152"/>
      <c r="E94" s="415"/>
      <c r="F94" s="152"/>
      <c r="G94" s="415"/>
      <c r="H94" s="392">
        <v>1</v>
      </c>
      <c r="I94" s="101"/>
      <c r="J94" s="110"/>
      <c r="K94" s="110"/>
      <c r="L94" s="110"/>
      <c r="M94" s="110"/>
      <c r="N94" s="110"/>
      <c r="O94" s="110"/>
      <c r="P94" s="110"/>
      <c r="Q94" s="110"/>
      <c r="R94" s="110"/>
      <c r="S94" s="110"/>
      <c r="T94" s="110"/>
      <c r="U94" s="110"/>
      <c r="V94" s="110"/>
      <c r="W94" s="110"/>
      <c r="X94" s="110"/>
      <c r="Y94" s="13"/>
      <c r="Z94" s="13"/>
      <c r="AA94" s="38"/>
      <c r="AB94" s="38"/>
      <c r="AC94" s="38"/>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R94" s="13"/>
      <c r="BS94" s="13"/>
      <c r="BT94" s="13"/>
      <c r="BU94" s="13"/>
      <c r="BV94" s="13"/>
      <c r="BW94" s="13"/>
      <c r="BX94" s="13"/>
      <c r="BY94" s="13"/>
      <c r="BZ94" s="13"/>
      <c r="CA94" s="13"/>
      <c r="CB94" s="13"/>
      <c r="CC94" s="13"/>
      <c r="CD94" s="13"/>
      <c r="CE94" s="13"/>
      <c r="CF94" s="13"/>
      <c r="CG94" s="13"/>
      <c r="CH94" s="13"/>
      <c r="CI94" s="13"/>
      <c r="CJ94" s="13"/>
      <c r="CK94" s="13"/>
      <c r="CL94" s="13"/>
      <c r="CM94" s="13"/>
      <c r="CN94" s="13"/>
      <c r="CO94" s="13"/>
      <c r="CP94" s="13"/>
      <c r="CQ94" s="13"/>
    </row>
    <row r="95" spans="1:95" ht="16.5" customHeight="1" x14ac:dyDescent="0.2">
      <c r="A95" s="38"/>
      <c r="B95" s="154" t="s">
        <v>349</v>
      </c>
      <c r="C95" s="155"/>
      <c r="D95" s="155"/>
      <c r="E95" s="1582" t="s">
        <v>350</v>
      </c>
      <c r="F95" s="1582"/>
      <c r="G95" s="1582"/>
      <c r="H95" s="1806"/>
      <c r="I95" s="101"/>
      <c r="J95" s="110"/>
      <c r="K95" s="110"/>
      <c r="L95" s="110"/>
      <c r="M95" s="110"/>
      <c r="N95" s="110"/>
      <c r="O95" s="110"/>
      <c r="P95" s="110"/>
      <c r="Q95" s="110"/>
      <c r="R95" s="110"/>
      <c r="S95" s="110"/>
      <c r="T95" s="110"/>
      <c r="U95" s="110"/>
      <c r="V95" s="110"/>
      <c r="W95" s="38"/>
      <c r="X95" s="38"/>
      <c r="Y95" s="13"/>
      <c r="Z95" s="13"/>
      <c r="AA95" s="38"/>
      <c r="AB95" s="38"/>
      <c r="AC95" s="38"/>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R95" s="13"/>
      <c r="BS95" s="13"/>
      <c r="BT95" s="13"/>
      <c r="BU95" s="13"/>
      <c r="BV95" s="13"/>
      <c r="BW95" s="13"/>
      <c r="BX95" s="13"/>
      <c r="BY95" s="13"/>
      <c r="BZ95" s="13"/>
      <c r="CA95" s="13"/>
      <c r="CB95" s="13"/>
      <c r="CC95" s="13"/>
      <c r="CD95" s="13"/>
      <c r="CE95" s="13"/>
      <c r="CF95" s="13"/>
      <c r="CG95" s="13"/>
      <c r="CH95" s="13"/>
      <c r="CI95" s="13"/>
      <c r="CJ95" s="13"/>
      <c r="CK95" s="13"/>
      <c r="CL95" s="13"/>
      <c r="CM95" s="13"/>
      <c r="CN95" s="13"/>
      <c r="CO95" s="13"/>
      <c r="CP95" s="13"/>
      <c r="CQ95" s="13"/>
    </row>
    <row r="96" spans="1:95" ht="14.25" customHeight="1" x14ac:dyDescent="0.2">
      <c r="A96" s="38"/>
      <c r="B96" s="1928" t="s">
        <v>351</v>
      </c>
      <c r="C96" s="1919"/>
      <c r="D96" s="1919"/>
      <c r="E96" s="649"/>
      <c r="F96" s="649"/>
      <c r="G96" s="649"/>
      <c r="H96" s="650"/>
      <c r="I96" s="101"/>
      <c r="J96" s="38"/>
      <c r="K96" s="110"/>
      <c r="L96" s="110"/>
      <c r="M96" s="110"/>
      <c r="N96" s="110"/>
      <c r="O96" s="110"/>
      <c r="P96" s="110"/>
      <c r="Q96" s="110"/>
      <c r="R96" s="110"/>
      <c r="S96" s="110"/>
      <c r="T96" s="110"/>
      <c r="U96" s="110"/>
      <c r="V96" s="110"/>
      <c r="W96" s="38"/>
      <c r="X96" s="38"/>
      <c r="Y96" s="13"/>
      <c r="Z96" s="13"/>
      <c r="AA96" s="38"/>
      <c r="AB96" s="38"/>
      <c r="AC96" s="38"/>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R96" s="13"/>
      <c r="BS96" s="13"/>
      <c r="BT96" s="13"/>
      <c r="BU96" s="13"/>
      <c r="BV96" s="13"/>
      <c r="BW96" s="13"/>
      <c r="BX96" s="13"/>
      <c r="BY96" s="13"/>
      <c r="BZ96" s="13"/>
      <c r="CA96" s="13"/>
      <c r="CB96" s="13"/>
      <c r="CC96" s="13"/>
      <c r="CD96" s="13"/>
      <c r="CE96" s="13"/>
      <c r="CF96" s="13"/>
      <c r="CG96" s="13"/>
      <c r="CH96" s="13"/>
      <c r="CI96" s="13"/>
      <c r="CJ96" s="13"/>
      <c r="CK96" s="13"/>
      <c r="CL96" s="13"/>
      <c r="CM96" s="13"/>
      <c r="CN96" s="13"/>
      <c r="CO96" s="13"/>
      <c r="CP96" s="13"/>
      <c r="CQ96" s="13"/>
    </row>
    <row r="97" spans="1:95" ht="15" customHeight="1" x14ac:dyDescent="0.2">
      <c r="A97" s="38"/>
      <c r="B97" s="290" t="s">
        <v>274</v>
      </c>
      <c r="C97" s="627" t="e">
        <f>IF('GUIA DE APLICAÇÃO'!K660&gt;1,1,'GUIA DE APLICAÇÃO'!K660)</f>
        <v>#DIV/0!</v>
      </c>
      <c r="D97" s="386" t="s">
        <v>352</v>
      </c>
      <c r="E97" s="122"/>
      <c r="F97" s="122"/>
      <c r="G97" s="121"/>
      <c r="H97" s="122"/>
      <c r="I97" s="101"/>
      <c r="J97" s="110"/>
      <c r="K97" s="110"/>
      <c r="L97" s="110"/>
      <c r="M97" s="110"/>
      <c r="N97" s="110"/>
      <c r="O97" s="110"/>
      <c r="P97" s="110"/>
      <c r="Q97" s="110"/>
      <c r="R97" s="110"/>
      <c r="S97" s="110"/>
      <c r="T97" s="110"/>
      <c r="U97" s="110"/>
      <c r="V97" s="110"/>
      <c r="W97" s="38"/>
      <c r="X97" s="38"/>
      <c r="Y97" s="13"/>
      <c r="Z97" s="13"/>
      <c r="AA97" s="38"/>
      <c r="AB97" s="38"/>
      <c r="AC97" s="38"/>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R97" s="13"/>
      <c r="BS97" s="13"/>
      <c r="BT97" s="13"/>
      <c r="BU97" s="13"/>
      <c r="BV97" s="13"/>
      <c r="BW97" s="13"/>
      <c r="BX97" s="13"/>
      <c r="BY97" s="13"/>
      <c r="BZ97" s="13"/>
      <c r="CA97" s="13"/>
      <c r="CB97" s="13"/>
      <c r="CC97" s="13"/>
      <c r="CD97" s="13"/>
      <c r="CE97" s="13"/>
      <c r="CF97" s="13"/>
      <c r="CG97" s="13"/>
      <c r="CH97" s="13"/>
      <c r="CI97" s="13"/>
      <c r="CJ97" s="13"/>
      <c r="CK97" s="13"/>
      <c r="CL97" s="13"/>
      <c r="CM97" s="13"/>
      <c r="CN97" s="13"/>
      <c r="CO97" s="13"/>
      <c r="CP97" s="13"/>
      <c r="CQ97" s="13"/>
    </row>
    <row r="98" spans="1:95" ht="16.5" customHeight="1" x14ac:dyDescent="0.2">
      <c r="A98" s="13"/>
      <c r="B98" s="38"/>
      <c r="C98" s="38"/>
      <c r="D98" s="13"/>
      <c r="E98" s="13"/>
      <c r="F98" s="13"/>
      <c r="G98" s="13"/>
      <c r="H98" s="13"/>
      <c r="I98" s="13"/>
      <c r="J98" s="13"/>
      <c r="K98" s="38"/>
      <c r="L98" s="38"/>
      <c r="M98" s="38"/>
      <c r="N98" s="38"/>
      <c r="O98" s="38"/>
      <c r="P98" s="38"/>
      <c r="Q98" s="38"/>
      <c r="R98" s="38"/>
      <c r="S98" s="38"/>
      <c r="T98" s="38"/>
      <c r="U98" s="38"/>
      <c r="V98" s="38"/>
      <c r="W98" s="38"/>
      <c r="X98" s="38"/>
      <c r="Y98" s="38"/>
      <c r="Z98" s="38"/>
      <c r="AA98" s="38"/>
      <c r="AB98" s="38"/>
      <c r="AC98" s="38"/>
      <c r="AD98" s="38"/>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R98" s="13"/>
      <c r="BS98" s="13"/>
      <c r="BT98" s="13"/>
      <c r="BU98" s="13"/>
      <c r="BV98" s="13"/>
      <c r="BW98" s="13"/>
      <c r="BX98" s="13"/>
      <c r="BY98" s="13"/>
      <c r="BZ98" s="13"/>
      <c r="CA98" s="13"/>
      <c r="CB98" s="13"/>
      <c r="CC98" s="13"/>
      <c r="CD98" s="13"/>
      <c r="CE98" s="13"/>
      <c r="CF98" s="13"/>
      <c r="CG98" s="13"/>
      <c r="CH98" s="13"/>
      <c r="CI98" s="13"/>
      <c r="CJ98" s="13"/>
      <c r="CK98" s="13"/>
      <c r="CL98" s="13"/>
      <c r="CM98" s="13"/>
      <c r="CN98" s="13"/>
      <c r="CO98" s="13"/>
      <c r="CP98" s="13"/>
      <c r="CQ98" s="13"/>
    </row>
    <row r="99" spans="1:95" ht="18.75" customHeight="1" x14ac:dyDescent="0.2">
      <c r="A99" s="615">
        <v>7</v>
      </c>
      <c r="B99" s="703" t="s">
        <v>353</v>
      </c>
      <c r="C99" s="630"/>
      <c r="D99" s="630"/>
      <c r="E99" s="630"/>
      <c r="F99" s="630"/>
      <c r="G99" s="630"/>
      <c r="H99" s="631"/>
      <c r="I99" s="111"/>
      <c r="J99" s="38"/>
      <c r="K99" s="38"/>
      <c r="L99" s="38"/>
      <c r="M99" s="38"/>
      <c r="N99" s="38"/>
      <c r="O99" s="38"/>
      <c r="P99" s="38"/>
      <c r="Q99" s="38"/>
      <c r="R99" s="38"/>
      <c r="S99" s="38"/>
      <c r="T99" s="38"/>
      <c r="U99" s="38"/>
      <c r="V99" s="38"/>
      <c r="W99" s="38"/>
      <c r="X99" s="38"/>
      <c r="AA99" s="38"/>
      <c r="AB99" s="38"/>
      <c r="AC99" s="38"/>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R99" s="13"/>
      <c r="BS99" s="13"/>
      <c r="BT99" s="13"/>
      <c r="BU99" s="13"/>
      <c r="BV99" s="13"/>
      <c r="BW99" s="13"/>
      <c r="BX99" s="13"/>
      <c r="BY99" s="13"/>
      <c r="BZ99" s="13"/>
      <c r="CA99" s="13"/>
      <c r="CB99" s="13"/>
      <c r="CC99" s="13"/>
      <c r="CD99" s="13"/>
      <c r="CE99" s="13"/>
      <c r="CF99" s="13"/>
      <c r="CG99" s="13"/>
      <c r="CH99" s="13"/>
      <c r="CI99" s="13"/>
      <c r="CJ99" s="13"/>
      <c r="CK99" s="13"/>
      <c r="CL99" s="13"/>
      <c r="CM99" s="13"/>
      <c r="CN99" s="13"/>
      <c r="CO99" s="13"/>
      <c r="CP99" s="13"/>
      <c r="CQ99" s="13"/>
    </row>
    <row r="100" spans="1:95" ht="14.25" customHeight="1" x14ac:dyDescent="0.2">
      <c r="A100" s="38"/>
      <c r="B100" s="150"/>
      <c r="C100" s="95"/>
      <c r="D100" s="530"/>
      <c r="E100" s="1809" t="s">
        <v>354</v>
      </c>
      <c r="F100" s="1809" t="s">
        <v>355</v>
      </c>
      <c r="G100" s="1810" t="s">
        <v>179</v>
      </c>
      <c r="H100" s="13"/>
      <c r="I100" s="101"/>
      <c r="J100" s="156"/>
      <c r="K100" s="156"/>
      <c r="L100" s="38"/>
      <c r="M100" s="38"/>
      <c r="N100" s="38"/>
      <c r="O100" s="38"/>
      <c r="P100" s="38"/>
      <c r="Q100" s="38"/>
      <c r="R100" s="38"/>
      <c r="S100" s="38"/>
      <c r="T100" s="38"/>
      <c r="U100" s="38"/>
      <c r="V100" s="38"/>
      <c r="W100" s="38"/>
      <c r="X100" s="38"/>
      <c r="AA100" s="38"/>
      <c r="AB100" s="38"/>
      <c r="AC100" s="38"/>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R100" s="13"/>
      <c r="BS100" s="13"/>
      <c r="BT100" s="13"/>
      <c r="BU100" s="13"/>
      <c r="BV100" s="13"/>
      <c r="BW100" s="13"/>
      <c r="BX100" s="13"/>
      <c r="BY100" s="13"/>
      <c r="BZ100" s="13"/>
      <c r="CA100" s="13"/>
      <c r="CB100" s="13"/>
      <c r="CC100" s="13"/>
      <c r="CD100" s="13"/>
      <c r="CE100" s="13"/>
      <c r="CF100" s="13"/>
      <c r="CG100" s="13"/>
      <c r="CH100" s="13"/>
      <c r="CI100" s="13"/>
      <c r="CJ100" s="13"/>
      <c r="CK100" s="13"/>
      <c r="CL100" s="13"/>
      <c r="CM100" s="13"/>
      <c r="CN100" s="13"/>
      <c r="CO100" s="13"/>
      <c r="CP100" s="13"/>
      <c r="CQ100" s="13"/>
    </row>
    <row r="101" spans="1:95" ht="14.25" customHeight="1" x14ac:dyDescent="0.2">
      <c r="A101" s="38"/>
      <c r="B101" s="742" t="s">
        <v>340</v>
      </c>
      <c r="C101" s="641"/>
      <c r="D101" s="646"/>
      <c r="E101" s="1809"/>
      <c r="F101" s="1772"/>
      <c r="G101" s="1810"/>
      <c r="H101" s="13"/>
      <c r="I101" s="101"/>
      <c r="J101" s="156"/>
      <c r="K101" s="156"/>
      <c r="L101" s="38"/>
      <c r="M101" s="38"/>
      <c r="N101" s="38"/>
      <c r="O101" s="38"/>
      <c r="P101" s="38"/>
      <c r="Q101" s="38"/>
      <c r="R101" s="38"/>
      <c r="S101" s="38"/>
      <c r="T101" s="38"/>
      <c r="U101" s="38"/>
      <c r="V101" s="38"/>
      <c r="W101" s="38"/>
      <c r="X101" s="38"/>
      <c r="AA101" s="38"/>
      <c r="AB101" s="38"/>
      <c r="AC101" s="38"/>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R101" s="13"/>
      <c r="BS101" s="13"/>
      <c r="BT101" s="13"/>
      <c r="BU101" s="13"/>
      <c r="BV101" s="13"/>
      <c r="BW101" s="13"/>
      <c r="BX101" s="13"/>
      <c r="BY101" s="13"/>
      <c r="BZ101" s="13"/>
      <c r="CA101" s="13"/>
      <c r="CB101" s="13"/>
      <c r="CC101" s="13"/>
      <c r="CD101" s="13"/>
      <c r="CE101" s="13"/>
      <c r="CF101" s="13"/>
      <c r="CG101" s="13"/>
      <c r="CH101" s="13"/>
      <c r="CI101" s="13"/>
      <c r="CJ101" s="13"/>
      <c r="CK101" s="13"/>
      <c r="CL101" s="13"/>
      <c r="CM101" s="13"/>
      <c r="CN101" s="13"/>
      <c r="CO101" s="13"/>
      <c r="CP101" s="13"/>
      <c r="CQ101" s="13"/>
    </row>
    <row r="102" spans="1:95" ht="14.25" customHeight="1" thickBot="1" x14ac:dyDescent="0.25">
      <c r="A102" s="38"/>
      <c r="B102" s="1805" t="s">
        <v>356</v>
      </c>
      <c r="C102" s="1805"/>
      <c r="D102" s="1807"/>
      <c r="E102" s="647"/>
      <c r="F102" s="1310"/>
      <c r="G102" s="350"/>
      <c r="H102" s="13"/>
      <c r="I102" s="101"/>
      <c r="J102" s="156"/>
      <c r="K102" s="156"/>
      <c r="L102" s="38"/>
      <c r="M102" s="38"/>
      <c r="N102" s="38"/>
      <c r="O102" s="38"/>
      <c r="P102" s="38"/>
      <c r="Q102" s="38"/>
      <c r="R102" s="38"/>
      <c r="S102" s="38"/>
      <c r="T102" s="38"/>
      <c r="U102" s="38"/>
      <c r="V102" s="38"/>
      <c r="W102" s="38"/>
      <c r="X102" s="38"/>
      <c r="AA102" s="38"/>
      <c r="AB102" s="38"/>
      <c r="AC102" s="38"/>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R102" s="13"/>
      <c r="BS102" s="13"/>
      <c r="BT102" s="13"/>
      <c r="BU102" s="13"/>
      <c r="BV102" s="13"/>
      <c r="BW102" s="13"/>
      <c r="BX102" s="13"/>
      <c r="BY102" s="13"/>
      <c r="BZ102" s="13"/>
      <c r="CA102" s="13"/>
      <c r="CB102" s="13"/>
      <c r="CC102" s="13"/>
      <c r="CD102" s="13"/>
      <c r="CE102" s="13"/>
      <c r="CF102" s="13"/>
      <c r="CG102" s="13"/>
      <c r="CH102" s="13"/>
      <c r="CI102" s="13"/>
      <c r="CJ102" s="13"/>
      <c r="CK102" s="13"/>
      <c r="CL102" s="13"/>
      <c r="CM102" s="13"/>
      <c r="CN102" s="13"/>
      <c r="CO102" s="13"/>
      <c r="CP102" s="13"/>
      <c r="CQ102" s="13"/>
    </row>
    <row r="103" spans="1:95" ht="15" customHeight="1" x14ac:dyDescent="0.2">
      <c r="A103" s="38"/>
      <c r="B103" s="1754" t="s">
        <v>357</v>
      </c>
      <c r="C103" s="1754"/>
      <c r="D103" s="1808"/>
      <c r="E103" s="411"/>
      <c r="F103" s="562"/>
      <c r="G103" s="392">
        <v>1</v>
      </c>
      <c r="H103" s="13"/>
      <c r="I103" s="101"/>
      <c r="J103" s="156"/>
      <c r="K103" s="156"/>
      <c r="L103" s="38"/>
      <c r="M103" s="38"/>
      <c r="N103" s="38"/>
      <c r="O103" s="38"/>
      <c r="P103" s="38"/>
      <c r="Q103" s="38"/>
      <c r="R103" s="38"/>
      <c r="S103" s="38"/>
      <c r="T103" s="38"/>
      <c r="U103" s="38"/>
      <c r="V103" s="38"/>
      <c r="W103" s="38"/>
      <c r="X103" s="38"/>
      <c r="AA103" s="38"/>
      <c r="AB103" s="38"/>
      <c r="AC103" s="38"/>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R103" s="13"/>
      <c r="BS103" s="13"/>
      <c r="BT103" s="13"/>
      <c r="BU103" s="13"/>
      <c r="BV103" s="13"/>
      <c r="BW103" s="13"/>
      <c r="BX103" s="13"/>
      <c r="BY103" s="13"/>
      <c r="BZ103" s="13"/>
      <c r="CA103" s="13"/>
      <c r="CB103" s="13"/>
      <c r="CC103" s="13"/>
      <c r="CD103" s="13"/>
      <c r="CE103" s="13"/>
      <c r="CF103" s="13"/>
      <c r="CG103" s="13"/>
      <c r="CH103" s="13"/>
      <c r="CI103" s="13"/>
      <c r="CJ103" s="13"/>
      <c r="CK103" s="13"/>
      <c r="CL103" s="13"/>
      <c r="CM103" s="13"/>
      <c r="CN103" s="13"/>
      <c r="CO103" s="13"/>
      <c r="CP103" s="13"/>
      <c r="CQ103" s="13"/>
    </row>
    <row r="104" spans="1:95" ht="15.75" customHeight="1" thickBot="1" x14ac:dyDescent="0.25">
      <c r="A104" s="38"/>
      <c r="B104" s="1791" t="s">
        <v>358</v>
      </c>
      <c r="C104" s="1791"/>
      <c r="D104" s="1793"/>
      <c r="E104" s="412"/>
      <c r="F104" s="563"/>
      <c r="G104" s="392">
        <v>1</v>
      </c>
      <c r="H104" s="13"/>
      <c r="I104" s="101"/>
      <c r="J104" s="156"/>
      <c r="K104" s="156"/>
      <c r="L104" s="38"/>
      <c r="M104" s="38"/>
      <c r="N104" s="38"/>
      <c r="O104" s="38"/>
      <c r="P104" s="38"/>
      <c r="Q104" s="38"/>
      <c r="R104" s="38"/>
      <c r="S104" s="38"/>
      <c r="T104" s="38"/>
      <c r="U104" s="38"/>
      <c r="V104" s="38"/>
      <c r="W104" s="38"/>
      <c r="X104" s="38"/>
      <c r="AA104" s="38"/>
      <c r="AB104" s="38"/>
      <c r="AC104" s="38"/>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R104" s="13"/>
      <c r="BS104" s="13"/>
      <c r="BT104" s="13"/>
      <c r="BU104" s="13"/>
      <c r="BV104" s="13"/>
      <c r="BW104" s="13"/>
      <c r="BX104" s="13"/>
      <c r="BY104" s="13"/>
      <c r="BZ104" s="13"/>
      <c r="CA104" s="13"/>
      <c r="CB104" s="13"/>
      <c r="CC104" s="13"/>
      <c r="CD104" s="13"/>
      <c r="CE104" s="13"/>
      <c r="CF104" s="13"/>
      <c r="CG104" s="13"/>
      <c r="CH104" s="13"/>
      <c r="CI104" s="13"/>
      <c r="CJ104" s="13"/>
      <c r="CK104" s="13"/>
      <c r="CL104" s="13"/>
      <c r="CM104" s="13"/>
      <c r="CN104" s="13"/>
      <c r="CO104" s="13"/>
      <c r="CP104" s="13"/>
      <c r="CQ104" s="13"/>
    </row>
    <row r="105" spans="1:95" ht="15.75" customHeight="1" x14ac:dyDescent="0.2">
      <c r="A105" s="38"/>
      <c r="B105" s="1754" t="s">
        <v>359</v>
      </c>
      <c r="C105" s="1754"/>
      <c r="D105" s="1808"/>
      <c r="E105" s="411"/>
      <c r="F105" s="562"/>
      <c r="G105" s="392">
        <v>1</v>
      </c>
      <c r="H105" s="13"/>
      <c r="I105" s="101"/>
      <c r="J105" s="156"/>
      <c r="K105" s="156"/>
      <c r="L105" s="38"/>
      <c r="M105" s="38"/>
      <c r="N105" s="38"/>
      <c r="O105" s="38"/>
      <c r="P105" s="38"/>
      <c r="Q105" s="38"/>
      <c r="R105" s="38"/>
      <c r="S105" s="38"/>
      <c r="T105" s="38"/>
      <c r="U105" s="38"/>
      <c r="V105" s="38"/>
      <c r="W105" s="38"/>
      <c r="X105" s="38"/>
      <c r="AA105" s="38"/>
      <c r="AB105" s="38"/>
      <c r="AC105" s="38"/>
      <c r="AD105" s="153"/>
      <c r="AE105" s="153"/>
      <c r="AF105" s="15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BQ105" s="13"/>
      <c r="BR105" s="13"/>
      <c r="BS105" s="13"/>
      <c r="BT105" s="13"/>
      <c r="BU105" s="13"/>
      <c r="BV105" s="13"/>
      <c r="BW105" s="13"/>
      <c r="BX105" s="13"/>
      <c r="BY105" s="13"/>
      <c r="BZ105" s="13"/>
      <c r="CA105" s="13"/>
      <c r="CB105" s="13"/>
      <c r="CC105" s="13"/>
      <c r="CD105" s="13"/>
      <c r="CE105" s="13"/>
      <c r="CF105" s="13"/>
      <c r="CG105" s="13"/>
      <c r="CH105" s="13"/>
      <c r="CI105" s="13"/>
      <c r="CJ105" s="13"/>
      <c r="CK105" s="13"/>
      <c r="CL105" s="13"/>
      <c r="CM105" s="13"/>
      <c r="CN105" s="13"/>
      <c r="CO105" s="13"/>
      <c r="CP105" s="13"/>
      <c r="CQ105" s="13"/>
    </row>
    <row r="106" spans="1:95" ht="15" customHeight="1" x14ac:dyDescent="0.2">
      <c r="A106" s="38"/>
      <c r="B106" s="1731" t="s">
        <v>360</v>
      </c>
      <c r="C106" s="1731"/>
      <c r="D106" s="1721"/>
      <c r="E106" s="408"/>
      <c r="F106" s="556"/>
      <c r="G106" s="392">
        <v>1</v>
      </c>
      <c r="H106" s="13"/>
      <c r="I106" s="101"/>
      <c r="J106" s="156"/>
      <c r="K106" s="156"/>
      <c r="L106" s="38"/>
      <c r="M106" s="38"/>
      <c r="N106" s="38"/>
      <c r="O106" s="38"/>
      <c r="P106" s="38"/>
      <c r="Q106" s="38"/>
      <c r="R106" s="38"/>
      <c r="S106" s="38"/>
      <c r="T106" s="38"/>
      <c r="U106" s="38"/>
      <c r="V106" s="38"/>
      <c r="W106" s="38"/>
      <c r="X106" s="38"/>
      <c r="AA106" s="38"/>
      <c r="AB106" s="38"/>
      <c r="AC106" s="38"/>
      <c r="AD106" s="153"/>
      <c r="AE106" s="153"/>
      <c r="AF106" s="15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BQ106" s="13"/>
      <c r="BR106" s="13"/>
      <c r="BS106" s="13"/>
      <c r="BT106" s="13"/>
      <c r="BU106" s="13"/>
      <c r="BV106" s="13"/>
      <c r="BW106" s="13"/>
      <c r="BX106" s="13"/>
      <c r="BY106" s="13"/>
      <c r="BZ106" s="13"/>
      <c r="CA106" s="13"/>
      <c r="CB106" s="13"/>
      <c r="CC106" s="13"/>
      <c r="CD106" s="13"/>
      <c r="CE106" s="13"/>
      <c r="CF106" s="13"/>
      <c r="CG106" s="13"/>
      <c r="CH106" s="13"/>
      <c r="CI106" s="13"/>
      <c r="CJ106" s="13"/>
      <c r="CK106" s="13"/>
      <c r="CL106" s="13"/>
      <c r="CM106" s="13"/>
      <c r="CN106" s="13"/>
      <c r="CO106" s="13"/>
      <c r="CP106" s="13"/>
      <c r="CQ106" s="13"/>
    </row>
    <row r="107" spans="1:95" ht="14.25" customHeight="1" x14ac:dyDescent="0.2">
      <c r="A107" s="38"/>
      <c r="B107" s="1731" t="s">
        <v>361</v>
      </c>
      <c r="C107" s="1731"/>
      <c r="D107" s="1721"/>
      <c r="E107" s="408"/>
      <c r="F107" s="556"/>
      <c r="G107" s="392">
        <v>1</v>
      </c>
      <c r="H107" s="13"/>
      <c r="I107" s="101"/>
      <c r="J107" s="156"/>
      <c r="K107" s="156"/>
      <c r="L107" s="38"/>
      <c r="M107" s="38"/>
      <c r="N107" s="38"/>
      <c r="O107" s="38"/>
      <c r="P107" s="38"/>
      <c r="Q107" s="38"/>
      <c r="R107" s="38"/>
      <c r="S107" s="38"/>
      <c r="T107" s="38"/>
      <c r="U107" s="38"/>
      <c r="V107" s="38"/>
      <c r="W107" s="38"/>
      <c r="X107" s="38"/>
      <c r="AA107" s="38"/>
      <c r="AB107" s="38"/>
      <c r="AC107" s="38"/>
      <c r="AD107" s="153"/>
      <c r="AE107" s="153"/>
      <c r="AF107" s="15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c r="BL107" s="13"/>
      <c r="BM107" s="13"/>
      <c r="BN107" s="13"/>
      <c r="BO107" s="13"/>
      <c r="BP107" s="13"/>
      <c r="BQ107" s="13"/>
      <c r="BR107" s="13"/>
      <c r="BS107" s="13"/>
      <c r="BT107" s="13"/>
      <c r="BU107" s="13"/>
      <c r="BV107" s="13"/>
      <c r="BW107" s="13"/>
      <c r="BX107" s="13"/>
      <c r="BY107" s="13"/>
      <c r="BZ107" s="13"/>
      <c r="CA107" s="13"/>
      <c r="CB107" s="13"/>
      <c r="CC107" s="13"/>
      <c r="CD107" s="13"/>
      <c r="CE107" s="13"/>
      <c r="CF107" s="13"/>
      <c r="CG107" s="13"/>
      <c r="CH107" s="13"/>
      <c r="CI107" s="13"/>
      <c r="CJ107" s="13"/>
      <c r="CK107" s="13"/>
      <c r="CL107" s="13"/>
      <c r="CM107" s="13"/>
      <c r="CN107" s="13"/>
      <c r="CO107" s="13"/>
      <c r="CP107" s="13"/>
      <c r="CQ107" s="13"/>
    </row>
    <row r="108" spans="1:95" ht="14.25" customHeight="1" x14ac:dyDescent="0.2">
      <c r="A108" s="38"/>
      <c r="B108" s="1731" t="s">
        <v>362</v>
      </c>
      <c r="C108" s="1731"/>
      <c r="D108" s="1721"/>
      <c r="E108" s="408"/>
      <c r="F108" s="564"/>
      <c r="G108" s="392">
        <v>1</v>
      </c>
      <c r="H108" s="13"/>
      <c r="I108" s="101"/>
      <c r="J108" s="156"/>
      <c r="K108" s="156"/>
      <c r="L108" s="38"/>
      <c r="M108" s="38"/>
      <c r="N108" s="38"/>
      <c r="O108" s="38"/>
      <c r="P108" s="38"/>
      <c r="Q108" s="38"/>
      <c r="R108" s="38"/>
      <c r="S108" s="38"/>
      <c r="T108" s="38"/>
      <c r="U108" s="38"/>
      <c r="V108" s="38"/>
      <c r="W108" s="38"/>
      <c r="X108" s="38"/>
      <c r="Y108" s="13"/>
      <c r="Z108" s="13"/>
      <c r="AA108" s="38"/>
      <c r="AB108" s="38"/>
      <c r="AC108" s="38"/>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Q108" s="13"/>
      <c r="BR108" s="13"/>
      <c r="BS108" s="13"/>
      <c r="BT108" s="13"/>
      <c r="BU108" s="13"/>
      <c r="BV108" s="13"/>
      <c r="BW108" s="13"/>
      <c r="BX108" s="13"/>
      <c r="BY108" s="13"/>
      <c r="BZ108" s="13"/>
      <c r="CA108" s="13"/>
      <c r="CB108" s="13"/>
      <c r="CC108" s="13"/>
      <c r="CD108" s="13"/>
      <c r="CE108" s="13"/>
      <c r="CF108" s="13"/>
      <c r="CG108" s="13"/>
      <c r="CH108" s="13"/>
      <c r="CI108" s="13"/>
      <c r="CJ108" s="13"/>
      <c r="CK108" s="13"/>
      <c r="CL108" s="13"/>
      <c r="CM108" s="13"/>
      <c r="CN108" s="13"/>
      <c r="CO108" s="13"/>
      <c r="CP108" s="13"/>
      <c r="CQ108" s="13"/>
    </row>
    <row r="109" spans="1:95" ht="14.25" customHeight="1" x14ac:dyDescent="0.2">
      <c r="A109" s="38"/>
      <c r="B109" s="1731" t="s">
        <v>363</v>
      </c>
      <c r="C109" s="1731"/>
      <c r="D109" s="1721"/>
      <c r="E109" s="408"/>
      <c r="F109" s="556"/>
      <c r="G109" s="392">
        <v>5</v>
      </c>
      <c r="H109" s="13"/>
      <c r="I109" s="101"/>
      <c r="J109" s="156"/>
      <c r="K109" s="156"/>
      <c r="L109" s="38"/>
      <c r="M109" s="38"/>
      <c r="N109" s="38"/>
      <c r="O109" s="38"/>
      <c r="P109" s="38"/>
      <c r="Q109" s="38"/>
      <c r="R109" s="38"/>
      <c r="S109" s="38"/>
      <c r="T109" s="38"/>
      <c r="U109" s="38"/>
      <c r="V109" s="38"/>
      <c r="W109" s="38"/>
      <c r="X109" s="38"/>
      <c r="Y109" s="13"/>
      <c r="Z109" s="13"/>
      <c r="AA109" s="38"/>
      <c r="AB109" s="38"/>
      <c r="AC109" s="38"/>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BQ109" s="13"/>
      <c r="BR109" s="13"/>
      <c r="BS109" s="13"/>
      <c r="BT109" s="13"/>
      <c r="BU109" s="13"/>
      <c r="BV109" s="13"/>
      <c r="BW109" s="13"/>
      <c r="BX109" s="13"/>
      <c r="BY109" s="13"/>
      <c r="BZ109" s="13"/>
      <c r="CA109" s="13"/>
      <c r="CB109" s="13"/>
      <c r="CC109" s="13"/>
      <c r="CD109" s="13"/>
      <c r="CE109" s="13"/>
      <c r="CF109" s="13"/>
      <c r="CG109" s="13"/>
      <c r="CH109" s="13"/>
      <c r="CI109" s="13"/>
      <c r="CJ109" s="13"/>
      <c r="CK109" s="13"/>
      <c r="CL109" s="13"/>
      <c r="CM109" s="13"/>
      <c r="CN109" s="13"/>
      <c r="CO109" s="13"/>
      <c r="CP109" s="13"/>
      <c r="CQ109" s="13"/>
    </row>
    <row r="110" spans="1:95" ht="13.5" customHeight="1" x14ac:dyDescent="0.2">
      <c r="A110" s="38"/>
      <c r="B110" s="1731" t="s">
        <v>364</v>
      </c>
      <c r="C110" s="1731"/>
      <c r="D110" s="1721"/>
      <c r="E110" s="408"/>
      <c r="F110" s="556"/>
      <c r="G110" s="392">
        <v>3</v>
      </c>
      <c r="H110" s="13"/>
      <c r="I110" s="101"/>
      <c r="J110" s="156"/>
      <c r="K110" s="156"/>
      <c r="L110" s="38"/>
      <c r="M110" s="38"/>
      <c r="N110" s="38"/>
      <c r="O110" s="38"/>
      <c r="P110" s="38"/>
      <c r="Q110" s="38"/>
      <c r="R110" s="38"/>
      <c r="S110" s="38"/>
      <c r="T110" s="38"/>
      <c r="U110" s="38"/>
      <c r="V110" s="38"/>
      <c r="W110" s="38"/>
      <c r="X110" s="38"/>
      <c r="Y110" s="13"/>
      <c r="Z110" s="13"/>
      <c r="AA110" s="38"/>
      <c r="AB110" s="38"/>
      <c r="AC110" s="38"/>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c r="BI110" s="13"/>
      <c r="BJ110" s="13"/>
      <c r="BK110" s="13"/>
      <c r="BL110" s="13"/>
      <c r="BM110" s="13"/>
      <c r="BN110" s="13"/>
      <c r="BO110" s="13"/>
      <c r="BP110" s="13"/>
      <c r="BQ110" s="13"/>
      <c r="BR110" s="13"/>
      <c r="BS110" s="13"/>
      <c r="BT110" s="13"/>
      <c r="BU110" s="13"/>
      <c r="BV110" s="13"/>
      <c r="BW110" s="13"/>
      <c r="BX110" s="13"/>
      <c r="BY110" s="13"/>
      <c r="BZ110" s="13"/>
      <c r="CA110" s="13"/>
      <c r="CB110" s="13"/>
      <c r="CC110" s="13"/>
      <c r="CD110" s="13"/>
      <c r="CE110" s="13"/>
      <c r="CF110" s="13"/>
      <c r="CG110" s="13"/>
      <c r="CH110" s="13"/>
      <c r="CI110" s="13"/>
      <c r="CJ110" s="13"/>
      <c r="CK110" s="13"/>
      <c r="CL110" s="13"/>
      <c r="CM110" s="13"/>
      <c r="CN110" s="13"/>
      <c r="CO110" s="13"/>
      <c r="CP110" s="13"/>
      <c r="CQ110" s="13"/>
    </row>
    <row r="111" spans="1:95" ht="15" customHeight="1" x14ac:dyDescent="0.2">
      <c r="A111" s="38"/>
      <c r="B111" s="1731" t="s">
        <v>365</v>
      </c>
      <c r="C111" s="1731"/>
      <c r="D111" s="1721"/>
      <c r="E111" s="413"/>
      <c r="F111" s="564"/>
      <c r="G111" s="392">
        <v>1</v>
      </c>
      <c r="H111" s="13"/>
      <c r="I111" s="101"/>
      <c r="J111" s="156"/>
      <c r="K111" s="156"/>
      <c r="L111" s="38"/>
      <c r="M111" s="38"/>
      <c r="N111" s="38"/>
      <c r="O111" s="38"/>
      <c r="P111" s="38"/>
      <c r="Q111" s="38"/>
      <c r="R111" s="38"/>
      <c r="S111" s="38"/>
      <c r="T111" s="38"/>
      <c r="U111" s="38"/>
      <c r="V111" s="38"/>
      <c r="W111" s="38"/>
      <c r="X111" s="38"/>
      <c r="Y111" s="13"/>
      <c r="Z111" s="13"/>
      <c r="AA111" s="38"/>
      <c r="AB111" s="38"/>
      <c r="AC111" s="38"/>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c r="BL111" s="13"/>
      <c r="BM111" s="13"/>
      <c r="BN111" s="13"/>
      <c r="BO111" s="13"/>
      <c r="BP111" s="13"/>
      <c r="BQ111" s="13"/>
      <c r="BR111" s="13"/>
      <c r="BS111" s="13"/>
      <c r="BT111" s="13"/>
      <c r="BU111" s="13"/>
      <c r="BV111" s="13"/>
      <c r="BW111" s="13"/>
      <c r="BX111" s="13"/>
      <c r="BY111" s="13"/>
      <c r="BZ111" s="13"/>
      <c r="CA111" s="13"/>
      <c r="CB111" s="13"/>
      <c r="CC111" s="13"/>
      <c r="CD111" s="13"/>
      <c r="CE111" s="13"/>
      <c r="CF111" s="13"/>
      <c r="CG111" s="13"/>
      <c r="CH111" s="13"/>
      <c r="CI111" s="13"/>
      <c r="CJ111" s="13"/>
      <c r="CK111" s="13"/>
      <c r="CL111" s="13"/>
      <c r="CM111" s="13"/>
      <c r="CN111" s="13"/>
      <c r="CO111" s="13"/>
      <c r="CP111" s="13"/>
      <c r="CQ111" s="13"/>
    </row>
    <row r="112" spans="1:95" ht="15" customHeight="1" x14ac:dyDescent="0.2">
      <c r="A112" s="38"/>
      <c r="B112" s="1731" t="s">
        <v>366</v>
      </c>
      <c r="C112" s="1731"/>
      <c r="D112" s="1721"/>
      <c r="E112" s="413"/>
      <c r="F112" s="565"/>
      <c r="G112" s="392">
        <v>3</v>
      </c>
      <c r="H112" s="13"/>
      <c r="I112" s="101"/>
      <c r="J112" s="156"/>
      <c r="K112" s="156"/>
      <c r="L112" s="38"/>
      <c r="M112" s="38"/>
      <c r="N112" s="38"/>
      <c r="O112" s="38"/>
      <c r="P112" s="38"/>
      <c r="Q112" s="38"/>
      <c r="R112" s="38"/>
      <c r="S112" s="38"/>
      <c r="T112" s="38"/>
      <c r="U112" s="38"/>
      <c r="V112" s="38"/>
      <c r="W112" s="38"/>
      <c r="X112" s="38"/>
      <c r="Y112" s="13"/>
      <c r="Z112" s="13"/>
      <c r="AA112" s="38"/>
      <c r="AB112" s="38"/>
      <c r="AC112" s="38"/>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c r="BI112" s="13"/>
      <c r="BJ112" s="13"/>
      <c r="BK112" s="13"/>
      <c r="BL112" s="13"/>
      <c r="BM112" s="13"/>
      <c r="BN112" s="13"/>
      <c r="BO112" s="13"/>
      <c r="BP112" s="13"/>
      <c r="BQ112" s="13"/>
      <c r="BR112" s="13"/>
      <c r="BS112" s="13"/>
      <c r="BT112" s="13"/>
      <c r="BU112" s="13"/>
      <c r="BV112" s="13"/>
      <c r="BW112" s="13"/>
      <c r="BX112" s="13"/>
      <c r="BY112" s="13"/>
      <c r="BZ112" s="13"/>
      <c r="CA112" s="13"/>
      <c r="CB112" s="13"/>
      <c r="CC112" s="13"/>
      <c r="CD112" s="13"/>
      <c r="CE112" s="13"/>
      <c r="CF112" s="13"/>
      <c r="CG112" s="13"/>
      <c r="CH112" s="13"/>
      <c r="CI112" s="13"/>
      <c r="CJ112" s="13"/>
      <c r="CK112" s="13"/>
      <c r="CL112" s="13"/>
      <c r="CM112" s="13"/>
      <c r="CN112" s="13"/>
      <c r="CO112" s="13"/>
      <c r="CP112" s="13"/>
      <c r="CQ112" s="13"/>
    </row>
    <row r="113" spans="1:95" ht="15.75" customHeight="1" x14ac:dyDescent="0.2">
      <c r="A113" s="38"/>
      <c r="B113" s="1864" t="s">
        <v>367</v>
      </c>
      <c r="C113" s="1865"/>
      <c r="D113" s="648">
        <f>+'1 QUESTIONÁRIO'!E61+'1 QUESTIONÁRIO'!E62</f>
        <v>0</v>
      </c>
      <c r="E113" s="1926" t="s">
        <v>368</v>
      </c>
      <c r="F113" s="1927"/>
      <c r="G113" s="1927"/>
      <c r="H113" s="13"/>
      <c r="I113" s="101"/>
      <c r="J113" s="38"/>
      <c r="K113" s="38"/>
      <c r="L113" s="38"/>
      <c r="M113" s="38"/>
      <c r="N113" s="38"/>
      <c r="O113" s="38"/>
      <c r="P113" s="38"/>
      <c r="Q113" s="38"/>
      <c r="R113" s="38"/>
      <c r="S113" s="38"/>
      <c r="T113" s="38"/>
      <c r="U113" s="38"/>
      <c r="V113" s="38"/>
      <c r="W113" s="38"/>
      <c r="X113" s="38"/>
      <c r="Y113" s="13"/>
      <c r="Z113" s="13"/>
      <c r="AA113" s="38"/>
      <c r="AB113" s="38"/>
      <c r="AC113" s="38"/>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c r="BI113" s="13"/>
      <c r="BJ113" s="13"/>
      <c r="BK113" s="13"/>
      <c r="BL113" s="13"/>
      <c r="BM113" s="13"/>
      <c r="BN113" s="13"/>
      <c r="BO113" s="13"/>
      <c r="BP113" s="13"/>
      <c r="BQ113" s="13"/>
      <c r="BR113" s="13"/>
      <c r="BS113" s="13"/>
      <c r="BT113" s="13"/>
      <c r="BU113" s="13"/>
      <c r="BV113" s="13"/>
      <c r="BW113" s="13"/>
      <c r="BX113" s="13"/>
      <c r="BY113" s="13"/>
      <c r="BZ113" s="13"/>
      <c r="CA113" s="13"/>
      <c r="CB113" s="13"/>
      <c r="CC113" s="13"/>
      <c r="CD113" s="13"/>
      <c r="CE113" s="13"/>
      <c r="CF113" s="13"/>
      <c r="CG113" s="13"/>
      <c r="CH113" s="13"/>
      <c r="CI113" s="13"/>
      <c r="CJ113" s="13"/>
      <c r="CK113" s="13"/>
      <c r="CL113" s="13"/>
      <c r="CM113" s="13"/>
      <c r="CN113" s="13"/>
      <c r="CO113" s="13"/>
      <c r="CP113" s="13"/>
      <c r="CQ113" s="13"/>
    </row>
    <row r="114" spans="1:95" ht="16.5" customHeight="1" x14ac:dyDescent="0.2">
      <c r="A114" s="38"/>
      <c r="B114" s="382"/>
      <c r="C114" s="38"/>
      <c r="D114" s="135"/>
      <c r="E114" s="100"/>
      <c r="F114" s="100"/>
      <c r="G114" s="13"/>
      <c r="H114" s="13"/>
      <c r="I114" s="101"/>
      <c r="J114" s="38"/>
      <c r="K114" s="38"/>
      <c r="L114" s="38"/>
      <c r="M114" s="38"/>
      <c r="N114" s="38"/>
      <c r="O114" s="38"/>
      <c r="P114" s="38"/>
      <c r="Q114" s="38"/>
      <c r="R114" s="38"/>
      <c r="S114" s="38"/>
      <c r="T114" s="38"/>
      <c r="U114" s="38"/>
      <c r="V114" s="38"/>
      <c r="W114" s="38"/>
      <c r="X114" s="38"/>
      <c r="Y114" s="13"/>
      <c r="Z114" s="13"/>
      <c r="AA114" s="38"/>
      <c r="AB114" s="38"/>
      <c r="AC114" s="38"/>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c r="BI114" s="13"/>
      <c r="BJ114" s="13"/>
      <c r="BK114" s="13"/>
      <c r="BL114" s="13"/>
      <c r="BM114" s="13"/>
      <c r="BN114" s="13"/>
      <c r="BO114" s="13"/>
      <c r="BP114" s="13"/>
      <c r="BQ114" s="13"/>
      <c r="BR114" s="13"/>
      <c r="BS114" s="13"/>
      <c r="BT114" s="13"/>
      <c r="BU114" s="13"/>
      <c r="BV114" s="13"/>
      <c r="BW114" s="13"/>
      <c r="BX114" s="13"/>
      <c r="BY114" s="13"/>
      <c r="BZ114" s="13"/>
      <c r="CA114" s="13"/>
      <c r="CB114" s="13"/>
      <c r="CC114" s="13"/>
      <c r="CD114" s="13"/>
      <c r="CE114" s="13"/>
      <c r="CF114" s="13"/>
      <c r="CG114" s="13"/>
      <c r="CH114" s="13"/>
      <c r="CI114" s="13"/>
      <c r="CJ114" s="13"/>
      <c r="CK114" s="13"/>
      <c r="CL114" s="13"/>
      <c r="CM114" s="13"/>
      <c r="CN114" s="13"/>
      <c r="CO114" s="13"/>
      <c r="CP114" s="13"/>
      <c r="CQ114" s="13"/>
    </row>
    <row r="115" spans="1:95" ht="15" customHeight="1" x14ac:dyDescent="0.2">
      <c r="A115" s="38"/>
      <c r="B115" s="290" t="s">
        <v>274</v>
      </c>
      <c r="C115" s="638">
        <f>IF('GUIA DE APLICAÇÃO'!H668&gt;1,1,'GUIA DE APLICAÇÃO'!H668)</f>
        <v>0.7</v>
      </c>
      <c r="D115" s="385" t="s">
        <v>329</v>
      </c>
      <c r="E115" s="122"/>
      <c r="F115" s="122"/>
      <c r="G115" s="121"/>
      <c r="H115" s="121"/>
      <c r="I115" s="101"/>
      <c r="J115" s="38"/>
      <c r="K115" s="38"/>
      <c r="L115" s="38"/>
      <c r="M115" s="38"/>
      <c r="N115" s="38"/>
      <c r="O115" s="38"/>
      <c r="P115" s="38"/>
      <c r="Q115" s="38"/>
      <c r="R115" s="38"/>
      <c r="S115" s="38"/>
      <c r="T115" s="38"/>
      <c r="U115" s="38"/>
      <c r="V115" s="38"/>
      <c r="W115" s="38"/>
      <c r="X115" s="38"/>
      <c r="Y115" s="13"/>
      <c r="Z115" s="13"/>
      <c r="AA115" s="38"/>
      <c r="AB115" s="38"/>
      <c r="AC115" s="38"/>
      <c r="AD115" s="38"/>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c r="BI115" s="13"/>
      <c r="BJ115" s="13"/>
      <c r="BK115" s="13"/>
      <c r="BL115" s="13"/>
      <c r="BM115" s="13"/>
      <c r="BN115" s="13"/>
      <c r="BO115" s="13"/>
      <c r="BP115" s="13"/>
      <c r="BQ115" s="13"/>
      <c r="BR115" s="13"/>
      <c r="BS115" s="13"/>
      <c r="BT115" s="13"/>
      <c r="BU115" s="13"/>
      <c r="BV115" s="13"/>
      <c r="BW115" s="13"/>
      <c r="BX115" s="13"/>
      <c r="BY115" s="13"/>
      <c r="BZ115" s="13"/>
      <c r="CA115" s="13"/>
      <c r="CB115" s="13"/>
      <c r="CC115" s="13"/>
      <c r="CD115" s="13"/>
      <c r="CE115" s="13"/>
      <c r="CF115" s="13"/>
      <c r="CG115" s="13"/>
      <c r="CH115" s="13"/>
      <c r="CI115" s="13"/>
      <c r="CJ115" s="13"/>
      <c r="CK115" s="13"/>
      <c r="CL115" s="13"/>
      <c r="CM115" s="13"/>
      <c r="CN115" s="13"/>
      <c r="CO115" s="13"/>
      <c r="CP115" s="13"/>
      <c r="CQ115" s="13"/>
    </row>
    <row r="116" spans="1:95" ht="16.5" customHeight="1" x14ac:dyDescent="0.2">
      <c r="A116" s="38"/>
      <c r="B116" s="157"/>
      <c r="C116" s="110"/>
      <c r="D116" s="38"/>
      <c r="E116" s="38"/>
      <c r="F116" s="38"/>
      <c r="G116" s="13"/>
      <c r="H116" s="13"/>
      <c r="I116" s="13"/>
      <c r="J116" s="38"/>
      <c r="K116" s="38"/>
      <c r="L116" s="38"/>
      <c r="M116" s="38"/>
      <c r="N116" s="38"/>
      <c r="O116" s="38"/>
      <c r="P116" s="38"/>
      <c r="Q116" s="38"/>
      <c r="R116" s="38"/>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BQ116" s="13"/>
      <c r="BR116" s="13"/>
      <c r="BS116" s="13"/>
      <c r="BT116" s="13"/>
      <c r="BU116" s="13"/>
      <c r="BV116" s="13"/>
      <c r="BW116" s="13"/>
      <c r="BX116" s="13"/>
      <c r="BY116" s="13"/>
      <c r="BZ116" s="13"/>
      <c r="CA116" s="13"/>
      <c r="CB116" s="13"/>
      <c r="CC116" s="13"/>
      <c r="CD116" s="13"/>
      <c r="CE116" s="13"/>
      <c r="CF116" s="13"/>
      <c r="CG116" s="13"/>
      <c r="CH116" s="13"/>
      <c r="CI116" s="13"/>
      <c r="CJ116" s="13"/>
      <c r="CK116" s="13"/>
      <c r="CL116" s="13"/>
      <c r="CM116" s="13"/>
      <c r="CN116" s="13"/>
      <c r="CO116" s="13"/>
      <c r="CP116" s="13"/>
      <c r="CQ116" s="13"/>
    </row>
    <row r="117" spans="1:95" ht="18" customHeight="1" x14ac:dyDescent="0.2">
      <c r="A117" s="615">
        <v>8</v>
      </c>
      <c r="B117" s="703" t="s">
        <v>369</v>
      </c>
      <c r="C117" s="651"/>
      <c r="D117" s="651"/>
      <c r="E117" s="651"/>
      <c r="F117" s="651"/>
      <c r="G117" s="651"/>
      <c r="H117" s="652"/>
      <c r="I117" s="101"/>
      <c r="J117" s="5"/>
      <c r="K117" s="5"/>
      <c r="L117" s="5"/>
      <c r="M117" s="5"/>
      <c r="N117" s="5"/>
      <c r="O117" s="5"/>
      <c r="P117" s="5"/>
      <c r="Q117" s="5"/>
      <c r="R117" s="5"/>
      <c r="S117" s="5"/>
      <c r="T117" s="5"/>
      <c r="U117" s="5"/>
      <c r="V117" s="5"/>
      <c r="W117" s="13"/>
      <c r="X117" s="13"/>
      <c r="AA117" s="13"/>
      <c r="AB117" s="13"/>
      <c r="AC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BQ117" s="13"/>
      <c r="BR117" s="13"/>
      <c r="BS117" s="13"/>
      <c r="BT117" s="13"/>
      <c r="BU117" s="13"/>
      <c r="BV117" s="13"/>
      <c r="BW117" s="13"/>
      <c r="BX117" s="13"/>
      <c r="BY117" s="13"/>
      <c r="BZ117" s="13"/>
      <c r="CA117" s="13"/>
      <c r="CB117" s="13"/>
      <c r="CC117" s="13"/>
      <c r="CD117" s="13"/>
      <c r="CE117" s="13"/>
      <c r="CF117" s="13"/>
      <c r="CG117" s="13"/>
      <c r="CH117" s="13"/>
      <c r="CI117" s="13"/>
      <c r="CJ117" s="13"/>
      <c r="CK117" s="13"/>
      <c r="CL117" s="13"/>
      <c r="CM117" s="13"/>
      <c r="CN117" s="13"/>
      <c r="CO117" s="13"/>
      <c r="CP117" s="13"/>
      <c r="CQ117" s="13"/>
    </row>
    <row r="118" spans="1:95" ht="30" customHeight="1" x14ac:dyDescent="0.2">
      <c r="A118" s="38"/>
      <c r="B118" s="150"/>
      <c r="C118" s="5"/>
      <c r="D118" s="5"/>
      <c r="E118" s="1866" t="s">
        <v>370</v>
      </c>
      <c r="F118" s="1725" t="s">
        <v>179</v>
      </c>
      <c r="G118" s="13"/>
      <c r="H118" s="5"/>
      <c r="I118" s="101"/>
      <c r="J118" s="5"/>
      <c r="K118" s="5"/>
      <c r="L118" s="5"/>
      <c r="M118" s="5"/>
      <c r="N118" s="5"/>
      <c r="O118" s="5"/>
      <c r="P118" s="5"/>
      <c r="Q118" s="5"/>
      <c r="R118" s="5"/>
      <c r="S118" s="5"/>
      <c r="T118" s="5"/>
      <c r="U118" s="5"/>
      <c r="V118" s="5"/>
      <c r="W118" s="13"/>
      <c r="X118" s="13"/>
      <c r="AA118" s="13"/>
      <c r="AB118" s="13"/>
      <c r="AC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BQ118" s="13"/>
      <c r="BR118" s="13"/>
      <c r="BS118" s="13"/>
      <c r="BT118" s="13"/>
      <c r="BU118" s="13"/>
      <c r="BV118" s="13"/>
      <c r="BW118" s="13"/>
      <c r="BX118" s="13"/>
      <c r="BY118" s="13"/>
      <c r="BZ118" s="13"/>
      <c r="CA118" s="13"/>
      <c r="CB118" s="13"/>
      <c r="CC118" s="13"/>
      <c r="CD118" s="13"/>
      <c r="CE118" s="13"/>
      <c r="CF118" s="13"/>
      <c r="CG118" s="13"/>
      <c r="CH118" s="13"/>
      <c r="CI118" s="13"/>
      <c r="CJ118" s="13"/>
      <c r="CK118" s="13"/>
      <c r="CL118" s="13"/>
      <c r="CM118" s="13"/>
      <c r="CN118" s="13"/>
      <c r="CO118" s="13"/>
      <c r="CP118" s="13"/>
      <c r="CQ118" s="13"/>
    </row>
    <row r="119" spans="1:95" ht="21" customHeight="1" x14ac:dyDescent="0.2">
      <c r="A119" s="38"/>
      <c r="B119" s="150"/>
      <c r="C119" s="126"/>
      <c r="D119" s="126"/>
      <c r="E119" s="1748"/>
      <c r="F119" s="1725"/>
      <c r="G119" s="13"/>
      <c r="H119" s="5"/>
      <c r="I119" s="101"/>
      <c r="J119" s="5"/>
      <c r="K119" s="5"/>
      <c r="L119" s="5"/>
      <c r="M119" s="5"/>
      <c r="N119" s="5"/>
      <c r="O119" s="5"/>
      <c r="P119" s="5"/>
      <c r="Q119" s="5"/>
      <c r="R119" s="5"/>
      <c r="S119" s="5"/>
      <c r="T119" s="5"/>
      <c r="U119" s="5"/>
      <c r="V119" s="5"/>
      <c r="W119" s="13"/>
      <c r="X119" s="13"/>
      <c r="AA119" s="13"/>
      <c r="AB119" s="13"/>
      <c r="AC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c r="BL119" s="13"/>
      <c r="BM119" s="13"/>
      <c r="BN119" s="13"/>
      <c r="BO119" s="13"/>
      <c r="BP119" s="13"/>
      <c r="BQ119" s="13"/>
      <c r="BR119" s="13"/>
      <c r="BS119" s="13"/>
      <c r="BT119" s="13"/>
      <c r="BU119" s="13"/>
      <c r="BV119" s="13"/>
      <c r="BW119" s="13"/>
      <c r="BX119" s="13"/>
      <c r="BY119" s="13"/>
      <c r="BZ119" s="13"/>
      <c r="CA119" s="13"/>
      <c r="CB119" s="13"/>
      <c r="CC119" s="13"/>
      <c r="CD119" s="13"/>
      <c r="CE119" s="13"/>
      <c r="CF119" s="13"/>
      <c r="CG119" s="13"/>
      <c r="CH119" s="13"/>
      <c r="CI119" s="13"/>
      <c r="CJ119" s="13"/>
      <c r="CK119" s="13"/>
      <c r="CL119" s="13"/>
      <c r="CM119" s="13"/>
      <c r="CN119" s="13"/>
      <c r="CO119" s="13"/>
      <c r="CP119" s="13"/>
      <c r="CQ119" s="13"/>
    </row>
    <row r="120" spans="1:95" ht="15.75" customHeight="1" x14ac:dyDescent="0.2">
      <c r="A120" s="38"/>
      <c r="B120" s="1730" t="s">
        <v>371</v>
      </c>
      <c r="C120" s="1731" t="s">
        <v>372</v>
      </c>
      <c r="D120" s="1731"/>
      <c r="E120" s="513"/>
      <c r="F120" s="392">
        <v>1</v>
      </c>
      <c r="G120" s="13"/>
      <c r="H120" s="5"/>
      <c r="I120" s="101"/>
      <c r="J120" s="5"/>
      <c r="K120" s="5"/>
      <c r="L120" s="5"/>
      <c r="M120" s="5"/>
      <c r="N120" s="5"/>
      <c r="O120" s="5"/>
      <c r="P120" s="5"/>
      <c r="Q120" s="5"/>
      <c r="R120" s="5"/>
      <c r="S120" s="5"/>
      <c r="T120" s="5"/>
      <c r="U120" s="5"/>
      <c r="V120" s="5"/>
      <c r="W120" s="13"/>
      <c r="X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c r="BG120" s="13"/>
      <c r="BH120" s="13"/>
      <c r="BI120" s="13"/>
      <c r="BJ120" s="13"/>
      <c r="BK120" s="13"/>
      <c r="BL120" s="13"/>
      <c r="BM120" s="13"/>
      <c r="BN120" s="13"/>
      <c r="BO120" s="13"/>
      <c r="BP120" s="13"/>
      <c r="BQ120" s="13"/>
      <c r="BR120" s="13"/>
      <c r="BS120" s="13"/>
      <c r="BT120" s="13"/>
      <c r="BU120" s="13"/>
      <c r="BV120" s="13"/>
      <c r="BW120" s="13"/>
      <c r="BX120" s="13"/>
      <c r="BY120" s="13"/>
      <c r="BZ120" s="13"/>
      <c r="CA120" s="13"/>
      <c r="CB120" s="13"/>
      <c r="CC120" s="13"/>
      <c r="CD120" s="13"/>
      <c r="CE120" s="13"/>
      <c r="CF120" s="13"/>
      <c r="CG120" s="13"/>
      <c r="CH120" s="13"/>
      <c r="CI120" s="13"/>
      <c r="CJ120" s="13"/>
      <c r="CK120" s="13"/>
      <c r="CL120" s="13"/>
      <c r="CM120" s="13"/>
      <c r="CN120" s="13"/>
      <c r="CO120" s="13"/>
      <c r="CP120" s="13"/>
      <c r="CQ120" s="13"/>
    </row>
    <row r="121" spans="1:95" ht="18" customHeight="1" x14ac:dyDescent="0.2">
      <c r="A121" s="38"/>
      <c r="B121" s="1730"/>
      <c r="C121" s="1731" t="s">
        <v>373</v>
      </c>
      <c r="D121" s="1731"/>
      <c r="E121" s="514"/>
      <c r="F121" s="392">
        <v>1</v>
      </c>
      <c r="G121" s="13"/>
      <c r="H121" s="5"/>
      <c r="I121" s="101"/>
      <c r="J121" s="5"/>
      <c r="K121" s="5"/>
      <c r="L121" s="5"/>
      <c r="M121" s="5"/>
      <c r="N121" s="5"/>
      <c r="O121" s="5"/>
      <c r="P121" s="5"/>
      <c r="Q121" s="5"/>
      <c r="R121" s="5"/>
      <c r="S121" s="5"/>
      <c r="T121" s="5"/>
      <c r="U121" s="5"/>
      <c r="V121" s="5"/>
      <c r="W121" s="13"/>
      <c r="X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c r="BG121" s="13"/>
      <c r="BH121" s="13"/>
      <c r="BI121" s="13"/>
      <c r="BJ121" s="13"/>
      <c r="BK121" s="13"/>
      <c r="BL121" s="13"/>
      <c r="BM121" s="13"/>
      <c r="BN121" s="13"/>
      <c r="BO121" s="13"/>
      <c r="BP121" s="13"/>
      <c r="BQ121" s="13"/>
      <c r="BR121" s="13"/>
      <c r="BS121" s="13"/>
      <c r="BT121" s="13"/>
      <c r="BU121" s="13"/>
      <c r="BV121" s="13"/>
      <c r="BW121" s="13"/>
      <c r="BX121" s="13"/>
      <c r="BY121" s="13"/>
      <c r="BZ121" s="13"/>
      <c r="CA121" s="13"/>
      <c r="CB121" s="13"/>
      <c r="CC121" s="13"/>
      <c r="CD121" s="13"/>
      <c r="CE121" s="13"/>
      <c r="CF121" s="13"/>
      <c r="CG121" s="13"/>
      <c r="CH121" s="13"/>
      <c r="CI121" s="13"/>
      <c r="CJ121" s="13"/>
      <c r="CK121" s="13"/>
      <c r="CL121" s="13"/>
      <c r="CM121" s="13"/>
      <c r="CN121" s="13"/>
      <c r="CO121" s="13"/>
      <c r="CP121" s="13"/>
      <c r="CQ121" s="13"/>
    </row>
    <row r="122" spans="1:95" ht="16.5" customHeight="1" x14ac:dyDescent="0.2">
      <c r="A122" s="38"/>
      <c r="B122" s="1731" t="s">
        <v>374</v>
      </c>
      <c r="C122" s="1731"/>
      <c r="D122" s="1731"/>
      <c r="E122" s="514"/>
      <c r="F122" s="392">
        <v>1</v>
      </c>
      <c r="G122" s="13"/>
      <c r="H122" s="5"/>
      <c r="I122" s="101"/>
      <c r="J122" s="5"/>
      <c r="K122" s="5"/>
      <c r="L122" s="5"/>
      <c r="M122" s="5"/>
      <c r="N122" s="5"/>
      <c r="O122" s="5"/>
      <c r="P122" s="5"/>
      <c r="Q122" s="5"/>
      <c r="R122" s="5"/>
      <c r="S122" s="5"/>
      <c r="T122" s="5"/>
      <c r="U122" s="5"/>
      <c r="V122" s="5"/>
      <c r="W122" s="13"/>
      <c r="X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c r="BI122" s="13"/>
      <c r="BJ122" s="13"/>
      <c r="BK122" s="13"/>
      <c r="BL122" s="13"/>
      <c r="BM122" s="13"/>
      <c r="BN122" s="13"/>
      <c r="BO122" s="13"/>
      <c r="BP122" s="13"/>
      <c r="BQ122" s="13"/>
      <c r="BR122" s="13"/>
      <c r="BS122" s="13"/>
      <c r="BT122" s="13"/>
      <c r="BU122" s="13"/>
      <c r="BV122" s="13"/>
      <c r="BW122" s="13"/>
      <c r="BX122" s="13"/>
      <c r="BY122" s="13"/>
      <c r="BZ122" s="13"/>
      <c r="CA122" s="13"/>
      <c r="CB122" s="13"/>
      <c r="CC122" s="13"/>
      <c r="CD122" s="13"/>
      <c r="CE122" s="13"/>
      <c r="CF122" s="13"/>
      <c r="CG122" s="13"/>
      <c r="CH122" s="13"/>
      <c r="CI122" s="13"/>
      <c r="CJ122" s="13"/>
      <c r="CK122" s="13"/>
      <c r="CL122" s="13"/>
      <c r="CM122" s="13"/>
      <c r="CN122" s="13"/>
      <c r="CO122" s="13"/>
      <c r="CP122" s="13"/>
      <c r="CQ122" s="13"/>
    </row>
    <row r="123" spans="1:95" ht="16.5" customHeight="1" x14ac:dyDescent="0.2">
      <c r="A123" s="38"/>
      <c r="B123" s="1731" t="s">
        <v>375</v>
      </c>
      <c r="C123" s="1731"/>
      <c r="D123" s="1731"/>
      <c r="E123" s="514"/>
      <c r="F123" s="392">
        <v>1</v>
      </c>
      <c r="G123" s="13"/>
      <c r="H123" s="5"/>
      <c r="I123" s="101"/>
      <c r="J123" s="5"/>
      <c r="K123" s="5"/>
      <c r="L123" s="5"/>
      <c r="M123" s="5"/>
      <c r="N123" s="5"/>
      <c r="O123" s="5"/>
      <c r="P123" s="5"/>
      <c r="Q123" s="5"/>
      <c r="R123" s="5"/>
      <c r="S123" s="5"/>
      <c r="T123" s="5"/>
      <c r="U123" s="5"/>
      <c r="V123" s="5"/>
      <c r="W123" s="13"/>
      <c r="X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c r="BI123" s="13"/>
      <c r="BJ123" s="13"/>
      <c r="BK123" s="13"/>
      <c r="BL123" s="13"/>
      <c r="BM123" s="13"/>
      <c r="BN123" s="13"/>
      <c r="BO123" s="13"/>
      <c r="BP123" s="13"/>
      <c r="BQ123" s="13"/>
      <c r="BR123" s="13"/>
      <c r="BS123" s="13"/>
      <c r="BT123" s="13"/>
      <c r="BU123" s="13"/>
      <c r="BV123" s="13"/>
      <c r="BW123" s="13"/>
      <c r="BX123" s="13"/>
      <c r="BY123" s="13"/>
      <c r="BZ123" s="13"/>
      <c r="CA123" s="13"/>
      <c r="CB123" s="13"/>
      <c r="CC123" s="13"/>
      <c r="CD123" s="13"/>
      <c r="CE123" s="13"/>
      <c r="CF123" s="13"/>
      <c r="CG123" s="13"/>
      <c r="CH123" s="13"/>
      <c r="CI123" s="13"/>
      <c r="CJ123" s="13"/>
      <c r="CK123" s="13"/>
      <c r="CL123" s="13"/>
      <c r="CM123" s="13"/>
      <c r="CN123" s="13"/>
      <c r="CO123" s="13"/>
      <c r="CP123" s="13"/>
      <c r="CQ123" s="13"/>
    </row>
    <row r="124" spans="1:95" ht="16.5" customHeight="1" x14ac:dyDescent="0.2">
      <c r="A124" s="38"/>
      <c r="B124" s="1731" t="s">
        <v>376</v>
      </c>
      <c r="C124" s="1731"/>
      <c r="D124" s="1731"/>
      <c r="E124" s="514"/>
      <c r="F124" s="392">
        <v>2</v>
      </c>
      <c r="G124" s="13"/>
      <c r="H124" s="5"/>
      <c r="I124" s="101"/>
      <c r="J124" s="5"/>
      <c r="K124" s="5"/>
      <c r="L124" s="5"/>
      <c r="M124" s="5"/>
      <c r="N124" s="5"/>
      <c r="O124" s="5"/>
      <c r="P124" s="5"/>
      <c r="Q124" s="5"/>
      <c r="R124" s="5"/>
      <c r="S124" s="5"/>
      <c r="T124" s="5"/>
      <c r="U124" s="5"/>
      <c r="V124" s="5"/>
      <c r="W124" s="13"/>
      <c r="X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c r="BI124" s="13"/>
      <c r="BJ124" s="13"/>
      <c r="BK124" s="13"/>
      <c r="BL124" s="13"/>
      <c r="BM124" s="13"/>
      <c r="BN124" s="13"/>
      <c r="BO124" s="13"/>
      <c r="BP124" s="13"/>
      <c r="BQ124" s="13"/>
      <c r="BR124" s="13"/>
      <c r="BS124" s="13"/>
      <c r="BT124" s="13"/>
      <c r="BU124" s="13"/>
      <c r="BV124" s="13"/>
      <c r="BW124" s="13"/>
      <c r="BX124" s="13"/>
      <c r="BY124" s="13"/>
      <c r="BZ124" s="13"/>
      <c r="CA124" s="13"/>
      <c r="CB124" s="13"/>
      <c r="CC124" s="13"/>
      <c r="CD124" s="13"/>
      <c r="CE124" s="13"/>
      <c r="CF124" s="13"/>
      <c r="CG124" s="13"/>
      <c r="CH124" s="13"/>
      <c r="CI124" s="13"/>
      <c r="CJ124" s="13"/>
      <c r="CK124" s="13"/>
      <c r="CL124" s="13"/>
      <c r="CM124" s="13"/>
      <c r="CN124" s="13"/>
      <c r="CO124" s="13"/>
      <c r="CP124" s="13"/>
      <c r="CQ124" s="13"/>
    </row>
    <row r="125" spans="1:95" ht="15.75" customHeight="1" x14ac:dyDescent="0.2">
      <c r="A125" s="38"/>
      <c r="B125" s="1782" t="s">
        <v>377</v>
      </c>
      <c r="C125" s="1731" t="s">
        <v>378</v>
      </c>
      <c r="D125" s="1731"/>
      <c r="E125" s="514"/>
      <c r="F125" s="392">
        <v>0.4</v>
      </c>
      <c r="G125" s="13"/>
      <c r="H125" s="5"/>
      <c r="I125" s="101"/>
      <c r="J125" s="5"/>
      <c r="K125" s="5"/>
      <c r="L125" s="5"/>
      <c r="M125" s="5"/>
      <c r="N125" s="5"/>
      <c r="O125" s="5"/>
      <c r="P125" s="5"/>
      <c r="Q125" s="5"/>
      <c r="R125" s="5"/>
      <c r="S125" s="5"/>
      <c r="T125" s="5"/>
      <c r="U125" s="5"/>
      <c r="V125" s="5"/>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13"/>
      <c r="BL125" s="13"/>
      <c r="BM125" s="13"/>
      <c r="BN125" s="13"/>
      <c r="BO125" s="13"/>
      <c r="BP125" s="13"/>
      <c r="BQ125" s="13"/>
      <c r="BR125" s="13"/>
      <c r="BS125" s="13"/>
      <c r="BT125" s="13"/>
      <c r="BU125" s="13"/>
      <c r="BV125" s="13"/>
      <c r="BW125" s="13"/>
      <c r="BX125" s="13"/>
      <c r="BY125" s="13"/>
      <c r="BZ125" s="13"/>
      <c r="CA125" s="13"/>
      <c r="CB125" s="13"/>
      <c r="CC125" s="13"/>
      <c r="CD125" s="13"/>
      <c r="CE125" s="13"/>
      <c r="CF125" s="13"/>
      <c r="CG125" s="13"/>
      <c r="CH125" s="13"/>
      <c r="CI125" s="13"/>
      <c r="CJ125" s="13"/>
      <c r="CK125" s="13"/>
      <c r="CL125" s="13"/>
      <c r="CM125" s="13"/>
      <c r="CN125" s="13"/>
      <c r="CO125" s="13"/>
      <c r="CP125" s="13"/>
      <c r="CQ125" s="13"/>
    </row>
    <row r="126" spans="1:95" ht="16.5" customHeight="1" x14ac:dyDescent="0.2">
      <c r="A126" s="38"/>
      <c r="B126" s="1811"/>
      <c r="C126" s="1731" t="s">
        <v>379</v>
      </c>
      <c r="D126" s="1731"/>
      <c r="E126" s="514"/>
      <c r="F126" s="392">
        <v>0.4</v>
      </c>
      <c r="G126" s="13"/>
      <c r="H126" s="5"/>
      <c r="I126" s="101"/>
      <c r="J126" s="5"/>
      <c r="K126" s="5"/>
      <c r="L126" s="5"/>
      <c r="M126" s="5"/>
      <c r="N126" s="5"/>
      <c r="O126" s="5"/>
      <c r="P126" s="5"/>
      <c r="Q126" s="5"/>
      <c r="R126" s="5"/>
      <c r="S126" s="5"/>
      <c r="T126" s="5"/>
      <c r="U126" s="5"/>
      <c r="V126" s="5"/>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c r="BI126" s="13"/>
      <c r="BJ126" s="13"/>
      <c r="BK126" s="13"/>
      <c r="BL126" s="13"/>
      <c r="BM126" s="13"/>
      <c r="BN126" s="13"/>
      <c r="BO126" s="13"/>
      <c r="BP126" s="13"/>
      <c r="BQ126" s="13"/>
      <c r="BR126" s="13"/>
      <c r="BS126" s="13"/>
      <c r="BT126" s="13"/>
      <c r="BU126" s="13"/>
      <c r="BV126" s="13"/>
      <c r="BW126" s="13"/>
      <c r="BX126" s="13"/>
      <c r="BY126" s="13"/>
      <c r="BZ126" s="13"/>
      <c r="CA126" s="13"/>
      <c r="CB126" s="13"/>
      <c r="CC126" s="13"/>
      <c r="CD126" s="13"/>
      <c r="CE126" s="13"/>
      <c r="CF126" s="13"/>
      <c r="CG126" s="13"/>
      <c r="CH126" s="13"/>
      <c r="CI126" s="13"/>
      <c r="CJ126" s="13"/>
      <c r="CK126" s="13"/>
      <c r="CL126" s="13"/>
      <c r="CM126" s="13"/>
      <c r="CN126" s="13"/>
      <c r="CO126" s="13"/>
      <c r="CP126" s="13"/>
      <c r="CQ126" s="13"/>
    </row>
    <row r="127" spans="1:95" ht="17.25" customHeight="1" x14ac:dyDescent="0.2">
      <c r="A127" s="38"/>
      <c r="B127" s="1790"/>
      <c r="C127" s="1871" t="s">
        <v>380</v>
      </c>
      <c r="D127" s="1872"/>
      <c r="E127" s="514"/>
      <c r="F127" s="392">
        <v>0.2</v>
      </c>
      <c r="G127" s="13"/>
      <c r="H127" s="5"/>
      <c r="I127" s="101"/>
      <c r="J127" s="5"/>
      <c r="K127" s="5"/>
      <c r="L127" s="5"/>
      <c r="M127" s="5"/>
      <c r="N127" s="5"/>
      <c r="O127" s="5"/>
      <c r="P127" s="5"/>
      <c r="Q127" s="5"/>
      <c r="R127" s="5"/>
      <c r="S127" s="5"/>
      <c r="T127" s="5"/>
      <c r="U127" s="5"/>
      <c r="V127" s="5"/>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c r="BI127" s="13"/>
      <c r="BJ127" s="13"/>
      <c r="BK127" s="13"/>
      <c r="BL127" s="13"/>
      <c r="BM127" s="13"/>
      <c r="BN127" s="13"/>
      <c r="BO127" s="13"/>
      <c r="BP127" s="13"/>
      <c r="BQ127" s="13"/>
      <c r="BR127" s="13"/>
      <c r="BS127" s="13"/>
      <c r="BT127" s="13"/>
      <c r="BU127" s="13"/>
      <c r="BV127" s="13"/>
      <c r="BW127" s="13"/>
      <c r="BX127" s="13"/>
      <c r="BY127" s="13"/>
      <c r="BZ127" s="13"/>
      <c r="CA127" s="13"/>
      <c r="CB127" s="13"/>
      <c r="CC127" s="13"/>
      <c r="CD127" s="13"/>
      <c r="CE127" s="13"/>
      <c r="CF127" s="13"/>
      <c r="CG127" s="13"/>
      <c r="CH127" s="13"/>
      <c r="CI127" s="13"/>
      <c r="CJ127" s="13"/>
      <c r="CK127" s="13"/>
      <c r="CL127" s="13"/>
      <c r="CM127" s="13"/>
      <c r="CN127" s="13"/>
      <c r="CO127" s="13"/>
      <c r="CP127" s="13"/>
      <c r="CQ127" s="13"/>
    </row>
    <row r="128" spans="1:95" ht="16.5" customHeight="1" x14ac:dyDescent="0.2">
      <c r="A128" s="38"/>
      <c r="B128" s="653" t="s">
        <v>381</v>
      </c>
      <c r="C128" s="159"/>
      <c r="D128" s="196" t="s">
        <v>382</v>
      </c>
      <c r="E128" s="110"/>
      <c r="F128" s="160"/>
      <c r="G128" s="13"/>
      <c r="H128" s="5"/>
      <c r="I128" s="101"/>
      <c r="J128" s="5"/>
      <c r="K128" s="5"/>
      <c r="L128" s="5"/>
      <c r="M128" s="5"/>
      <c r="N128" s="5"/>
      <c r="O128" s="5"/>
      <c r="P128" s="5"/>
      <c r="Q128" s="5"/>
      <c r="R128" s="5"/>
      <c r="S128" s="5"/>
      <c r="T128" s="5"/>
      <c r="U128" s="5"/>
      <c r="V128" s="5"/>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c r="BL128" s="13"/>
      <c r="BM128" s="13"/>
      <c r="BN128" s="13"/>
      <c r="BO128" s="13"/>
      <c r="BP128" s="13"/>
      <c r="BQ128" s="13"/>
      <c r="BR128" s="13"/>
      <c r="BS128" s="13"/>
      <c r="BT128" s="13"/>
      <c r="BU128" s="13"/>
      <c r="BV128" s="13"/>
      <c r="BW128" s="13"/>
      <c r="BX128" s="13"/>
      <c r="BY128" s="13"/>
      <c r="BZ128" s="13"/>
      <c r="CA128" s="13"/>
      <c r="CB128" s="13"/>
      <c r="CC128" s="13"/>
      <c r="CD128" s="13"/>
      <c r="CE128" s="13"/>
      <c r="CF128" s="13"/>
      <c r="CG128" s="13"/>
      <c r="CH128" s="13"/>
      <c r="CI128" s="13"/>
      <c r="CJ128" s="13"/>
      <c r="CK128" s="13"/>
      <c r="CL128" s="13"/>
      <c r="CM128" s="13"/>
      <c r="CN128" s="13"/>
      <c r="CO128" s="13"/>
      <c r="CP128" s="13"/>
      <c r="CQ128" s="13"/>
    </row>
    <row r="129" spans="1:95" ht="14.25" customHeight="1" x14ac:dyDescent="0.2">
      <c r="A129" s="38"/>
      <c r="B129" s="290" t="s">
        <v>274</v>
      </c>
      <c r="C129" s="638">
        <f>((+E120*F120+E121*F121+E122+E123+E124*2+E125*F125+E126*F126+E127*F127)/7)</f>
        <v>0</v>
      </c>
      <c r="D129" s="386" t="s">
        <v>383</v>
      </c>
      <c r="E129" s="122"/>
      <c r="F129" s="122"/>
      <c r="G129" s="122"/>
      <c r="H129" s="122"/>
      <c r="I129" s="101"/>
      <c r="J129" s="5"/>
      <c r="K129" s="5"/>
      <c r="L129" s="5"/>
      <c r="M129" s="5"/>
      <c r="N129" s="5"/>
      <c r="O129" s="5"/>
      <c r="P129" s="5"/>
      <c r="Q129" s="5"/>
      <c r="R129" s="5"/>
      <c r="S129" s="5"/>
      <c r="T129" s="5"/>
      <c r="U129" s="5"/>
      <c r="V129" s="5"/>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c r="BI129" s="13"/>
      <c r="BJ129" s="13"/>
      <c r="BK129" s="13"/>
      <c r="BL129" s="13"/>
      <c r="BM129" s="13"/>
      <c r="BN129" s="13"/>
      <c r="BO129" s="13"/>
      <c r="BP129" s="13"/>
      <c r="BQ129" s="13"/>
      <c r="BR129" s="13"/>
      <c r="BS129" s="13"/>
      <c r="BT129" s="13"/>
      <c r="BU129" s="13"/>
      <c r="BV129" s="13"/>
      <c r="BW129" s="13"/>
      <c r="BX129" s="13"/>
      <c r="BY129" s="13"/>
      <c r="BZ129" s="13"/>
      <c r="CA129" s="13"/>
      <c r="CB129" s="13"/>
      <c r="CC129" s="13"/>
      <c r="CD129" s="13"/>
      <c r="CE129" s="13"/>
      <c r="CF129" s="13"/>
      <c r="CG129" s="13"/>
      <c r="CH129" s="13"/>
      <c r="CI129" s="13"/>
      <c r="CJ129" s="13"/>
      <c r="CK129" s="13"/>
      <c r="CL129" s="13"/>
      <c r="CM129" s="13"/>
      <c r="CN129" s="13"/>
      <c r="CO129" s="13"/>
      <c r="CP129" s="13"/>
      <c r="CQ129" s="13"/>
    </row>
    <row r="130" spans="1:95" ht="16.5" customHeight="1" x14ac:dyDescent="0.2">
      <c r="A130" s="38"/>
      <c r="B130" s="135"/>
      <c r="C130" s="161"/>
      <c r="D130" s="110"/>
      <c r="E130" s="110"/>
      <c r="F130" s="110"/>
      <c r="G130" s="110"/>
      <c r="H130" s="138"/>
      <c r="I130" s="138"/>
      <c r="J130" s="137"/>
      <c r="K130" s="5"/>
      <c r="L130" s="5"/>
      <c r="M130" s="5"/>
      <c r="N130" s="5"/>
      <c r="O130" s="5"/>
      <c r="P130" s="5"/>
      <c r="Q130" s="5"/>
      <c r="R130" s="5"/>
      <c r="S130" s="5"/>
      <c r="T130" s="5"/>
      <c r="U130" s="5"/>
      <c r="V130" s="5"/>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c r="BI130" s="13"/>
      <c r="BJ130" s="13"/>
      <c r="BK130" s="13"/>
      <c r="BL130" s="13"/>
      <c r="BM130" s="13"/>
      <c r="BN130" s="13"/>
      <c r="BO130" s="13"/>
      <c r="BP130" s="13"/>
      <c r="BQ130" s="13"/>
      <c r="BR130" s="13"/>
      <c r="BS130" s="13"/>
      <c r="BT130" s="13"/>
      <c r="BU130" s="13"/>
      <c r="BV130" s="13"/>
      <c r="BW130" s="13"/>
      <c r="BX130" s="13"/>
      <c r="BY130" s="13"/>
      <c r="BZ130" s="13"/>
      <c r="CA130" s="13"/>
      <c r="CB130" s="13"/>
      <c r="CC130" s="13"/>
      <c r="CD130" s="13"/>
      <c r="CE130" s="13"/>
      <c r="CF130" s="13"/>
      <c r="CG130" s="13"/>
      <c r="CH130" s="13"/>
      <c r="CI130" s="13"/>
      <c r="CJ130" s="13"/>
      <c r="CK130" s="13"/>
      <c r="CL130" s="13"/>
      <c r="CM130" s="13"/>
      <c r="CN130" s="13"/>
      <c r="CO130" s="13"/>
      <c r="CP130" s="13"/>
      <c r="CQ130" s="13"/>
    </row>
    <row r="131" spans="1:95" ht="21" customHeight="1" x14ac:dyDescent="0.2">
      <c r="A131" s="615">
        <v>9</v>
      </c>
      <c r="B131" s="703" t="s">
        <v>384</v>
      </c>
      <c r="C131" s="651"/>
      <c r="D131" s="651"/>
      <c r="E131" s="651"/>
      <c r="F131" s="651"/>
      <c r="G131" s="651"/>
      <c r="H131" s="652"/>
      <c r="I131" s="101"/>
      <c r="J131" s="137"/>
      <c r="K131" s="13"/>
      <c r="L131" s="13"/>
      <c r="M131" s="5"/>
      <c r="N131" s="5"/>
      <c r="O131" s="5"/>
      <c r="P131" s="5"/>
      <c r="Q131" s="5"/>
      <c r="R131" s="5"/>
      <c r="S131" s="5"/>
      <c r="T131" s="5"/>
      <c r="U131" s="5"/>
      <c r="V131" s="5"/>
      <c r="W131" s="13"/>
      <c r="X131" s="13"/>
      <c r="AA131" s="13"/>
      <c r="AB131" s="13"/>
      <c r="AC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c r="BI131" s="13"/>
      <c r="BJ131" s="13"/>
      <c r="BK131" s="13"/>
      <c r="BL131" s="13"/>
      <c r="BM131" s="13"/>
      <c r="BN131" s="13"/>
      <c r="BO131" s="13"/>
      <c r="BP131" s="13"/>
      <c r="BQ131" s="13"/>
      <c r="BR131" s="13"/>
      <c r="BS131" s="13"/>
      <c r="BT131" s="13"/>
      <c r="BU131" s="13"/>
      <c r="BV131" s="13"/>
      <c r="BW131" s="13"/>
      <c r="BX131" s="13"/>
      <c r="BY131" s="13"/>
      <c r="BZ131" s="13"/>
      <c r="CA131" s="13"/>
      <c r="CB131" s="13"/>
      <c r="CC131" s="13"/>
      <c r="CD131" s="13"/>
      <c r="CE131" s="13"/>
      <c r="CF131" s="13"/>
      <c r="CG131" s="13"/>
      <c r="CH131" s="13"/>
      <c r="CI131" s="13"/>
      <c r="CJ131" s="13"/>
      <c r="CK131" s="13"/>
      <c r="CL131" s="13"/>
      <c r="CM131" s="13"/>
      <c r="CN131" s="13"/>
      <c r="CO131" s="13"/>
      <c r="CP131" s="13"/>
      <c r="CQ131" s="13"/>
    </row>
    <row r="132" spans="1:95" ht="18" customHeight="1" x14ac:dyDescent="0.2">
      <c r="A132" s="38"/>
      <c r="B132" s="1339"/>
      <c r="C132" s="1340"/>
      <c r="D132" s="1340"/>
      <c r="E132" s="1866" t="s">
        <v>370</v>
      </c>
      <c r="F132" s="1725" t="s">
        <v>179</v>
      </c>
      <c r="G132" s="13"/>
      <c r="H132" s="137"/>
      <c r="I132" s="101"/>
      <c r="J132" s="137"/>
      <c r="K132" s="13"/>
      <c r="L132" s="13"/>
      <c r="M132" s="5"/>
      <c r="N132" s="5"/>
      <c r="O132" s="13"/>
      <c r="P132" s="13"/>
      <c r="Q132" s="5"/>
      <c r="R132" s="5"/>
      <c r="S132" s="5"/>
      <c r="T132" s="5"/>
      <c r="U132" s="5"/>
      <c r="V132" s="5"/>
      <c r="W132" s="13"/>
      <c r="X132" s="13"/>
      <c r="AA132" s="13"/>
      <c r="AB132" s="13"/>
      <c r="AC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c r="BI132" s="13"/>
      <c r="BJ132" s="13"/>
      <c r="BK132" s="13"/>
      <c r="BL132" s="13"/>
      <c r="BM132" s="13"/>
      <c r="BN132" s="13"/>
      <c r="BO132" s="13"/>
      <c r="BP132" s="13"/>
      <c r="BQ132" s="13"/>
      <c r="BR132" s="13"/>
      <c r="BS132" s="13"/>
      <c r="BT132" s="13"/>
      <c r="BU132" s="13"/>
      <c r="BV132" s="13"/>
      <c r="BW132" s="13"/>
      <c r="BX132" s="13"/>
      <c r="BY132" s="13"/>
      <c r="BZ132" s="13"/>
      <c r="CA132" s="13"/>
      <c r="CB132" s="13"/>
      <c r="CC132" s="13"/>
      <c r="CD132" s="13"/>
      <c r="CE132" s="13"/>
      <c r="CF132" s="13"/>
      <c r="CG132" s="13"/>
      <c r="CH132" s="13"/>
      <c r="CI132" s="13"/>
      <c r="CJ132" s="13"/>
      <c r="CK132" s="13"/>
      <c r="CL132" s="13"/>
      <c r="CM132" s="13"/>
      <c r="CN132" s="13"/>
      <c r="CO132" s="13"/>
      <c r="CP132" s="13"/>
      <c r="CQ132" s="13"/>
    </row>
    <row r="133" spans="1:95" ht="33.75" customHeight="1" x14ac:dyDescent="0.2">
      <c r="A133" s="38"/>
      <c r="B133" s="150"/>
      <c r="C133" s="126"/>
      <c r="D133" s="126"/>
      <c r="E133" s="1748"/>
      <c r="F133" s="1725"/>
      <c r="G133" s="13"/>
      <c r="H133" s="137"/>
      <c r="I133" s="101"/>
      <c r="J133" s="137"/>
      <c r="K133" s="13"/>
      <c r="L133" s="13"/>
      <c r="M133" s="5"/>
      <c r="N133" s="5"/>
      <c r="O133" s="13"/>
      <c r="P133" s="13"/>
      <c r="Q133" s="5"/>
      <c r="R133" s="5"/>
      <c r="S133" s="5"/>
      <c r="T133" s="5"/>
      <c r="U133" s="5"/>
      <c r="V133" s="5"/>
      <c r="W133" s="13"/>
      <c r="X133" s="13"/>
      <c r="AA133" s="13"/>
      <c r="AB133" s="13"/>
      <c r="AC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c r="BI133" s="13"/>
      <c r="BJ133" s="13"/>
      <c r="BK133" s="13"/>
      <c r="BL133" s="13"/>
      <c r="BM133" s="13"/>
      <c r="BN133" s="13"/>
      <c r="BO133" s="13"/>
      <c r="BP133" s="13"/>
      <c r="BQ133" s="13"/>
      <c r="BR133" s="13"/>
      <c r="BS133" s="13"/>
      <c r="BT133" s="13"/>
      <c r="BU133" s="13"/>
      <c r="BV133" s="13"/>
      <c r="BW133" s="13"/>
      <c r="BX133" s="13"/>
      <c r="BY133" s="13"/>
      <c r="BZ133" s="13"/>
      <c r="CA133" s="13"/>
      <c r="CB133" s="13"/>
      <c r="CC133" s="13"/>
      <c r="CD133" s="13"/>
      <c r="CE133" s="13"/>
      <c r="CF133" s="13"/>
      <c r="CG133" s="13"/>
      <c r="CH133" s="13"/>
      <c r="CI133" s="13"/>
      <c r="CJ133" s="13"/>
      <c r="CK133" s="13"/>
      <c r="CL133" s="13"/>
      <c r="CM133" s="13"/>
      <c r="CN133" s="13"/>
      <c r="CO133" s="13"/>
      <c r="CP133" s="13"/>
      <c r="CQ133" s="13"/>
    </row>
    <row r="134" spans="1:95" ht="29.25" customHeight="1" x14ac:dyDescent="0.2">
      <c r="A134" s="38"/>
      <c r="B134" s="1731" t="s">
        <v>385</v>
      </c>
      <c r="C134" s="1731"/>
      <c r="D134" s="1731"/>
      <c r="E134" s="407"/>
      <c r="F134" s="392">
        <v>0.4</v>
      </c>
      <c r="G134" s="13"/>
      <c r="H134" s="137"/>
      <c r="I134" s="101"/>
      <c r="J134" s="137"/>
      <c r="K134" s="13"/>
      <c r="L134" s="13"/>
      <c r="M134" s="5"/>
      <c r="N134" s="5"/>
      <c r="O134" s="13"/>
      <c r="P134" s="13"/>
      <c r="Q134" s="5"/>
      <c r="R134" s="5"/>
      <c r="S134" s="5"/>
      <c r="T134" s="5"/>
      <c r="U134" s="5"/>
      <c r="V134" s="5"/>
      <c r="W134" s="13"/>
      <c r="X134" s="13"/>
      <c r="AA134" s="13"/>
      <c r="AB134" s="13"/>
      <c r="AC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3"/>
      <c r="CA134" s="13"/>
      <c r="CB134" s="13"/>
      <c r="CC134" s="13"/>
      <c r="CD134" s="13"/>
      <c r="CE134" s="13"/>
      <c r="CF134" s="13"/>
      <c r="CG134" s="13"/>
      <c r="CH134" s="13"/>
      <c r="CI134" s="13"/>
      <c r="CJ134" s="13"/>
      <c r="CK134" s="13"/>
      <c r="CL134" s="13"/>
      <c r="CM134" s="13"/>
      <c r="CN134" s="13"/>
      <c r="CO134" s="13"/>
      <c r="CP134" s="13"/>
      <c r="CQ134" s="13"/>
    </row>
    <row r="135" spans="1:95" ht="15.75" customHeight="1" x14ac:dyDescent="0.2">
      <c r="A135" s="38"/>
      <c r="B135" s="1731" t="s">
        <v>386</v>
      </c>
      <c r="C135" s="1731"/>
      <c r="D135" s="1731"/>
      <c r="E135" s="407"/>
      <c r="F135" s="392">
        <v>0.4</v>
      </c>
      <c r="G135" s="13"/>
      <c r="H135" s="137"/>
      <c r="I135" s="101"/>
      <c r="J135" s="137"/>
      <c r="K135" s="13"/>
      <c r="L135" s="13"/>
      <c r="M135" s="5"/>
      <c r="N135" s="5"/>
      <c r="O135" s="13"/>
      <c r="P135" s="13"/>
      <c r="Q135" s="5"/>
      <c r="R135" s="5"/>
      <c r="S135" s="5"/>
      <c r="T135" s="5"/>
      <c r="U135" s="5"/>
      <c r="V135" s="5"/>
      <c r="W135" s="13"/>
      <c r="X135" s="13"/>
      <c r="Y135" s="13"/>
      <c r="Z135" s="13"/>
      <c r="AA135" s="13"/>
      <c r="AB135" s="13"/>
      <c r="AC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row>
    <row r="136" spans="1:95" ht="15.75" customHeight="1" x14ac:dyDescent="0.2">
      <c r="A136" s="38"/>
      <c r="B136" s="1731" t="s">
        <v>387</v>
      </c>
      <c r="C136" s="1731"/>
      <c r="D136" s="1731"/>
      <c r="E136" s="338"/>
      <c r="F136" s="392">
        <v>0.3</v>
      </c>
      <c r="G136" s="13"/>
      <c r="H136" s="137"/>
      <c r="I136" s="101"/>
      <c r="J136" s="137"/>
      <c r="K136" s="13"/>
      <c r="L136" s="13"/>
      <c r="M136" s="5"/>
      <c r="N136" s="5"/>
      <c r="O136" s="13"/>
      <c r="P136" s="13"/>
      <c r="Q136" s="5"/>
      <c r="R136" s="5"/>
      <c r="S136" s="5"/>
      <c r="T136" s="5"/>
      <c r="U136" s="5"/>
      <c r="V136" s="5"/>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row>
    <row r="137" spans="1:95" ht="18" customHeight="1" x14ac:dyDescent="0.2">
      <c r="A137" s="38"/>
      <c r="B137" s="655" t="s">
        <v>388</v>
      </c>
      <c r="C137" s="1911"/>
      <c r="D137" s="1912"/>
      <c r="E137" s="1913"/>
      <c r="F137" s="393"/>
      <c r="G137" s="13"/>
      <c r="H137" s="137"/>
      <c r="I137" s="101"/>
      <c r="J137" s="137"/>
      <c r="K137" s="13"/>
      <c r="L137" s="13"/>
      <c r="M137" s="5"/>
      <c r="N137" s="5"/>
      <c r="O137" s="13"/>
      <c r="P137" s="13"/>
      <c r="Q137" s="5"/>
      <c r="R137" s="5"/>
      <c r="S137" s="5"/>
      <c r="T137" s="5"/>
      <c r="U137" s="5"/>
      <c r="V137" s="5"/>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c r="BV137" s="13"/>
      <c r="BW137" s="13"/>
      <c r="BX137" s="13"/>
      <c r="BY137" s="13"/>
      <c r="BZ137" s="13"/>
      <c r="CA137" s="13"/>
      <c r="CB137" s="13"/>
      <c r="CC137" s="13"/>
      <c r="CD137" s="13"/>
      <c r="CE137" s="13"/>
      <c r="CF137" s="13"/>
      <c r="CG137" s="13"/>
      <c r="CH137" s="13"/>
      <c r="CI137" s="13"/>
      <c r="CJ137" s="13"/>
      <c r="CK137" s="13"/>
      <c r="CL137" s="13"/>
      <c r="CM137" s="13"/>
      <c r="CN137" s="13"/>
      <c r="CO137" s="13"/>
      <c r="CP137" s="13"/>
      <c r="CQ137" s="13"/>
    </row>
    <row r="138" spans="1:95" ht="16.5" customHeight="1" x14ac:dyDescent="0.2">
      <c r="A138" s="38"/>
      <c r="B138" s="1731" t="s">
        <v>389</v>
      </c>
      <c r="C138" s="1754"/>
      <c r="D138" s="1754"/>
      <c r="E138" s="1341"/>
      <c r="F138" s="392">
        <v>0.4</v>
      </c>
      <c r="G138" s="13"/>
      <c r="H138" s="137"/>
      <c r="I138" s="101"/>
      <c r="J138" s="137"/>
      <c r="K138" s="13"/>
      <c r="L138" s="13"/>
      <c r="M138" s="5"/>
      <c r="N138" s="5"/>
      <c r="O138" s="13"/>
      <c r="P138" s="13"/>
      <c r="Q138" s="5"/>
      <c r="R138" s="5"/>
      <c r="S138" s="5"/>
      <c r="T138" s="5"/>
      <c r="U138" s="5"/>
      <c r="V138" s="5"/>
      <c r="W138" s="13"/>
      <c r="X138" s="13"/>
      <c r="Y138" s="13"/>
      <c r="Z138" s="13"/>
      <c r="AA138" s="13"/>
      <c r="AB138" s="13"/>
      <c r="AC138" s="13"/>
      <c r="AD138" s="137"/>
      <c r="AE138" s="137"/>
      <c r="AF138" s="137"/>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c r="BI138" s="13"/>
      <c r="BJ138" s="13"/>
      <c r="BK138" s="13"/>
      <c r="BL138" s="13"/>
      <c r="BM138" s="13"/>
      <c r="BN138" s="13"/>
      <c r="BO138" s="13"/>
      <c r="BP138" s="13"/>
      <c r="BQ138" s="13"/>
      <c r="BR138" s="13"/>
      <c r="BS138" s="13"/>
      <c r="BT138" s="13"/>
      <c r="BU138" s="13"/>
      <c r="BV138" s="13"/>
      <c r="BW138" s="13"/>
      <c r="BX138" s="13"/>
      <c r="BY138" s="13"/>
      <c r="BZ138" s="13"/>
      <c r="CA138" s="13"/>
      <c r="CB138" s="13"/>
      <c r="CC138" s="13"/>
      <c r="CD138" s="13"/>
      <c r="CE138" s="13"/>
      <c r="CF138" s="13"/>
      <c r="CG138" s="13"/>
      <c r="CH138" s="13"/>
      <c r="CI138" s="13"/>
      <c r="CJ138" s="13"/>
      <c r="CK138" s="13"/>
      <c r="CL138" s="13"/>
      <c r="CM138" s="13"/>
      <c r="CN138" s="13"/>
      <c r="CO138" s="13"/>
      <c r="CP138" s="13"/>
      <c r="CQ138" s="13"/>
    </row>
    <row r="139" spans="1:95" ht="18" customHeight="1" x14ac:dyDescent="0.2">
      <c r="A139" s="38"/>
      <c r="B139" s="654" t="s">
        <v>388</v>
      </c>
      <c r="C139" s="1911"/>
      <c r="D139" s="1912"/>
      <c r="E139" s="1913"/>
      <c r="F139" s="351"/>
      <c r="G139" s="13"/>
      <c r="H139" s="137"/>
      <c r="I139" s="101"/>
      <c r="J139" s="137"/>
      <c r="K139" s="13"/>
      <c r="L139" s="13"/>
      <c r="M139" s="5"/>
      <c r="N139" s="5"/>
      <c r="O139" s="13"/>
      <c r="P139" s="13"/>
      <c r="Q139" s="5"/>
      <c r="R139" s="5"/>
      <c r="S139" s="5"/>
      <c r="T139" s="5"/>
      <c r="U139" s="5"/>
      <c r="V139" s="5"/>
      <c r="W139" s="13"/>
      <c r="X139" s="13"/>
      <c r="Y139" s="13"/>
      <c r="Z139" s="13"/>
      <c r="AA139" s="13"/>
      <c r="AB139" s="13"/>
      <c r="AC139" s="13"/>
      <c r="AD139" s="137"/>
      <c r="AE139" s="137"/>
      <c r="AF139" s="137"/>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c r="BI139" s="13"/>
      <c r="BJ139" s="13"/>
      <c r="BK139" s="13"/>
      <c r="BL139" s="13"/>
      <c r="BM139" s="13"/>
      <c r="BN139" s="13"/>
      <c r="BO139" s="13"/>
      <c r="BP139" s="13"/>
      <c r="BQ139" s="13"/>
      <c r="BR139" s="13"/>
      <c r="BS139" s="13"/>
      <c r="BT139" s="13"/>
      <c r="BU139" s="13"/>
      <c r="BV139" s="13"/>
      <c r="BW139" s="13"/>
      <c r="BX139" s="13"/>
      <c r="BY139" s="13"/>
      <c r="BZ139" s="13"/>
      <c r="CA139" s="13"/>
      <c r="CB139" s="13"/>
      <c r="CC139" s="13"/>
      <c r="CD139" s="13"/>
      <c r="CE139" s="13"/>
      <c r="CF139" s="13"/>
      <c r="CG139" s="13"/>
      <c r="CH139" s="13"/>
      <c r="CI139" s="13"/>
      <c r="CJ139" s="13"/>
      <c r="CK139" s="13"/>
      <c r="CL139" s="13"/>
      <c r="CM139" s="13"/>
      <c r="CN139" s="13"/>
      <c r="CO139" s="13"/>
      <c r="CP139" s="13"/>
      <c r="CQ139" s="13"/>
    </row>
    <row r="140" spans="1:95" ht="15" customHeight="1" x14ac:dyDescent="0.2">
      <c r="A140" s="38"/>
      <c r="B140" s="1867" t="s">
        <v>390</v>
      </c>
      <c r="C140" s="1582"/>
      <c r="D140" s="1582"/>
      <c r="E140" s="1582"/>
      <c r="F140" s="1582"/>
      <c r="G140" s="1582"/>
      <c r="H140" s="1806"/>
      <c r="I140" s="101"/>
      <c r="J140" s="137"/>
      <c r="K140" s="13"/>
      <c r="L140" s="13"/>
      <c r="M140" s="5"/>
      <c r="N140" s="5"/>
      <c r="O140" s="5"/>
      <c r="P140" s="5"/>
      <c r="Q140" s="5"/>
      <c r="R140" s="5"/>
      <c r="S140" s="5"/>
      <c r="T140" s="5"/>
      <c r="U140" s="5"/>
      <c r="V140" s="5"/>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c r="BI140" s="13"/>
      <c r="BJ140" s="13"/>
      <c r="BK140" s="13"/>
      <c r="BL140" s="13"/>
      <c r="BM140" s="13"/>
      <c r="BN140" s="13"/>
      <c r="BO140" s="13"/>
      <c r="BP140" s="13"/>
      <c r="BQ140" s="13"/>
      <c r="BR140" s="13"/>
      <c r="BS140" s="13"/>
      <c r="BT140" s="13"/>
      <c r="BU140" s="13"/>
      <c r="BV140" s="13"/>
      <c r="BW140" s="13"/>
      <c r="BX140" s="13"/>
      <c r="BY140" s="13"/>
      <c r="BZ140" s="13"/>
      <c r="CA140" s="13"/>
      <c r="CB140" s="13"/>
      <c r="CC140" s="13"/>
      <c r="CD140" s="13"/>
      <c r="CE140" s="13"/>
      <c r="CF140" s="13"/>
      <c r="CG140" s="13"/>
      <c r="CH140" s="13"/>
      <c r="CI140" s="13"/>
      <c r="CJ140" s="13"/>
      <c r="CK140" s="13"/>
      <c r="CL140" s="13"/>
      <c r="CM140" s="13"/>
      <c r="CN140" s="13"/>
      <c r="CO140" s="13"/>
      <c r="CP140" s="13"/>
      <c r="CQ140" s="13"/>
    </row>
    <row r="141" spans="1:95" ht="16.5" customHeight="1" x14ac:dyDescent="0.2">
      <c r="A141" s="38"/>
      <c r="B141" s="290" t="s">
        <v>274</v>
      </c>
      <c r="C141" s="638">
        <f>IF('GUIA DE APLICAÇÃO'!F698&gt;1,1,'GUIA DE APLICAÇÃO'!F698)</f>
        <v>0</v>
      </c>
      <c r="D141" s="1323"/>
      <c r="E141" s="1323"/>
      <c r="F141" s="1323"/>
      <c r="G141" s="1323"/>
      <c r="H141" s="1324"/>
      <c r="I141" s="101"/>
      <c r="J141" s="137"/>
      <c r="K141" s="13"/>
      <c r="L141" s="13"/>
      <c r="M141" s="5"/>
      <c r="N141" s="5"/>
      <c r="O141" s="5"/>
      <c r="P141" s="5"/>
      <c r="Q141" s="5"/>
      <c r="R141" s="5"/>
      <c r="S141" s="5"/>
      <c r="T141" s="5"/>
      <c r="U141" s="5"/>
      <c r="V141" s="5"/>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c r="BI141" s="13"/>
      <c r="BJ141" s="13"/>
      <c r="BK141" s="13"/>
      <c r="BL141" s="13"/>
      <c r="BM141" s="13"/>
      <c r="BN141" s="13"/>
      <c r="BO141" s="13"/>
      <c r="BP141" s="13"/>
      <c r="BQ141" s="13"/>
      <c r="BR141" s="13"/>
      <c r="BS141" s="13"/>
      <c r="BT141" s="13"/>
      <c r="BU141" s="13"/>
      <c r="BV141" s="13"/>
      <c r="BW141" s="13"/>
      <c r="BX141" s="13"/>
      <c r="BY141" s="13"/>
      <c r="BZ141" s="13"/>
      <c r="CA141" s="13"/>
      <c r="CB141" s="13"/>
      <c r="CC141" s="13"/>
      <c r="CD141" s="13"/>
      <c r="CE141" s="13"/>
      <c r="CF141" s="13"/>
      <c r="CG141" s="13"/>
      <c r="CH141" s="13"/>
      <c r="CI141" s="13"/>
      <c r="CJ141" s="13"/>
      <c r="CK141" s="13"/>
      <c r="CL141" s="13"/>
      <c r="CM141" s="13"/>
      <c r="CN141" s="13"/>
      <c r="CO141" s="13"/>
      <c r="CP141" s="13"/>
      <c r="CQ141" s="13"/>
    </row>
    <row r="142" spans="1:95" ht="16.5" customHeight="1" x14ac:dyDescent="0.2">
      <c r="A142" s="38"/>
      <c r="B142" s="636"/>
      <c r="C142" s="161"/>
      <c r="D142" s="148"/>
      <c r="E142" s="110"/>
      <c r="F142" s="110"/>
      <c r="G142" s="110"/>
      <c r="H142" s="110"/>
      <c r="I142" s="694"/>
      <c r="J142" s="137"/>
      <c r="K142" s="13"/>
      <c r="L142" s="13"/>
      <c r="M142" s="5"/>
      <c r="N142" s="5"/>
      <c r="O142" s="5"/>
      <c r="P142" s="5"/>
      <c r="Q142" s="5"/>
      <c r="R142" s="5"/>
      <c r="S142" s="5"/>
      <c r="T142" s="5"/>
      <c r="U142" s="5"/>
      <c r="V142" s="5"/>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c r="BI142" s="13"/>
      <c r="BJ142" s="13"/>
      <c r="BK142" s="13"/>
      <c r="BL142" s="13"/>
      <c r="BM142" s="13"/>
      <c r="BN142" s="13"/>
      <c r="BO142" s="13"/>
      <c r="BP142" s="13"/>
      <c r="BQ142" s="13"/>
      <c r="BR142" s="13"/>
      <c r="BS142" s="13"/>
      <c r="BT142" s="13"/>
      <c r="BU142" s="13"/>
      <c r="BV142" s="13"/>
      <c r="BW142" s="13"/>
      <c r="BX142" s="13"/>
      <c r="BY142" s="13"/>
      <c r="BZ142" s="13"/>
      <c r="CA142" s="13"/>
      <c r="CB142" s="13"/>
      <c r="CC142" s="13"/>
      <c r="CD142" s="13"/>
      <c r="CE142" s="13"/>
      <c r="CF142" s="13"/>
      <c r="CG142" s="13"/>
      <c r="CH142" s="13"/>
      <c r="CI142" s="13"/>
      <c r="CJ142" s="13"/>
      <c r="CK142" s="13"/>
      <c r="CL142" s="13"/>
      <c r="CM142" s="13"/>
      <c r="CN142" s="13"/>
      <c r="CO142" s="13"/>
      <c r="CP142" s="13"/>
      <c r="CQ142" s="13"/>
    </row>
    <row r="143" spans="1:95" ht="19.5" customHeight="1" x14ac:dyDescent="0.2">
      <c r="A143" s="615">
        <v>10</v>
      </c>
      <c r="B143" s="703" t="s">
        <v>391</v>
      </c>
      <c r="C143" s="651"/>
      <c r="D143" s="651"/>
      <c r="E143" s="651"/>
      <c r="F143" s="651"/>
      <c r="G143" s="651"/>
      <c r="H143" s="652"/>
      <c r="I143" s="101"/>
      <c r="J143" s="5"/>
      <c r="K143" s="5"/>
      <c r="L143" s="5"/>
      <c r="M143" s="5"/>
      <c r="N143" s="5"/>
      <c r="O143" s="5"/>
      <c r="P143" s="5"/>
      <c r="Q143" s="5"/>
      <c r="R143" s="5"/>
      <c r="S143" s="5"/>
      <c r="T143" s="5"/>
      <c r="U143" s="5"/>
      <c r="V143" s="5"/>
      <c r="W143" s="13"/>
      <c r="X143" s="13"/>
      <c r="AA143" s="13"/>
      <c r="AB143" s="13"/>
      <c r="AC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c r="BI143" s="13"/>
      <c r="BJ143" s="13"/>
      <c r="BK143" s="13"/>
      <c r="BL143" s="13"/>
      <c r="BM143" s="13"/>
      <c r="BN143" s="13"/>
      <c r="BO143" s="13"/>
      <c r="BP143" s="13"/>
      <c r="BQ143" s="13"/>
      <c r="BR143" s="13"/>
      <c r="BS143" s="13"/>
      <c r="BT143" s="13"/>
      <c r="BU143" s="13"/>
      <c r="BV143" s="13"/>
      <c r="BW143" s="13"/>
      <c r="BX143" s="13"/>
      <c r="BY143" s="13"/>
      <c r="BZ143" s="13"/>
      <c r="CA143" s="13"/>
      <c r="CB143" s="13"/>
      <c r="CC143" s="13"/>
      <c r="CD143" s="13"/>
      <c r="CE143" s="13"/>
      <c r="CF143" s="13"/>
      <c r="CG143" s="13"/>
      <c r="CH143" s="13"/>
      <c r="CI143" s="13"/>
      <c r="CJ143" s="13"/>
      <c r="CK143" s="13"/>
      <c r="CL143" s="13"/>
      <c r="CM143" s="13"/>
      <c r="CN143" s="13"/>
      <c r="CO143" s="13"/>
      <c r="CP143" s="13"/>
      <c r="CQ143" s="13"/>
    </row>
    <row r="144" spans="1:95" ht="15" customHeight="1" x14ac:dyDescent="0.2">
      <c r="A144" s="13"/>
      <c r="B144" s="1869"/>
      <c r="C144" s="1870"/>
      <c r="D144" s="1870"/>
      <c r="E144" s="1870"/>
      <c r="F144" s="1866" t="s">
        <v>392</v>
      </c>
      <c r="G144" s="5"/>
      <c r="H144" s="1868" t="s">
        <v>179</v>
      </c>
      <c r="I144" s="101"/>
      <c r="J144" s="5"/>
      <c r="K144" s="5"/>
      <c r="L144" s="5"/>
      <c r="M144" s="5"/>
      <c r="N144" s="5"/>
      <c r="O144" s="5"/>
      <c r="P144" s="5"/>
      <c r="Q144" s="5"/>
      <c r="R144" s="5"/>
      <c r="S144" s="5"/>
      <c r="T144" s="5"/>
      <c r="U144" s="5"/>
      <c r="V144" s="5"/>
      <c r="W144" s="13"/>
      <c r="X144" s="13"/>
      <c r="AA144" s="13"/>
      <c r="AB144" s="13"/>
      <c r="AC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c r="BI144" s="13"/>
      <c r="BJ144" s="13"/>
      <c r="BK144" s="13"/>
      <c r="BL144" s="13"/>
      <c r="BM144" s="13"/>
      <c r="BN144" s="13"/>
      <c r="BO144" s="13"/>
      <c r="BP144" s="13"/>
      <c r="BQ144" s="13"/>
      <c r="BR144" s="13"/>
      <c r="BS144" s="13"/>
      <c r="BT144" s="13"/>
      <c r="BU144" s="13"/>
      <c r="BV144" s="13"/>
      <c r="BW144" s="13"/>
      <c r="BX144" s="13"/>
      <c r="BY144" s="13"/>
      <c r="BZ144" s="13"/>
      <c r="CA144" s="13"/>
      <c r="CB144" s="13"/>
      <c r="CC144" s="13"/>
      <c r="CD144" s="13"/>
      <c r="CE144" s="13"/>
      <c r="CF144" s="13"/>
      <c r="CG144" s="13"/>
      <c r="CH144" s="13"/>
      <c r="CI144" s="13"/>
      <c r="CJ144" s="13"/>
      <c r="CK144" s="13"/>
      <c r="CL144" s="13"/>
      <c r="CM144" s="13"/>
      <c r="CN144" s="13"/>
      <c r="CO144" s="13"/>
      <c r="CP144" s="13"/>
      <c r="CQ144" s="13"/>
    </row>
    <row r="145" spans="1:95" ht="15" customHeight="1" x14ac:dyDescent="0.2">
      <c r="A145" s="13"/>
      <c r="B145" s="1925" t="s">
        <v>393</v>
      </c>
      <c r="C145" s="1780"/>
      <c r="D145" s="1780"/>
      <c r="E145" s="1780"/>
      <c r="F145" s="1748"/>
      <c r="G145" s="5"/>
      <c r="H145" s="1868"/>
      <c r="I145" s="101"/>
      <c r="J145" s="5"/>
      <c r="K145" s="5"/>
      <c r="L145" s="5"/>
      <c r="M145" s="5"/>
      <c r="N145" s="5"/>
      <c r="O145" s="5"/>
      <c r="P145" s="5"/>
      <c r="Q145" s="5"/>
      <c r="R145" s="5"/>
      <c r="S145" s="5"/>
      <c r="T145" s="5"/>
      <c r="U145" s="5"/>
      <c r="V145" s="5"/>
      <c r="W145" s="13"/>
      <c r="X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c r="BI145" s="13"/>
      <c r="BJ145" s="13"/>
      <c r="BK145" s="13"/>
      <c r="BL145" s="13"/>
      <c r="BM145" s="13"/>
      <c r="BN145" s="13"/>
      <c r="BO145" s="13"/>
      <c r="BP145" s="13"/>
      <c r="BQ145" s="13"/>
      <c r="BR145" s="13"/>
      <c r="BS145" s="13"/>
      <c r="BT145" s="13"/>
      <c r="BU145" s="13"/>
      <c r="BV145" s="13"/>
      <c r="BW145" s="13"/>
      <c r="BX145" s="13"/>
      <c r="BY145" s="13"/>
      <c r="BZ145" s="13"/>
      <c r="CA145" s="13"/>
      <c r="CB145" s="13"/>
      <c r="CC145" s="13"/>
      <c r="CD145" s="13"/>
      <c r="CE145" s="13"/>
      <c r="CF145" s="13"/>
      <c r="CG145" s="13"/>
      <c r="CH145" s="13"/>
      <c r="CI145" s="13"/>
      <c r="CJ145" s="13"/>
      <c r="CK145" s="13"/>
      <c r="CL145" s="13"/>
      <c r="CM145" s="13"/>
      <c r="CN145" s="13"/>
      <c r="CO145" s="13"/>
      <c r="CP145" s="13"/>
      <c r="CQ145" s="13"/>
    </row>
    <row r="146" spans="1:95" ht="31.5" customHeight="1" x14ac:dyDescent="0.2">
      <c r="A146" s="13"/>
      <c r="B146" s="1731" t="s">
        <v>394</v>
      </c>
      <c r="C146" s="1731"/>
      <c r="D146" s="1731"/>
      <c r="E146" s="1731"/>
      <c r="F146" s="656"/>
      <c r="G146" s="383"/>
      <c r="H146" s="389">
        <v>1</v>
      </c>
      <c r="I146" s="101"/>
      <c r="J146" s="5"/>
      <c r="K146" s="5"/>
      <c r="L146" s="5"/>
      <c r="M146" s="5"/>
      <c r="N146" s="5"/>
      <c r="O146" s="5"/>
      <c r="P146" s="5"/>
      <c r="Q146" s="5"/>
      <c r="R146" s="5"/>
      <c r="S146" s="5"/>
      <c r="T146" s="5"/>
      <c r="U146" s="5"/>
      <c r="V146" s="5"/>
      <c r="W146" s="13"/>
      <c r="X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c r="BI146" s="13"/>
      <c r="BJ146" s="13"/>
      <c r="BK146" s="13"/>
      <c r="BL146" s="13"/>
      <c r="BM146" s="13"/>
      <c r="BN146" s="13"/>
      <c r="BO146" s="13"/>
      <c r="BP146" s="13"/>
      <c r="BQ146" s="13"/>
      <c r="BR146" s="13"/>
      <c r="BS146" s="13"/>
      <c r="BT146" s="13"/>
      <c r="BU146" s="13"/>
      <c r="BV146" s="13"/>
      <c r="BW146" s="13"/>
      <c r="BX146" s="13"/>
      <c r="BY146" s="13"/>
      <c r="BZ146" s="13"/>
      <c r="CA146" s="13"/>
      <c r="CB146" s="13"/>
      <c r="CC146" s="13"/>
      <c r="CD146" s="13"/>
      <c r="CE146" s="13"/>
      <c r="CF146" s="13"/>
      <c r="CG146" s="13"/>
      <c r="CH146" s="13"/>
      <c r="CI146" s="13"/>
      <c r="CJ146" s="13"/>
      <c r="CK146" s="13"/>
      <c r="CL146" s="13"/>
      <c r="CM146" s="13"/>
      <c r="CN146" s="13"/>
      <c r="CO146" s="13"/>
      <c r="CP146" s="13"/>
      <c r="CQ146" s="13"/>
    </row>
    <row r="147" spans="1:95" ht="17.25" customHeight="1" x14ac:dyDescent="0.2">
      <c r="A147" s="13"/>
      <c r="B147" s="1731" t="s">
        <v>395</v>
      </c>
      <c r="C147" s="1731"/>
      <c r="D147" s="1731"/>
      <c r="E147" s="1731"/>
      <c r="F147" s="656"/>
      <c r="G147" s="383" t="str">
        <f>IF(ISBLANK(F147),'GUIA DE APLICAÇÃO'!$K$706," ")</f>
        <v>Não se aplica</v>
      </c>
      <c r="H147" s="389">
        <v>1</v>
      </c>
      <c r="I147" s="101"/>
      <c r="J147" s="5"/>
      <c r="K147" s="5"/>
      <c r="L147" s="5"/>
      <c r="M147" s="5"/>
      <c r="N147" s="5"/>
      <c r="O147" s="5"/>
      <c r="P147" s="5"/>
      <c r="Q147" s="5"/>
      <c r="R147" s="5"/>
      <c r="S147" s="5"/>
      <c r="T147" s="5"/>
      <c r="U147" s="5"/>
      <c r="V147" s="5"/>
      <c r="W147" s="13"/>
      <c r="X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c r="BI147" s="13"/>
      <c r="BJ147" s="13"/>
      <c r="BK147" s="13"/>
      <c r="BL147" s="13"/>
      <c r="BM147" s="13"/>
      <c r="BN147" s="13"/>
      <c r="BO147" s="13"/>
      <c r="BP147" s="13"/>
      <c r="BQ147" s="13"/>
      <c r="BR147" s="13"/>
      <c r="BS147" s="13"/>
      <c r="BT147" s="13"/>
      <c r="BU147" s="13"/>
      <c r="BV147" s="13"/>
      <c r="BW147" s="13"/>
      <c r="BX147" s="13"/>
      <c r="BY147" s="13"/>
      <c r="BZ147" s="13"/>
      <c r="CA147" s="13"/>
      <c r="CB147" s="13"/>
      <c r="CC147" s="13"/>
      <c r="CD147" s="13"/>
      <c r="CE147" s="13"/>
      <c r="CF147" s="13"/>
      <c r="CG147" s="13"/>
      <c r="CH147" s="13"/>
      <c r="CI147" s="13"/>
      <c r="CJ147" s="13"/>
      <c r="CK147" s="13"/>
      <c r="CL147" s="13"/>
      <c r="CM147" s="13"/>
      <c r="CN147" s="13"/>
      <c r="CO147" s="13"/>
      <c r="CP147" s="13"/>
      <c r="CQ147" s="13"/>
    </row>
    <row r="148" spans="1:95" ht="17.25" customHeight="1" x14ac:dyDescent="0.2">
      <c r="A148" s="13"/>
      <c r="B148" s="1731" t="s">
        <v>396</v>
      </c>
      <c r="C148" s="1731"/>
      <c r="D148" s="1731"/>
      <c r="E148" s="1731"/>
      <c r="F148" s="657"/>
      <c r="G148" s="383"/>
      <c r="H148" s="389">
        <v>1</v>
      </c>
      <c r="I148" s="101"/>
      <c r="J148" s="5"/>
      <c r="K148" s="5"/>
      <c r="L148" s="5"/>
      <c r="M148" s="5"/>
      <c r="N148" s="5"/>
      <c r="O148" s="5"/>
      <c r="P148" s="5"/>
      <c r="Q148" s="5"/>
      <c r="R148" s="5"/>
      <c r="S148" s="5"/>
      <c r="T148" s="5"/>
      <c r="U148" s="5"/>
      <c r="V148" s="5"/>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c r="BI148" s="13"/>
      <c r="BJ148" s="13"/>
      <c r="BK148" s="13"/>
      <c r="BL148" s="13"/>
      <c r="BM148" s="13"/>
      <c r="BN148" s="13"/>
      <c r="BO148" s="13"/>
      <c r="BP148" s="13"/>
      <c r="BQ148" s="13"/>
      <c r="BR148" s="13"/>
      <c r="BS148" s="13"/>
      <c r="BT148" s="13"/>
      <c r="BU148" s="13"/>
      <c r="BV148" s="13"/>
      <c r="BW148" s="13"/>
      <c r="BX148" s="13"/>
      <c r="BY148" s="13"/>
      <c r="BZ148" s="13"/>
      <c r="CA148" s="13"/>
      <c r="CB148" s="13"/>
      <c r="CC148" s="13"/>
      <c r="CD148" s="13"/>
      <c r="CE148" s="13"/>
      <c r="CF148" s="13"/>
      <c r="CG148" s="13"/>
      <c r="CH148" s="13"/>
      <c r="CI148" s="13"/>
      <c r="CJ148" s="13"/>
      <c r="CK148" s="13"/>
      <c r="CL148" s="13"/>
      <c r="CM148" s="13"/>
      <c r="CN148" s="13"/>
      <c r="CO148" s="13"/>
      <c r="CP148" s="13"/>
      <c r="CQ148" s="13"/>
    </row>
    <row r="149" spans="1:95" ht="27.75" customHeight="1" x14ac:dyDescent="0.2">
      <c r="A149" s="13"/>
      <c r="B149" s="1731" t="s">
        <v>397</v>
      </c>
      <c r="C149" s="1731"/>
      <c r="D149" s="1731"/>
      <c r="E149" s="1731"/>
      <c r="F149" s="657"/>
      <c r="G149" s="383" t="str">
        <f>IF(ISBLANK(F149),'GUIA DE APLICAÇÃO'!$K$706," ")</f>
        <v>Não se aplica</v>
      </c>
      <c r="H149" s="389">
        <v>1</v>
      </c>
      <c r="I149" s="101"/>
      <c r="J149" s="5"/>
      <c r="K149" s="5"/>
      <c r="L149" s="5"/>
      <c r="M149" s="5"/>
      <c r="N149" s="5"/>
      <c r="O149" s="5"/>
      <c r="P149" s="5"/>
      <c r="Q149" s="5"/>
      <c r="R149" s="5"/>
      <c r="S149" s="5"/>
      <c r="T149" s="5"/>
      <c r="U149" s="5"/>
      <c r="V149" s="5"/>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c r="BI149" s="13"/>
      <c r="BJ149" s="13"/>
      <c r="BK149" s="13"/>
      <c r="BL149" s="13"/>
      <c r="BM149" s="13"/>
      <c r="BN149" s="13"/>
      <c r="BO149" s="13"/>
      <c r="BP149" s="13"/>
      <c r="BQ149" s="13"/>
      <c r="BR149" s="13"/>
      <c r="BS149" s="13"/>
      <c r="BT149" s="13"/>
      <c r="BU149" s="13"/>
      <c r="BV149" s="13"/>
      <c r="BW149" s="13"/>
      <c r="BX149" s="13"/>
      <c r="BY149" s="13"/>
      <c r="BZ149" s="13"/>
      <c r="CA149" s="13"/>
      <c r="CB149" s="13"/>
      <c r="CC149" s="13"/>
      <c r="CD149" s="13"/>
      <c r="CE149" s="13"/>
      <c r="CF149" s="13"/>
      <c r="CG149" s="13"/>
      <c r="CH149" s="13"/>
      <c r="CI149" s="13"/>
      <c r="CJ149" s="13"/>
      <c r="CK149" s="13"/>
      <c r="CL149" s="13"/>
      <c r="CM149" s="13"/>
      <c r="CN149" s="13"/>
      <c r="CO149" s="13"/>
      <c r="CP149" s="13"/>
      <c r="CQ149" s="13"/>
    </row>
    <row r="150" spans="1:95" ht="21.75" customHeight="1" x14ac:dyDescent="0.2">
      <c r="A150" s="13"/>
      <c r="B150" s="1731" t="s">
        <v>398</v>
      </c>
      <c r="C150" s="1731"/>
      <c r="D150" s="1731"/>
      <c r="E150" s="1731"/>
      <c r="F150" s="657"/>
      <c r="G150" s="383" t="str">
        <f>IF(ISBLANK(F150),'GUIA DE APLICAÇÃO'!$K$706," ")</f>
        <v>Não se aplica</v>
      </c>
      <c r="H150" s="389">
        <v>1</v>
      </c>
      <c r="I150" s="101"/>
      <c r="J150" s="5"/>
      <c r="K150" s="5"/>
      <c r="L150" s="5"/>
      <c r="M150" s="5"/>
      <c r="N150" s="5"/>
      <c r="O150" s="5"/>
      <c r="P150" s="5"/>
      <c r="Q150" s="5"/>
      <c r="R150" s="5"/>
      <c r="S150" s="5"/>
      <c r="T150" s="5"/>
      <c r="U150" s="5"/>
      <c r="V150" s="5"/>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c r="BI150" s="13"/>
      <c r="BJ150" s="13"/>
      <c r="BK150" s="13"/>
      <c r="BL150" s="13"/>
      <c r="BM150" s="13"/>
      <c r="BN150" s="13"/>
      <c r="BO150" s="13"/>
      <c r="BP150" s="13"/>
      <c r="BQ150" s="13"/>
      <c r="BR150" s="13"/>
      <c r="BS150" s="13"/>
      <c r="BT150" s="13"/>
      <c r="BU150" s="13"/>
      <c r="BV150" s="13"/>
      <c r="BW150" s="13"/>
      <c r="BX150" s="13"/>
      <c r="BY150" s="13"/>
      <c r="BZ150" s="13"/>
      <c r="CA150" s="13"/>
      <c r="CB150" s="13"/>
      <c r="CC150" s="13"/>
      <c r="CD150" s="13"/>
      <c r="CE150" s="13"/>
      <c r="CF150" s="13"/>
      <c r="CG150" s="13"/>
      <c r="CH150" s="13"/>
      <c r="CI150" s="13"/>
      <c r="CJ150" s="13"/>
      <c r="CK150" s="13"/>
      <c r="CL150" s="13"/>
      <c r="CM150" s="13"/>
      <c r="CN150" s="13"/>
      <c r="CO150" s="13"/>
      <c r="CP150" s="13"/>
      <c r="CQ150" s="13"/>
    </row>
    <row r="151" spans="1:95" ht="16.5" customHeight="1" x14ac:dyDescent="0.2">
      <c r="A151" s="13"/>
      <c r="B151" s="830" t="s">
        <v>399</v>
      </c>
      <c r="C151" s="110"/>
      <c r="D151" s="110"/>
      <c r="E151" s="110"/>
      <c r="F151" s="110"/>
      <c r="H151" s="110"/>
      <c r="I151" s="101"/>
      <c r="J151" s="5"/>
      <c r="K151" s="5"/>
      <c r="L151" s="5"/>
      <c r="M151" s="5"/>
      <c r="N151" s="5"/>
      <c r="O151" s="5"/>
      <c r="P151" s="5"/>
      <c r="Q151" s="5"/>
      <c r="R151" s="5"/>
      <c r="S151" s="5"/>
      <c r="T151" s="5"/>
      <c r="U151" s="5"/>
      <c r="V151" s="5"/>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c r="BI151" s="13"/>
      <c r="BJ151" s="13"/>
      <c r="BK151" s="13"/>
      <c r="BL151" s="13"/>
      <c r="BM151" s="13"/>
      <c r="BN151" s="13"/>
      <c r="BO151" s="13"/>
      <c r="BP151" s="13"/>
      <c r="BQ151" s="13"/>
      <c r="BR151" s="13"/>
      <c r="BS151" s="13"/>
      <c r="BT151" s="13"/>
      <c r="BU151" s="13"/>
      <c r="BV151" s="13"/>
      <c r="BW151" s="13"/>
      <c r="BX151" s="13"/>
      <c r="BY151" s="13"/>
      <c r="BZ151" s="13"/>
      <c r="CA151" s="13"/>
      <c r="CB151" s="13"/>
      <c r="CC151" s="13"/>
      <c r="CD151" s="13"/>
      <c r="CE151" s="13"/>
      <c r="CF151" s="13"/>
      <c r="CG151" s="13"/>
      <c r="CH151" s="13"/>
      <c r="CI151" s="13"/>
      <c r="CJ151" s="13"/>
      <c r="CK151" s="13"/>
      <c r="CL151" s="13"/>
      <c r="CM151" s="13"/>
      <c r="CN151" s="13"/>
      <c r="CO151" s="13"/>
      <c r="CP151" s="13"/>
      <c r="CQ151" s="13"/>
    </row>
    <row r="152" spans="1:95" ht="16.5" customHeight="1" x14ac:dyDescent="0.2">
      <c r="A152" s="13"/>
      <c r="B152" s="572"/>
      <c r="D152" s="1764" t="s">
        <v>400</v>
      </c>
      <c r="E152" s="1764"/>
      <c r="F152" s="1764"/>
      <c r="H152" s="110"/>
      <c r="I152" s="101"/>
      <c r="J152" s="5"/>
      <c r="K152" s="5"/>
      <c r="L152" s="5"/>
      <c r="M152" s="5"/>
      <c r="N152" s="5"/>
      <c r="O152" s="5"/>
      <c r="P152" s="5"/>
      <c r="Q152" s="5"/>
      <c r="R152" s="5"/>
      <c r="S152" s="5"/>
      <c r="T152" s="5"/>
      <c r="U152" s="5"/>
      <c r="V152" s="5"/>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c r="BI152" s="13"/>
      <c r="BJ152" s="13"/>
      <c r="BK152" s="13"/>
      <c r="BL152" s="13"/>
      <c r="BM152" s="13"/>
      <c r="BN152" s="13"/>
      <c r="BO152" s="13"/>
      <c r="BP152" s="13"/>
      <c r="BQ152" s="13"/>
      <c r="BR152" s="13"/>
      <c r="BS152" s="13"/>
      <c r="BT152" s="13"/>
      <c r="BU152" s="13"/>
      <c r="BV152" s="13"/>
      <c r="BW152" s="13"/>
      <c r="BX152" s="13"/>
      <c r="BY152" s="13"/>
      <c r="BZ152" s="13"/>
      <c r="CA152" s="13"/>
      <c r="CB152" s="13"/>
      <c r="CC152" s="13"/>
      <c r="CD152" s="13"/>
      <c r="CE152" s="13"/>
      <c r="CF152" s="13"/>
      <c r="CG152" s="13"/>
      <c r="CH152" s="13"/>
      <c r="CI152" s="13"/>
      <c r="CJ152" s="13"/>
      <c r="CK152" s="13"/>
      <c r="CL152" s="13"/>
      <c r="CM152" s="13"/>
      <c r="CN152" s="13"/>
      <c r="CO152" s="13"/>
      <c r="CP152" s="13"/>
      <c r="CQ152" s="13"/>
    </row>
    <row r="153" spans="1:95" ht="16.5" customHeight="1" x14ac:dyDescent="0.2">
      <c r="A153" s="13"/>
      <c r="B153" s="1857" t="s">
        <v>401</v>
      </c>
      <c r="C153" s="1857"/>
      <c r="D153" s="1857"/>
      <c r="E153" s="1857"/>
      <c r="F153" s="656"/>
      <c r="H153" s="110"/>
      <c r="I153" s="101"/>
      <c r="J153" s="5"/>
      <c r="K153" s="5"/>
      <c r="L153" s="5"/>
      <c r="M153" s="5"/>
      <c r="N153" s="5"/>
      <c r="O153" s="5"/>
      <c r="P153" s="5"/>
      <c r="Q153" s="5"/>
      <c r="R153" s="5"/>
      <c r="S153" s="5"/>
      <c r="T153" s="5"/>
      <c r="U153" s="5"/>
      <c r="V153" s="5"/>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c r="BI153" s="13"/>
      <c r="BJ153" s="13"/>
      <c r="BK153" s="13"/>
      <c r="BL153" s="13"/>
      <c r="BM153" s="13"/>
      <c r="BN153" s="13"/>
      <c r="BO153" s="13"/>
      <c r="BP153" s="13"/>
      <c r="BQ153" s="13"/>
      <c r="BR153" s="13"/>
      <c r="BS153" s="13"/>
      <c r="BT153" s="13"/>
      <c r="BU153" s="13"/>
      <c r="BV153" s="13"/>
      <c r="BW153" s="13"/>
      <c r="BX153" s="13"/>
      <c r="BY153" s="13"/>
      <c r="BZ153" s="13"/>
      <c r="CA153" s="13"/>
      <c r="CB153" s="13"/>
      <c r="CC153" s="13"/>
      <c r="CD153" s="13"/>
      <c r="CE153" s="13"/>
      <c r="CF153" s="13"/>
      <c r="CG153" s="13"/>
      <c r="CH153" s="13"/>
      <c r="CI153" s="13"/>
      <c r="CJ153" s="13"/>
      <c r="CK153" s="13"/>
      <c r="CL153" s="13"/>
      <c r="CM153" s="13"/>
      <c r="CN153" s="13"/>
      <c r="CO153" s="13"/>
      <c r="CP153" s="13"/>
      <c r="CQ153" s="13"/>
    </row>
    <row r="154" spans="1:95" ht="16.5" customHeight="1" x14ac:dyDescent="0.2">
      <c r="A154" s="13"/>
      <c r="B154" s="150"/>
      <c r="C154" s="110"/>
      <c r="D154" s="110"/>
      <c r="E154" s="110"/>
      <c r="F154" s="110"/>
      <c r="H154" s="110"/>
      <c r="I154" s="101"/>
      <c r="J154" s="5"/>
      <c r="K154" s="5"/>
      <c r="L154" s="5"/>
      <c r="M154" s="5"/>
      <c r="N154" s="5"/>
      <c r="O154" s="5"/>
      <c r="P154" s="5"/>
      <c r="Q154" s="5"/>
      <c r="R154" s="5"/>
      <c r="S154" s="5"/>
      <c r="T154" s="5"/>
      <c r="U154" s="5"/>
      <c r="V154" s="5"/>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c r="BI154" s="13"/>
      <c r="BJ154" s="13"/>
      <c r="BK154" s="13"/>
      <c r="BL154" s="13"/>
      <c r="BM154" s="13"/>
      <c r="BN154" s="13"/>
      <c r="BO154" s="13"/>
      <c r="BP154" s="13"/>
      <c r="BQ154" s="13"/>
      <c r="BR154" s="13"/>
      <c r="BS154" s="13"/>
      <c r="BT154" s="13"/>
      <c r="BU154" s="13"/>
      <c r="BV154" s="13"/>
      <c r="BW154" s="13"/>
      <c r="BX154" s="13"/>
      <c r="BY154" s="13"/>
      <c r="BZ154" s="13"/>
      <c r="CA154" s="13"/>
      <c r="CB154" s="13"/>
      <c r="CC154" s="13"/>
      <c r="CD154" s="13"/>
      <c r="CE154" s="13"/>
      <c r="CF154" s="13"/>
      <c r="CG154" s="13"/>
      <c r="CH154" s="13"/>
      <c r="CI154" s="13"/>
      <c r="CJ154" s="13"/>
      <c r="CK154" s="13"/>
      <c r="CL154" s="13"/>
      <c r="CM154" s="13"/>
      <c r="CN154" s="13"/>
      <c r="CO154" s="13"/>
      <c r="CP154" s="13"/>
      <c r="CQ154" s="13"/>
    </row>
    <row r="155" spans="1:95" ht="15" customHeight="1" x14ac:dyDescent="0.2">
      <c r="A155" s="13"/>
      <c r="B155" s="290" t="s">
        <v>274</v>
      </c>
      <c r="C155" s="638">
        <f>+'GUIA DE APLICAÇÃO'!F707</f>
        <v>0</v>
      </c>
      <c r="D155" s="385" t="s">
        <v>329</v>
      </c>
      <c r="E155" s="120"/>
      <c r="F155" s="122"/>
      <c r="G155" s="122"/>
      <c r="H155" s="122"/>
      <c r="I155" s="101"/>
      <c r="J155" s="5"/>
      <c r="K155" s="5"/>
      <c r="L155" s="5"/>
      <c r="M155" s="5"/>
      <c r="N155" s="5"/>
      <c r="O155" s="5"/>
      <c r="P155" s="5"/>
      <c r="Q155" s="5"/>
      <c r="R155" s="5"/>
      <c r="S155" s="5"/>
      <c r="T155" s="5"/>
      <c r="U155" s="5"/>
      <c r="V155" s="5"/>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c r="BI155" s="13"/>
      <c r="BJ155" s="13"/>
      <c r="BK155" s="13"/>
      <c r="BL155" s="13"/>
      <c r="BM155" s="13"/>
      <c r="BN155" s="13"/>
      <c r="BO155" s="13"/>
      <c r="BP155" s="13"/>
      <c r="BQ155" s="13"/>
      <c r="BR155" s="13"/>
      <c r="BS155" s="13"/>
      <c r="BT155" s="13"/>
      <c r="BU155" s="13"/>
      <c r="BV155" s="13"/>
      <c r="BW155" s="13"/>
      <c r="BX155" s="13"/>
      <c r="BY155" s="13"/>
      <c r="BZ155" s="13"/>
      <c r="CA155" s="13"/>
      <c r="CB155" s="13"/>
      <c r="CC155" s="13"/>
      <c r="CD155" s="13"/>
      <c r="CE155" s="13"/>
      <c r="CF155" s="13"/>
      <c r="CG155" s="13"/>
      <c r="CH155" s="13"/>
      <c r="CI155" s="13"/>
      <c r="CJ155" s="13"/>
      <c r="CK155" s="13"/>
      <c r="CL155" s="13"/>
      <c r="CM155" s="13"/>
      <c r="CN155" s="13"/>
      <c r="CO155" s="13"/>
      <c r="CP155" s="13"/>
      <c r="CQ155" s="13"/>
    </row>
    <row r="156" spans="1:95" ht="16.5" customHeight="1" x14ac:dyDescent="0.2">
      <c r="A156" s="13"/>
      <c r="B156" s="157"/>
      <c r="C156" s="149"/>
      <c r="D156" s="137"/>
      <c r="E156" s="110"/>
      <c r="F156" s="110"/>
      <c r="G156" s="110"/>
      <c r="H156" s="38"/>
      <c r="I156" s="38"/>
      <c r="J156" s="137"/>
      <c r="K156" s="5"/>
      <c r="L156" s="5"/>
      <c r="M156" s="5"/>
      <c r="N156" s="5"/>
      <c r="O156" s="5"/>
      <c r="P156" s="5"/>
      <c r="Q156" s="5"/>
      <c r="R156" s="5"/>
      <c r="S156" s="5"/>
      <c r="T156" s="5"/>
      <c r="U156" s="5"/>
      <c r="V156" s="5"/>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c r="BI156" s="13"/>
      <c r="BJ156" s="13"/>
      <c r="BK156" s="13"/>
      <c r="BL156" s="13"/>
      <c r="BM156" s="13"/>
      <c r="BN156" s="13"/>
      <c r="BO156" s="13"/>
      <c r="BP156" s="13"/>
      <c r="BQ156" s="13"/>
      <c r="BR156" s="13"/>
      <c r="BS156" s="13"/>
      <c r="BT156" s="13"/>
      <c r="BU156" s="13"/>
      <c r="BV156" s="13"/>
      <c r="BW156" s="13"/>
      <c r="BX156" s="13"/>
      <c r="BY156" s="13"/>
      <c r="BZ156" s="13"/>
      <c r="CA156" s="13"/>
      <c r="CB156" s="13"/>
      <c r="CC156" s="13"/>
      <c r="CD156" s="13"/>
      <c r="CE156" s="13"/>
      <c r="CF156" s="13"/>
      <c r="CG156" s="13"/>
      <c r="CH156" s="13"/>
      <c r="CI156" s="13"/>
      <c r="CJ156" s="13"/>
      <c r="CK156" s="13"/>
      <c r="CL156" s="13"/>
      <c r="CM156" s="13"/>
      <c r="CN156" s="13"/>
      <c r="CO156" s="13"/>
      <c r="CP156" s="13"/>
      <c r="CQ156" s="13"/>
    </row>
    <row r="157" spans="1:95" ht="20.25" customHeight="1" x14ac:dyDescent="0.2">
      <c r="A157" s="615">
        <v>11</v>
      </c>
      <c r="B157" s="703" t="s">
        <v>402</v>
      </c>
      <c r="C157" s="630"/>
      <c r="D157" s="630"/>
      <c r="E157" s="630"/>
      <c r="F157" s="630"/>
      <c r="G157" s="630"/>
      <c r="H157" s="631"/>
      <c r="I157" s="101"/>
      <c r="J157" s="5"/>
      <c r="K157" s="5"/>
      <c r="L157" s="5"/>
      <c r="M157" s="5"/>
      <c r="N157" s="5"/>
      <c r="O157" s="5"/>
      <c r="P157" s="5"/>
      <c r="Q157" s="5"/>
      <c r="R157" s="5"/>
      <c r="S157" s="5"/>
      <c r="T157" s="5"/>
      <c r="U157" s="5"/>
      <c r="V157" s="5"/>
      <c r="W157" s="13"/>
      <c r="X157" s="13"/>
      <c r="AA157" s="13"/>
      <c r="AB157" s="13"/>
      <c r="AC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c r="BI157" s="13"/>
      <c r="BJ157" s="13"/>
      <c r="BK157" s="13"/>
      <c r="BL157" s="13"/>
      <c r="BM157" s="13"/>
      <c r="BN157" s="13"/>
      <c r="BO157" s="13"/>
      <c r="BP157" s="13"/>
      <c r="BQ157" s="13"/>
      <c r="BR157" s="13"/>
      <c r="BS157" s="13"/>
      <c r="BT157" s="13"/>
      <c r="BU157" s="13"/>
      <c r="BV157" s="13"/>
      <c r="BW157" s="13"/>
      <c r="BX157" s="13"/>
      <c r="BY157" s="13"/>
      <c r="BZ157" s="13"/>
      <c r="CA157" s="13"/>
      <c r="CB157" s="13"/>
      <c r="CC157" s="13"/>
      <c r="CD157" s="13"/>
      <c r="CE157" s="13"/>
      <c r="CF157" s="13"/>
      <c r="CG157" s="13"/>
      <c r="CH157" s="13"/>
      <c r="CI157" s="13"/>
      <c r="CJ157" s="13"/>
      <c r="CK157" s="13"/>
      <c r="CL157" s="13"/>
      <c r="CM157" s="13"/>
      <c r="CN157" s="13"/>
      <c r="CO157" s="13"/>
      <c r="CP157" s="13"/>
      <c r="CQ157" s="13"/>
    </row>
    <row r="158" spans="1:95" ht="20.25" customHeight="1" x14ac:dyDescent="0.2">
      <c r="A158" s="13"/>
      <c r="B158" s="150"/>
      <c r="C158" s="5"/>
      <c r="D158" s="5"/>
      <c r="E158" s="1823" t="s">
        <v>403</v>
      </c>
      <c r="F158" s="5"/>
      <c r="G158" s="1725" t="s">
        <v>179</v>
      </c>
      <c r="H158" s="13"/>
      <c r="I158" s="101"/>
      <c r="J158" s="5"/>
      <c r="K158" s="5"/>
      <c r="L158" s="5"/>
      <c r="M158" s="5"/>
      <c r="N158" s="5"/>
      <c r="O158" s="5"/>
      <c r="P158" s="5"/>
      <c r="Q158" s="5"/>
      <c r="R158" s="5"/>
      <c r="S158" s="5"/>
      <c r="T158" s="5"/>
      <c r="U158" s="5"/>
      <c r="V158" s="5"/>
      <c r="W158" s="13"/>
      <c r="X158" s="13"/>
      <c r="AA158" s="13"/>
      <c r="AB158" s="13"/>
      <c r="AC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c r="BI158" s="13"/>
      <c r="BJ158" s="13"/>
      <c r="BK158" s="13"/>
      <c r="BL158" s="13"/>
      <c r="BM158" s="13"/>
      <c r="BN158" s="13"/>
      <c r="BO158" s="13"/>
      <c r="BP158" s="13"/>
      <c r="BQ158" s="13"/>
      <c r="BR158" s="13"/>
      <c r="BS158" s="13"/>
      <c r="BT158" s="13"/>
      <c r="BU158" s="13"/>
      <c r="BV158" s="13"/>
      <c r="BW158" s="13"/>
      <c r="BX158" s="13"/>
      <c r="BY158" s="13"/>
      <c r="BZ158" s="13"/>
      <c r="CA158" s="13"/>
      <c r="CB158" s="13"/>
      <c r="CC158" s="13"/>
      <c r="CD158" s="13"/>
      <c r="CE158" s="13"/>
      <c r="CF158" s="13"/>
      <c r="CG158" s="13"/>
      <c r="CH158" s="13"/>
      <c r="CI158" s="13"/>
      <c r="CJ158" s="13"/>
      <c r="CK158" s="13"/>
      <c r="CL158" s="13"/>
      <c r="CM158" s="13"/>
      <c r="CN158" s="13"/>
      <c r="CO158" s="13"/>
      <c r="CP158" s="13"/>
      <c r="CQ158" s="13"/>
    </row>
    <row r="159" spans="1:95" ht="16.5" customHeight="1" x14ac:dyDescent="0.2">
      <c r="A159" s="13"/>
      <c r="B159" s="150"/>
      <c r="C159" s="5"/>
      <c r="D159" s="5"/>
      <c r="E159" s="1824"/>
      <c r="F159" s="5"/>
      <c r="G159" s="1725"/>
      <c r="H159" s="13"/>
      <c r="I159" s="101"/>
      <c r="J159" s="5"/>
      <c r="K159" s="5"/>
      <c r="L159" s="5"/>
      <c r="M159" s="5"/>
      <c r="N159" s="5"/>
      <c r="O159" s="5"/>
      <c r="P159" s="5"/>
      <c r="Q159" s="5"/>
      <c r="R159" s="5"/>
      <c r="S159" s="5"/>
      <c r="T159" s="5"/>
      <c r="U159" s="5"/>
      <c r="V159" s="5"/>
      <c r="W159" s="13"/>
      <c r="X159" s="13"/>
      <c r="AA159" s="13"/>
      <c r="AB159" s="13"/>
      <c r="AC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c r="BI159" s="13"/>
      <c r="BJ159" s="13"/>
      <c r="BK159" s="13"/>
      <c r="BL159" s="13"/>
      <c r="BM159" s="13"/>
      <c r="BN159" s="13"/>
      <c r="BO159" s="13"/>
      <c r="BP159" s="13"/>
      <c r="BQ159" s="13"/>
      <c r="BR159" s="13"/>
      <c r="BS159" s="13"/>
      <c r="BT159" s="13"/>
      <c r="BU159" s="13"/>
      <c r="BV159" s="13"/>
      <c r="BW159" s="13"/>
      <c r="BX159" s="13"/>
      <c r="BY159" s="13"/>
      <c r="BZ159" s="13"/>
      <c r="CA159" s="13"/>
      <c r="CB159" s="13"/>
      <c r="CC159" s="13"/>
      <c r="CD159" s="13"/>
      <c r="CE159" s="13"/>
      <c r="CF159" s="13"/>
      <c r="CG159" s="13"/>
      <c r="CH159" s="13"/>
      <c r="CI159" s="13"/>
      <c r="CJ159" s="13"/>
      <c r="CK159" s="13"/>
      <c r="CL159" s="13"/>
      <c r="CM159" s="13"/>
      <c r="CN159" s="13"/>
      <c r="CO159" s="13"/>
      <c r="CP159" s="13"/>
      <c r="CQ159" s="13"/>
    </row>
    <row r="160" spans="1:95" ht="30.75" customHeight="1" x14ac:dyDescent="0.2">
      <c r="A160" s="13"/>
      <c r="B160" s="1721" t="s">
        <v>404</v>
      </c>
      <c r="C160" s="1722"/>
      <c r="D160" s="1722"/>
      <c r="E160" s="407"/>
      <c r="F160" s="1821" t="s">
        <v>405</v>
      </c>
      <c r="G160" s="389">
        <v>1</v>
      </c>
      <c r="H160" s="13"/>
      <c r="I160" s="101"/>
      <c r="J160" s="5"/>
      <c r="K160" s="5"/>
      <c r="L160" s="5"/>
      <c r="M160" s="5"/>
      <c r="N160" s="5"/>
      <c r="O160" s="5"/>
      <c r="P160" s="5"/>
      <c r="Q160" s="5"/>
      <c r="R160" s="5"/>
      <c r="S160" s="5"/>
      <c r="T160" s="5"/>
      <c r="U160" s="5"/>
      <c r="V160" s="5"/>
      <c r="W160" s="13"/>
      <c r="X160" s="13"/>
      <c r="AA160" s="13"/>
      <c r="AB160" s="13"/>
      <c r="AC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c r="BI160" s="13"/>
      <c r="BJ160" s="13"/>
      <c r="BK160" s="13"/>
      <c r="BL160" s="13"/>
      <c r="BM160" s="13"/>
      <c r="BN160" s="13"/>
      <c r="BO160" s="13"/>
      <c r="BP160" s="13"/>
      <c r="BQ160" s="13"/>
      <c r="BR160" s="13"/>
      <c r="BS160" s="13"/>
      <c r="BT160" s="13"/>
      <c r="BU160" s="13"/>
      <c r="BV160" s="13"/>
      <c r="BW160" s="13"/>
      <c r="BX160" s="13"/>
      <c r="BY160" s="13"/>
      <c r="BZ160" s="13"/>
      <c r="CA160" s="13"/>
      <c r="CB160" s="13"/>
      <c r="CC160" s="13"/>
      <c r="CD160" s="13"/>
      <c r="CE160" s="13"/>
      <c r="CF160" s="13"/>
      <c r="CG160" s="13"/>
      <c r="CH160" s="13"/>
      <c r="CI160" s="13"/>
      <c r="CJ160" s="13"/>
      <c r="CK160" s="13"/>
      <c r="CL160" s="13"/>
      <c r="CM160" s="13"/>
      <c r="CN160" s="13"/>
      <c r="CO160" s="13"/>
      <c r="CP160" s="13"/>
      <c r="CQ160" s="13"/>
    </row>
    <row r="161" spans="1:95" ht="15" customHeight="1" x14ac:dyDescent="0.2">
      <c r="A161" s="13"/>
      <c r="B161" s="1731" t="s">
        <v>406</v>
      </c>
      <c r="C161" s="1731"/>
      <c r="D161" s="1731"/>
      <c r="E161" s="407"/>
      <c r="F161" s="1822"/>
      <c r="G161" s="389">
        <v>1</v>
      </c>
      <c r="H161" s="13"/>
      <c r="I161" s="101"/>
      <c r="J161" s="5"/>
      <c r="K161" s="5"/>
      <c r="L161" s="5"/>
      <c r="M161" s="5"/>
      <c r="N161" s="5"/>
      <c r="O161" s="5"/>
      <c r="P161" s="5"/>
      <c r="Q161" s="5"/>
      <c r="R161" s="5"/>
      <c r="S161" s="5"/>
      <c r="T161" s="5"/>
      <c r="U161" s="5"/>
      <c r="V161" s="5"/>
      <c r="W161" s="13"/>
      <c r="X161" s="13"/>
      <c r="Y161" s="13"/>
      <c r="Z161" s="13"/>
      <c r="AA161" s="13"/>
      <c r="AB161" s="13"/>
      <c r="AC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c r="BI161" s="13"/>
      <c r="BJ161" s="13"/>
      <c r="BK161" s="13"/>
      <c r="BL161" s="13"/>
      <c r="BM161" s="13"/>
      <c r="BN161" s="13"/>
      <c r="BO161" s="13"/>
      <c r="BP161" s="13"/>
      <c r="BQ161" s="13"/>
      <c r="BR161" s="13"/>
      <c r="BS161" s="13"/>
      <c r="BT161" s="13"/>
      <c r="BU161" s="13"/>
      <c r="BV161" s="13"/>
      <c r="BW161" s="13"/>
      <c r="BX161" s="13"/>
      <c r="BY161" s="13"/>
      <c r="BZ161" s="13"/>
      <c r="CA161" s="13"/>
      <c r="CB161" s="13"/>
      <c r="CC161" s="13"/>
      <c r="CD161" s="13"/>
      <c r="CE161" s="13"/>
      <c r="CF161" s="13"/>
      <c r="CG161" s="13"/>
      <c r="CH161" s="13"/>
      <c r="CI161" s="13"/>
      <c r="CJ161" s="13"/>
      <c r="CK161" s="13"/>
      <c r="CL161" s="13"/>
      <c r="CM161" s="13"/>
      <c r="CN161" s="13"/>
      <c r="CO161" s="13"/>
      <c r="CP161" s="13"/>
      <c r="CQ161" s="13"/>
    </row>
    <row r="162" spans="1:95" ht="15.75" customHeight="1" x14ac:dyDescent="0.2">
      <c r="A162" s="13"/>
      <c r="B162" s="1849" t="s">
        <v>407</v>
      </c>
      <c r="C162" s="1849"/>
      <c r="D162" s="1849"/>
      <c r="E162" s="1849"/>
      <c r="F162" s="407"/>
      <c r="G162" s="392">
        <v>1</v>
      </c>
      <c r="H162" s="13"/>
      <c r="I162" s="101"/>
      <c r="J162" s="5"/>
      <c r="K162" s="5"/>
      <c r="L162" s="5"/>
      <c r="M162" s="5"/>
      <c r="N162" s="5"/>
      <c r="O162" s="5"/>
      <c r="P162" s="5"/>
      <c r="Q162" s="5"/>
      <c r="R162" s="5"/>
      <c r="S162" s="5"/>
      <c r="T162" s="5"/>
      <c r="U162" s="5"/>
      <c r="V162" s="5"/>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c r="BI162" s="13"/>
      <c r="BJ162" s="13"/>
      <c r="BK162" s="13"/>
      <c r="BL162" s="13"/>
      <c r="BM162" s="13"/>
      <c r="BN162" s="13"/>
      <c r="BO162" s="13"/>
      <c r="BP162" s="13"/>
      <c r="BQ162" s="13"/>
      <c r="BR162" s="13"/>
      <c r="BS162" s="13"/>
      <c r="BT162" s="13"/>
      <c r="BU162" s="13"/>
      <c r="BV162" s="13"/>
      <c r="BW162" s="13"/>
      <c r="BX162" s="13"/>
      <c r="BY162" s="13"/>
      <c r="BZ162" s="13"/>
      <c r="CA162" s="13"/>
      <c r="CB162" s="13"/>
      <c r="CC162" s="13"/>
      <c r="CD162" s="13"/>
      <c r="CE162" s="13"/>
      <c r="CF162" s="13"/>
      <c r="CG162" s="13"/>
      <c r="CH162" s="13"/>
      <c r="CI162" s="13"/>
      <c r="CJ162" s="13"/>
      <c r="CK162" s="13"/>
      <c r="CL162" s="13"/>
      <c r="CM162" s="13"/>
      <c r="CN162" s="13"/>
      <c r="CO162" s="13"/>
      <c r="CP162" s="13"/>
      <c r="CQ162" s="13"/>
    </row>
    <row r="163" spans="1:95" ht="30.75" customHeight="1" x14ac:dyDescent="0.2">
      <c r="A163" s="13"/>
      <c r="B163" s="1850" t="s">
        <v>408</v>
      </c>
      <c r="C163" s="1850"/>
      <c r="D163" s="1850"/>
      <c r="E163" s="1850"/>
      <c r="F163" s="407"/>
      <c r="G163" s="392">
        <v>1</v>
      </c>
      <c r="H163" s="13"/>
      <c r="I163" s="101"/>
      <c r="J163" s="5"/>
      <c r="K163" s="5"/>
      <c r="L163" s="5"/>
      <c r="M163" s="5"/>
      <c r="N163" s="5"/>
      <c r="O163" s="5"/>
      <c r="P163" s="5"/>
      <c r="Q163" s="5"/>
      <c r="R163" s="5"/>
      <c r="S163" s="5"/>
      <c r="T163" s="5"/>
      <c r="U163" s="5"/>
      <c r="V163" s="5"/>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BQ163" s="13"/>
      <c r="BR163" s="13"/>
      <c r="BS163" s="13"/>
      <c r="BT163" s="13"/>
      <c r="BU163" s="13"/>
      <c r="BV163" s="13"/>
      <c r="BW163" s="13"/>
      <c r="BX163" s="13"/>
      <c r="BY163" s="13"/>
      <c r="BZ163" s="13"/>
      <c r="CA163" s="13"/>
      <c r="CB163" s="13"/>
      <c r="CC163" s="13"/>
      <c r="CD163" s="13"/>
      <c r="CE163" s="13"/>
      <c r="CF163" s="13"/>
      <c r="CG163" s="13"/>
      <c r="CH163" s="13"/>
      <c r="CI163" s="13"/>
      <c r="CJ163" s="13"/>
      <c r="CK163" s="13"/>
      <c r="CL163" s="13"/>
      <c r="CM163" s="13"/>
      <c r="CN163" s="13"/>
      <c r="CO163" s="13"/>
      <c r="CP163" s="13"/>
      <c r="CQ163" s="13"/>
    </row>
    <row r="164" spans="1:95" ht="16.5" customHeight="1" x14ac:dyDescent="0.2">
      <c r="A164" s="13"/>
      <c r="B164" s="1854" t="s">
        <v>409</v>
      </c>
      <c r="C164" s="1855"/>
      <c r="D164" s="163"/>
      <c r="E164" s="164"/>
      <c r="F164" s="165"/>
      <c r="G164" s="165"/>
      <c r="H164" s="13"/>
      <c r="I164" s="101"/>
      <c r="J164" s="5"/>
      <c r="K164" s="5"/>
      <c r="L164" s="5"/>
      <c r="M164" s="5"/>
      <c r="N164" s="5"/>
      <c r="O164" s="5"/>
      <c r="P164" s="5"/>
      <c r="Q164" s="5"/>
      <c r="R164" s="5"/>
      <c r="S164" s="5"/>
      <c r="T164" s="5"/>
      <c r="U164" s="5"/>
      <c r="V164" s="5"/>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BQ164" s="13"/>
      <c r="BR164" s="13"/>
      <c r="BS164" s="13"/>
      <c r="BT164" s="13"/>
      <c r="BU164" s="13"/>
      <c r="BV164" s="13"/>
      <c r="BW164" s="13"/>
      <c r="BX164" s="13"/>
      <c r="BY164" s="13"/>
      <c r="BZ164" s="13"/>
      <c r="CA164" s="13"/>
      <c r="CB164" s="13"/>
      <c r="CC164" s="13"/>
      <c r="CD164" s="13"/>
      <c r="CE164" s="13"/>
      <c r="CF164" s="13"/>
      <c r="CG164" s="13"/>
      <c r="CH164" s="13"/>
      <c r="CI164" s="13"/>
      <c r="CJ164" s="13"/>
      <c r="CK164" s="13"/>
      <c r="CL164" s="13"/>
      <c r="CM164" s="13"/>
      <c r="CN164" s="13"/>
      <c r="CO164" s="13"/>
      <c r="CP164" s="13"/>
      <c r="CQ164" s="13"/>
    </row>
    <row r="165" spans="1:95" ht="13.5" customHeight="1" x14ac:dyDescent="0.2">
      <c r="A165" s="13"/>
      <c r="B165" s="290" t="s">
        <v>274</v>
      </c>
      <c r="C165" s="658">
        <f>'GUIA DE APLICAÇÃO'!G714</f>
        <v>0.7</v>
      </c>
      <c r="D165" s="385" t="s">
        <v>329</v>
      </c>
      <c r="E165" s="122"/>
      <c r="F165" s="122"/>
      <c r="G165" s="122"/>
      <c r="H165" s="122"/>
      <c r="I165" s="101"/>
      <c r="J165" s="5"/>
      <c r="K165" s="5"/>
      <c r="L165" s="5"/>
      <c r="M165" s="5"/>
      <c r="N165" s="5"/>
      <c r="O165" s="5"/>
      <c r="P165" s="5"/>
      <c r="Q165" s="5"/>
      <c r="R165" s="5"/>
      <c r="S165" s="5"/>
      <c r="T165" s="5"/>
      <c r="U165" s="5"/>
      <c r="V165" s="5"/>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BQ165" s="13"/>
      <c r="BR165" s="13"/>
      <c r="BS165" s="13"/>
      <c r="BT165" s="13"/>
      <c r="BU165" s="13"/>
      <c r="BV165" s="13"/>
      <c r="BW165" s="13"/>
      <c r="BX165" s="13"/>
      <c r="BY165" s="13"/>
      <c r="BZ165" s="13"/>
      <c r="CA165" s="13"/>
      <c r="CB165" s="13"/>
      <c r="CC165" s="13"/>
      <c r="CD165" s="13"/>
      <c r="CE165" s="13"/>
      <c r="CF165" s="13"/>
      <c r="CG165" s="13"/>
      <c r="CH165" s="13"/>
      <c r="CI165" s="13"/>
      <c r="CJ165" s="13"/>
      <c r="CK165" s="13"/>
      <c r="CL165" s="13"/>
      <c r="CM165" s="13"/>
      <c r="CN165" s="13"/>
      <c r="CO165" s="13"/>
      <c r="CP165" s="13"/>
      <c r="CQ165" s="13"/>
    </row>
    <row r="166" spans="1:95" ht="16.5" customHeight="1" x14ac:dyDescent="0.2">
      <c r="A166" s="13"/>
      <c r="B166" s="157"/>
      <c r="C166" s="137"/>
      <c r="D166" s="110"/>
      <c r="E166" s="110"/>
      <c r="F166" s="110"/>
      <c r="G166" s="110"/>
      <c r="H166" s="110"/>
      <c r="I166" s="38"/>
      <c r="J166" s="137"/>
      <c r="K166" s="5"/>
      <c r="L166" s="5"/>
      <c r="M166" s="5"/>
      <c r="N166" s="5"/>
      <c r="O166" s="5"/>
      <c r="P166" s="5"/>
      <c r="Q166" s="5"/>
      <c r="R166" s="5"/>
      <c r="S166" s="5"/>
      <c r="T166" s="5"/>
      <c r="U166" s="5"/>
      <c r="V166" s="5"/>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BQ166" s="13"/>
      <c r="BR166" s="13"/>
      <c r="BS166" s="13"/>
      <c r="BT166" s="13"/>
      <c r="BU166" s="13"/>
      <c r="BV166" s="13"/>
      <c r="BW166" s="13"/>
      <c r="BX166" s="13"/>
      <c r="BY166" s="13"/>
      <c r="BZ166" s="13"/>
      <c r="CA166" s="13"/>
      <c r="CB166" s="13"/>
      <c r="CC166" s="13"/>
      <c r="CD166" s="13"/>
      <c r="CE166" s="13"/>
      <c r="CF166" s="13"/>
      <c r="CG166" s="13"/>
      <c r="CH166" s="13"/>
      <c r="CI166" s="13"/>
      <c r="CJ166" s="13"/>
      <c r="CK166" s="13"/>
      <c r="CL166" s="13"/>
      <c r="CM166" s="13"/>
      <c r="CN166" s="13"/>
      <c r="CO166" s="13"/>
      <c r="CP166" s="13"/>
      <c r="CQ166" s="13"/>
    </row>
    <row r="167" spans="1:95" ht="19.5" customHeight="1" x14ac:dyDescent="0.2">
      <c r="A167" s="660">
        <v>12</v>
      </c>
      <c r="B167" s="716" t="s">
        <v>410</v>
      </c>
      <c r="C167" s="717"/>
      <c r="D167" s="717"/>
      <c r="E167" s="717"/>
      <c r="F167" s="717"/>
      <c r="G167" s="717"/>
      <c r="H167" s="718"/>
      <c r="I167" s="694"/>
      <c r="J167" s="145"/>
      <c r="K167" s="145"/>
      <c r="L167" s="145"/>
      <c r="M167" s="145"/>
      <c r="N167" s="145"/>
      <c r="O167" s="145"/>
      <c r="P167" s="145"/>
      <c r="Q167" s="145"/>
      <c r="R167" s="145"/>
      <c r="S167" s="145"/>
      <c r="T167" s="13"/>
      <c r="U167" s="13"/>
      <c r="V167" s="13"/>
      <c r="W167" s="13"/>
      <c r="X167" s="13"/>
      <c r="AD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c r="BK167" s="13"/>
      <c r="BL167" s="13"/>
      <c r="BM167" s="13"/>
      <c r="BN167" s="13"/>
      <c r="BO167" s="13"/>
      <c r="BP167" s="13"/>
      <c r="BQ167" s="13"/>
      <c r="BR167" s="13"/>
      <c r="BS167" s="13"/>
      <c r="BT167" s="13"/>
      <c r="BU167" s="13"/>
      <c r="BV167" s="13"/>
      <c r="BW167" s="13"/>
      <c r="BX167" s="13"/>
      <c r="BY167" s="13"/>
      <c r="BZ167" s="13"/>
      <c r="CA167" s="13"/>
      <c r="CB167" s="13"/>
      <c r="CC167" s="13"/>
      <c r="CD167" s="13"/>
      <c r="CE167" s="13"/>
      <c r="CF167" s="13"/>
      <c r="CG167" s="13"/>
      <c r="CH167" s="13"/>
      <c r="CI167" s="13"/>
      <c r="CJ167" s="13"/>
      <c r="CK167" s="13"/>
      <c r="CL167" s="13"/>
      <c r="CM167" s="13"/>
      <c r="CN167" s="13"/>
      <c r="CO167" s="13"/>
      <c r="CP167" s="13"/>
      <c r="CQ167" s="13"/>
    </row>
    <row r="168" spans="1:95" ht="7.5" customHeight="1" x14ac:dyDescent="0.25">
      <c r="A168" s="13"/>
      <c r="B168" s="715"/>
      <c r="C168" s="137"/>
      <c r="D168" s="138"/>
      <c r="E168" s="138"/>
      <c r="F168" s="138"/>
      <c r="G168" s="138"/>
      <c r="H168" s="719"/>
      <c r="I168" s="139"/>
      <c r="J168" s="5"/>
      <c r="K168" s="5"/>
      <c r="L168" s="5"/>
      <c r="M168" s="5"/>
      <c r="N168" s="5"/>
      <c r="O168" s="5"/>
      <c r="P168" s="5"/>
      <c r="Q168" s="5"/>
      <c r="R168" s="5"/>
      <c r="S168" s="5"/>
      <c r="T168" s="5"/>
      <c r="U168" s="5"/>
      <c r="V168" s="5"/>
      <c r="W168" s="13"/>
      <c r="X168" s="13"/>
      <c r="AD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c r="BI168" s="13"/>
      <c r="BJ168" s="13"/>
      <c r="BK168" s="13"/>
      <c r="BL168" s="13"/>
      <c r="BM168" s="13"/>
      <c r="BN168" s="13"/>
      <c r="BO168" s="13"/>
      <c r="BP168" s="13"/>
      <c r="BQ168" s="13"/>
      <c r="BR168" s="13"/>
      <c r="BS168" s="13"/>
      <c r="BT168" s="13"/>
      <c r="BU168" s="13"/>
      <c r="BV168" s="13"/>
      <c r="BW168" s="13"/>
      <c r="BX168" s="13"/>
      <c r="BY168" s="13"/>
      <c r="BZ168" s="13"/>
      <c r="CA168" s="13"/>
      <c r="CB168" s="13"/>
      <c r="CC168" s="13"/>
      <c r="CD168" s="13"/>
      <c r="CE168" s="13"/>
      <c r="CF168" s="13"/>
      <c r="CG168" s="13"/>
      <c r="CH168" s="13"/>
      <c r="CI168" s="13"/>
      <c r="CJ168" s="13"/>
      <c r="CK168" s="13"/>
      <c r="CL168" s="13"/>
      <c r="CM168" s="13"/>
      <c r="CN168" s="13"/>
      <c r="CO168" s="13"/>
      <c r="CP168" s="13"/>
      <c r="CQ168" s="13"/>
    </row>
    <row r="169" spans="1:95" ht="16.5" customHeight="1" x14ac:dyDescent="0.2">
      <c r="A169" s="13"/>
      <c r="B169" s="720" t="s">
        <v>411</v>
      </c>
      <c r="C169" s="1848" t="s">
        <v>412</v>
      </c>
      <c r="D169" s="1848"/>
      <c r="E169" s="1848"/>
      <c r="F169" s="1848"/>
      <c r="G169" s="1848"/>
      <c r="H169" s="1848"/>
      <c r="I169" s="139"/>
      <c r="J169" s="5"/>
      <c r="K169" s="5"/>
      <c r="L169" s="5"/>
      <c r="M169" s="5"/>
      <c r="N169" s="5"/>
      <c r="O169" s="5"/>
      <c r="P169" s="5"/>
      <c r="Q169" s="5"/>
      <c r="R169" s="5"/>
      <c r="S169" s="5"/>
      <c r="T169" s="5"/>
      <c r="U169" s="5"/>
      <c r="V169" s="5"/>
      <c r="W169" s="13"/>
      <c r="X169" s="13"/>
      <c r="AD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Q169" s="13"/>
      <c r="BR169" s="13"/>
      <c r="BS169" s="13"/>
      <c r="BT169" s="13"/>
      <c r="BU169" s="13"/>
      <c r="BV169" s="13"/>
      <c r="BW169" s="13"/>
      <c r="BX169" s="13"/>
      <c r="BY169" s="13"/>
      <c r="BZ169" s="13"/>
      <c r="CA169" s="13"/>
      <c r="CB169" s="13"/>
      <c r="CC169" s="13"/>
      <c r="CD169" s="13"/>
      <c r="CE169" s="13"/>
      <c r="CF169" s="13"/>
      <c r="CG169" s="13"/>
      <c r="CH169" s="13"/>
      <c r="CI169" s="13"/>
      <c r="CJ169" s="13"/>
      <c r="CK169" s="13"/>
      <c r="CL169" s="13"/>
      <c r="CM169" s="13"/>
      <c r="CN169" s="13"/>
      <c r="CO169" s="13"/>
      <c r="CP169" s="13"/>
      <c r="CQ169" s="13"/>
    </row>
    <row r="170" spans="1:95" ht="12" customHeight="1" x14ac:dyDescent="0.25">
      <c r="A170" s="13"/>
      <c r="B170" s="136"/>
      <c r="C170" s="5"/>
      <c r="D170" s="139"/>
      <c r="E170" s="139"/>
      <c r="F170" s="139"/>
      <c r="G170" s="139"/>
      <c r="H170" s="139"/>
      <c r="I170" s="139"/>
      <c r="J170" s="5"/>
      <c r="K170" s="5"/>
      <c r="L170" s="5"/>
      <c r="M170" s="5"/>
      <c r="N170" s="5"/>
      <c r="O170" s="5"/>
      <c r="P170" s="5"/>
      <c r="Q170" s="5"/>
      <c r="R170" s="5"/>
      <c r="S170" s="5"/>
      <c r="T170" s="5"/>
      <c r="U170" s="5"/>
      <c r="V170" s="5"/>
      <c r="W170" s="13"/>
      <c r="X170" s="13"/>
      <c r="AD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BQ170" s="13"/>
      <c r="BR170" s="13"/>
      <c r="BS170" s="13"/>
      <c r="BT170" s="13"/>
      <c r="BU170" s="13"/>
      <c r="BV170" s="13"/>
      <c r="BW170" s="13"/>
      <c r="BX170" s="13"/>
      <c r="BY170" s="13"/>
      <c r="BZ170" s="13"/>
      <c r="CA170" s="13"/>
      <c r="CB170" s="13"/>
      <c r="CC170" s="13"/>
      <c r="CD170" s="13"/>
      <c r="CE170" s="13"/>
      <c r="CF170" s="13"/>
      <c r="CG170" s="13"/>
      <c r="CH170" s="13"/>
      <c r="CI170" s="13"/>
      <c r="CJ170" s="13"/>
      <c r="CK170" s="13"/>
      <c r="CL170" s="13"/>
      <c r="CM170" s="13"/>
      <c r="CN170" s="13"/>
      <c r="CO170" s="13"/>
      <c r="CP170" s="13"/>
      <c r="CQ170" s="13"/>
    </row>
    <row r="171" spans="1:95" ht="14.25" customHeight="1" x14ac:dyDescent="0.2">
      <c r="A171" s="13"/>
      <c r="B171" s="711" t="s">
        <v>413</v>
      </c>
      <c r="C171" s="712" t="s">
        <v>414</v>
      </c>
      <c r="D171" s="713"/>
      <c r="E171" s="1860" t="s">
        <v>415</v>
      </c>
      <c r="F171" s="1861"/>
      <c r="G171" s="1862"/>
      <c r="H171" s="714"/>
      <c r="I171" s="139"/>
      <c r="J171" s="5"/>
      <c r="K171" s="5"/>
      <c r="L171" s="5"/>
      <c r="M171" s="5"/>
      <c r="N171" s="5"/>
      <c r="O171" s="5"/>
      <c r="P171" s="5"/>
      <c r="Q171" s="5"/>
      <c r="R171" s="5"/>
      <c r="S171" s="5"/>
      <c r="T171" s="5"/>
      <c r="U171" s="5"/>
      <c r="V171" s="5"/>
      <c r="W171" s="13"/>
      <c r="X171" s="13"/>
      <c r="AD171" s="13"/>
      <c r="AM171" s="13"/>
      <c r="AN171" s="13"/>
      <c r="AO171" s="166"/>
      <c r="AP171" s="13"/>
      <c r="AQ171" s="13"/>
      <c r="AR171" s="13"/>
      <c r="AS171" s="13"/>
      <c r="AT171" s="13"/>
      <c r="AU171" s="13"/>
      <c r="AV171" s="13"/>
      <c r="AW171" s="13"/>
      <c r="AX171" s="13"/>
      <c r="AY171" s="13"/>
      <c r="AZ171" s="13"/>
      <c r="BA171" s="13"/>
      <c r="BB171" s="13"/>
      <c r="BC171" s="13"/>
      <c r="BD171" s="13"/>
      <c r="BE171" s="13"/>
      <c r="BF171" s="13"/>
      <c r="BG171" s="13"/>
      <c r="BH171" s="13"/>
      <c r="BI171" s="13"/>
      <c r="BJ171" s="13"/>
      <c r="BK171" s="13"/>
      <c r="BL171" s="13"/>
      <c r="BM171" s="13"/>
      <c r="BN171" s="13"/>
      <c r="BO171" s="13"/>
      <c r="BP171" s="13"/>
      <c r="BQ171" s="13"/>
      <c r="BR171" s="13"/>
      <c r="BS171" s="13"/>
      <c r="BT171" s="13"/>
      <c r="BU171" s="13"/>
      <c r="BV171" s="13"/>
      <c r="BW171" s="13"/>
      <c r="BX171" s="13"/>
      <c r="BY171" s="13"/>
      <c r="BZ171" s="13"/>
      <c r="CA171" s="13"/>
      <c r="CB171" s="13"/>
      <c r="CC171" s="13"/>
      <c r="CD171" s="13"/>
      <c r="CE171" s="13"/>
      <c r="CF171" s="13"/>
      <c r="CG171" s="13"/>
      <c r="CH171" s="13"/>
      <c r="CI171" s="13"/>
      <c r="CJ171" s="13"/>
      <c r="CK171" s="13"/>
      <c r="CL171" s="13"/>
      <c r="CM171" s="13"/>
      <c r="CN171" s="13"/>
      <c r="CO171" s="13"/>
      <c r="CP171" s="13"/>
      <c r="CQ171" s="13"/>
    </row>
    <row r="172" spans="1:95" ht="14.25" customHeight="1" x14ac:dyDescent="0.2">
      <c r="A172" s="13"/>
      <c r="B172" s="610"/>
      <c r="C172" s="215"/>
      <c r="D172" s="215"/>
      <c r="E172" s="1856" t="s">
        <v>416</v>
      </c>
      <c r="F172" s="1856"/>
      <c r="G172" s="1856"/>
      <c r="H172" s="99"/>
      <c r="I172" s="139"/>
      <c r="J172" s="5"/>
      <c r="K172" s="5"/>
      <c r="L172" s="5"/>
      <c r="M172" s="5"/>
      <c r="N172" s="5"/>
      <c r="O172" s="5"/>
      <c r="P172" s="5"/>
      <c r="Q172" s="5"/>
      <c r="R172" s="5"/>
      <c r="S172" s="5"/>
      <c r="T172" s="5"/>
      <c r="U172" s="5"/>
      <c r="V172" s="5"/>
      <c r="W172" s="13"/>
      <c r="X172" s="13"/>
      <c r="AD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c r="BI172" s="13"/>
      <c r="BJ172" s="13"/>
      <c r="BK172" s="13"/>
      <c r="BL172" s="13"/>
      <c r="BM172" s="13"/>
      <c r="BN172" s="13"/>
      <c r="BO172" s="13"/>
      <c r="BP172" s="13"/>
      <c r="BQ172" s="13"/>
      <c r="BR172" s="13"/>
      <c r="BS172" s="13"/>
      <c r="BT172" s="13"/>
      <c r="BU172" s="13"/>
      <c r="BV172" s="13"/>
      <c r="BW172" s="13"/>
      <c r="BX172" s="13"/>
      <c r="BY172" s="13"/>
      <c r="BZ172" s="13"/>
      <c r="CA172" s="13"/>
      <c r="CB172" s="13"/>
      <c r="CC172" s="13"/>
      <c r="CD172" s="13"/>
      <c r="CE172" s="13"/>
      <c r="CF172" s="13"/>
      <c r="CG172" s="13"/>
      <c r="CH172" s="13"/>
      <c r="CI172" s="13"/>
      <c r="CJ172" s="13"/>
      <c r="CK172" s="13"/>
      <c r="CL172" s="13"/>
      <c r="CM172" s="13"/>
      <c r="CN172" s="13"/>
      <c r="CO172" s="13"/>
      <c r="CP172" s="13"/>
      <c r="CQ172" s="13"/>
    </row>
    <row r="173" spans="1:95" ht="13.5" customHeight="1" x14ac:dyDescent="0.2">
      <c r="A173" s="13"/>
      <c r="B173" s="93"/>
      <c r="C173" s="748" t="s">
        <v>417</v>
      </c>
      <c r="D173" s="694"/>
      <c r="E173" s="1820" t="s">
        <v>418</v>
      </c>
      <c r="F173" s="1820"/>
      <c r="G173" s="1521" t="s">
        <v>419</v>
      </c>
      <c r="H173" s="168"/>
      <c r="I173" s="139"/>
      <c r="J173" s="5"/>
      <c r="K173" s="5"/>
      <c r="L173" s="5"/>
      <c r="M173" s="5"/>
      <c r="N173" s="5"/>
      <c r="O173" s="5"/>
      <c r="P173" s="5"/>
      <c r="Q173" s="5"/>
      <c r="R173" s="5"/>
      <c r="S173" s="5"/>
      <c r="T173" s="5"/>
      <c r="U173" s="5"/>
      <c r="V173" s="5"/>
      <c r="W173" s="13"/>
      <c r="X173" s="13"/>
      <c r="AD173" s="13"/>
      <c r="AM173" s="13"/>
      <c r="AN173" s="13"/>
      <c r="AO173" s="166"/>
      <c r="AP173" s="13"/>
      <c r="AQ173" s="13"/>
      <c r="AR173" s="13"/>
      <c r="AS173" s="13"/>
      <c r="AT173" s="13"/>
      <c r="AU173" s="13"/>
      <c r="AV173" s="13"/>
      <c r="AW173" s="13"/>
      <c r="AX173" s="13"/>
      <c r="AY173" s="13"/>
      <c r="AZ173" s="13"/>
      <c r="BA173" s="13"/>
      <c r="BB173" s="13"/>
      <c r="BC173" s="13"/>
      <c r="BD173" s="13"/>
      <c r="BE173" s="13"/>
      <c r="BF173" s="13"/>
      <c r="BG173" s="13"/>
      <c r="BH173" s="13"/>
      <c r="BI173" s="13"/>
      <c r="BJ173" s="13"/>
      <c r="BK173" s="13"/>
      <c r="BL173" s="13"/>
      <c r="BM173" s="13"/>
      <c r="BN173" s="13"/>
      <c r="BO173" s="13"/>
      <c r="BP173" s="13"/>
      <c r="BQ173" s="13"/>
      <c r="BR173" s="13"/>
      <c r="BS173" s="13"/>
      <c r="BT173" s="13"/>
      <c r="BU173" s="13"/>
      <c r="BV173" s="13"/>
      <c r="BW173" s="13"/>
      <c r="BX173" s="13"/>
      <c r="BY173" s="13"/>
      <c r="BZ173" s="13"/>
      <c r="CA173" s="13"/>
      <c r="CB173" s="13"/>
      <c r="CC173" s="13"/>
      <c r="CD173" s="13"/>
      <c r="CE173" s="13"/>
      <c r="CF173" s="13"/>
      <c r="CG173" s="13"/>
      <c r="CH173" s="13"/>
      <c r="CI173" s="13"/>
      <c r="CJ173" s="13"/>
      <c r="CK173" s="13"/>
      <c r="CL173" s="13"/>
      <c r="CM173" s="13"/>
      <c r="CN173" s="13"/>
      <c r="CO173" s="13"/>
      <c r="CP173" s="13"/>
      <c r="CQ173" s="13"/>
    </row>
    <row r="174" spans="1:95" ht="14.25" customHeight="1" x14ac:dyDescent="0.2">
      <c r="A174" s="13"/>
      <c r="B174" s="659" t="s">
        <v>420</v>
      </c>
      <c r="C174" s="1504"/>
      <c r="D174" s="169"/>
      <c r="E174" s="1820" t="s">
        <v>421</v>
      </c>
      <c r="F174" s="1820"/>
      <c r="G174" s="1521" t="s">
        <v>422</v>
      </c>
      <c r="H174" s="168"/>
      <c r="I174" s="139"/>
      <c r="J174" s="5"/>
      <c r="K174" s="5"/>
      <c r="L174" s="5"/>
      <c r="M174" s="5"/>
      <c r="N174" s="5"/>
      <c r="O174" s="5"/>
      <c r="P174" s="5"/>
      <c r="Q174" s="5"/>
      <c r="R174" s="5"/>
      <c r="S174" s="5"/>
      <c r="T174" s="5"/>
      <c r="U174" s="5"/>
      <c r="V174" s="5"/>
      <c r="W174" s="13"/>
      <c r="X174" s="13"/>
      <c r="Y174" s="13"/>
      <c r="Z174" s="13"/>
      <c r="AA174" s="13"/>
      <c r="AB174" s="13"/>
      <c r="AC174" s="13"/>
      <c r="AD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c r="BI174" s="13"/>
      <c r="BJ174" s="13"/>
      <c r="BK174" s="13"/>
      <c r="BL174" s="13"/>
      <c r="BM174" s="13"/>
      <c r="BN174" s="13"/>
      <c r="BO174" s="13"/>
      <c r="BP174" s="13"/>
      <c r="BQ174" s="13"/>
      <c r="BR174" s="13"/>
      <c r="BS174" s="13"/>
      <c r="BT174" s="13"/>
      <c r="BU174" s="13"/>
      <c r="BV174" s="13"/>
      <c r="BW174" s="13"/>
      <c r="BX174" s="13"/>
      <c r="BY174" s="13"/>
      <c r="BZ174" s="13"/>
      <c r="CA174" s="13"/>
      <c r="CB174" s="13"/>
      <c r="CC174" s="13"/>
      <c r="CD174" s="13"/>
      <c r="CE174" s="13"/>
      <c r="CF174" s="13"/>
      <c r="CG174" s="13"/>
      <c r="CH174" s="13"/>
      <c r="CI174" s="13"/>
      <c r="CJ174" s="13"/>
      <c r="CK174" s="13"/>
      <c r="CL174" s="13"/>
      <c r="CM174" s="13"/>
      <c r="CN174" s="13"/>
      <c r="CO174" s="13"/>
      <c r="CP174" s="13"/>
      <c r="CQ174" s="13"/>
    </row>
    <row r="175" spans="1:95" ht="14.25" customHeight="1" x14ac:dyDescent="0.2">
      <c r="A175" s="13"/>
      <c r="B175" s="170"/>
      <c r="C175" s="169"/>
      <c r="D175" s="169"/>
      <c r="E175" s="1820" t="s">
        <v>423</v>
      </c>
      <c r="F175" s="1820"/>
      <c r="G175" s="1521" t="s">
        <v>424</v>
      </c>
      <c r="H175" s="168"/>
      <c r="I175" s="139"/>
      <c r="J175" s="5"/>
      <c r="K175" s="5"/>
      <c r="L175" s="5"/>
      <c r="M175" s="5"/>
      <c r="N175" s="5"/>
      <c r="O175" s="5"/>
      <c r="P175" s="5"/>
      <c r="Q175" s="5"/>
      <c r="R175" s="5"/>
      <c r="S175" s="5"/>
      <c r="T175" s="5"/>
      <c r="U175" s="5"/>
      <c r="V175" s="5"/>
      <c r="W175" s="13"/>
      <c r="X175" s="13"/>
      <c r="Y175" s="13"/>
      <c r="Z175" s="13"/>
      <c r="AA175" s="13"/>
      <c r="AB175" s="13"/>
      <c r="AC175" s="13"/>
      <c r="AD175" s="13"/>
      <c r="AM175" s="13"/>
      <c r="AN175" s="13"/>
      <c r="AO175" s="166"/>
      <c r="AP175" s="13"/>
      <c r="AQ175" s="13"/>
      <c r="AR175" s="13"/>
      <c r="AS175" s="13"/>
      <c r="AT175" s="13"/>
      <c r="AU175" s="13"/>
      <c r="AV175" s="13"/>
      <c r="AW175" s="13"/>
      <c r="AX175" s="13"/>
      <c r="AY175" s="13"/>
      <c r="AZ175" s="13"/>
      <c r="BA175" s="13"/>
      <c r="BB175" s="13"/>
      <c r="BC175" s="13"/>
      <c r="BD175" s="13"/>
      <c r="BE175" s="13"/>
      <c r="BF175" s="13"/>
      <c r="BG175" s="13"/>
      <c r="BH175" s="13"/>
      <c r="BI175" s="13"/>
      <c r="BJ175" s="13"/>
      <c r="BK175" s="13"/>
      <c r="BL175" s="13"/>
      <c r="BM175" s="13"/>
      <c r="BN175" s="13"/>
      <c r="BO175" s="13"/>
      <c r="BP175" s="13"/>
      <c r="BQ175" s="13"/>
      <c r="BR175" s="13"/>
      <c r="BS175" s="13"/>
      <c r="BT175" s="13"/>
      <c r="BU175" s="13"/>
      <c r="BV175" s="13"/>
      <c r="BW175" s="13"/>
      <c r="BX175" s="13"/>
      <c r="BY175" s="13"/>
      <c r="BZ175" s="13"/>
      <c r="CA175" s="13"/>
      <c r="CB175" s="13"/>
      <c r="CC175" s="13"/>
      <c r="CD175" s="13"/>
      <c r="CE175" s="13"/>
      <c r="CF175" s="13"/>
      <c r="CG175" s="13"/>
      <c r="CH175" s="13"/>
      <c r="CI175" s="13"/>
      <c r="CJ175" s="13"/>
      <c r="CK175" s="13"/>
      <c r="CL175" s="13"/>
      <c r="CM175" s="13"/>
      <c r="CN175" s="13"/>
      <c r="CO175" s="13"/>
      <c r="CP175" s="13"/>
      <c r="CQ175" s="13"/>
    </row>
    <row r="176" spans="1:95" ht="15" customHeight="1" x14ac:dyDescent="0.2">
      <c r="A176" s="13"/>
      <c r="B176" s="1858">
        <f>IF(ISBLANK(C174),0,IF(C174&lt;=15,E173,IF(AND(C174&gt;15,C174&lt;35),E174,IF(AND(C174&gt;=35,C174&lt;=60),E175,IF(C174&gt;60,E176)))))</f>
        <v>0</v>
      </c>
      <c r="C176" s="1859"/>
      <c r="D176" s="171"/>
      <c r="E176" s="1820" t="s">
        <v>425</v>
      </c>
      <c r="F176" s="1820"/>
      <c r="G176" s="1521" t="s">
        <v>426</v>
      </c>
      <c r="H176" s="172"/>
      <c r="I176" s="139"/>
      <c r="J176" s="5"/>
      <c r="K176" s="5"/>
      <c r="L176" s="5"/>
      <c r="M176" s="5"/>
      <c r="N176" s="5"/>
      <c r="O176" s="5"/>
      <c r="P176" s="5"/>
      <c r="Q176" s="5"/>
      <c r="R176" s="5"/>
      <c r="S176" s="5"/>
      <c r="T176" s="5"/>
      <c r="U176" s="5"/>
      <c r="V176" s="5"/>
      <c r="W176" s="13"/>
      <c r="X176" s="13"/>
      <c r="Y176" s="13"/>
      <c r="Z176" s="13"/>
      <c r="AA176" s="13"/>
      <c r="AB176" s="13"/>
      <c r="AC176" s="13"/>
      <c r="AD176" s="13"/>
      <c r="AM176" s="13"/>
      <c r="AN176" s="13"/>
      <c r="AO176" s="166"/>
      <c r="AP176" s="13"/>
      <c r="AQ176" s="13"/>
      <c r="AR176" s="13"/>
      <c r="AS176" s="13"/>
      <c r="AT176" s="13"/>
      <c r="AU176" s="13"/>
      <c r="AV176" s="13"/>
      <c r="AW176" s="13"/>
      <c r="AX176" s="13"/>
      <c r="AY176" s="13"/>
      <c r="AZ176" s="13"/>
      <c r="BA176" s="13"/>
      <c r="BB176" s="13"/>
      <c r="BC176" s="13"/>
      <c r="BD176" s="13"/>
      <c r="BE176" s="13"/>
      <c r="BF176" s="13"/>
      <c r="BG176" s="13"/>
      <c r="BH176" s="13"/>
      <c r="BI176" s="13"/>
      <c r="BJ176" s="13"/>
      <c r="BK176" s="13"/>
      <c r="BL176" s="13"/>
      <c r="BM176" s="13"/>
      <c r="BN176" s="13"/>
      <c r="BO176" s="13"/>
      <c r="BP176" s="13"/>
      <c r="BQ176" s="13"/>
      <c r="BR176" s="13"/>
      <c r="BS176" s="13"/>
      <c r="BT176" s="13"/>
      <c r="BU176" s="13"/>
      <c r="BV176" s="13"/>
      <c r="BW176" s="13"/>
      <c r="BX176" s="13"/>
      <c r="BY176" s="13"/>
      <c r="BZ176" s="13"/>
      <c r="CA176" s="13"/>
      <c r="CB176" s="13"/>
      <c r="CC176" s="13"/>
      <c r="CD176" s="13"/>
      <c r="CE176" s="13"/>
      <c r="CF176" s="13"/>
      <c r="CG176" s="13"/>
      <c r="CH176" s="13"/>
      <c r="CI176" s="13"/>
      <c r="CJ176" s="13"/>
      <c r="CK176" s="13"/>
      <c r="CL176" s="13"/>
      <c r="CM176" s="13"/>
      <c r="CN176" s="13"/>
      <c r="CO176" s="13"/>
      <c r="CP176" s="13"/>
      <c r="CQ176" s="13"/>
    </row>
    <row r="177" spans="1:95" ht="12" customHeight="1" x14ac:dyDescent="0.2">
      <c r="A177" s="13"/>
      <c r="B177" s="169"/>
      <c r="C177" s="169"/>
      <c r="D177" s="169"/>
      <c r="E177" s="169"/>
      <c r="F177" s="169"/>
      <c r="G177" s="169"/>
      <c r="H177" s="169"/>
      <c r="I177" s="169"/>
      <c r="J177" s="5"/>
      <c r="K177" s="5"/>
      <c r="L177" s="5"/>
      <c r="M177" s="5"/>
      <c r="N177" s="5"/>
      <c r="O177" s="5"/>
      <c r="P177" s="5"/>
      <c r="Q177" s="5"/>
      <c r="R177" s="5"/>
      <c r="S177" s="5"/>
      <c r="T177" s="5"/>
      <c r="U177" s="5"/>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c r="BI177" s="13"/>
      <c r="BJ177" s="13"/>
      <c r="BK177" s="13"/>
      <c r="BL177" s="13"/>
      <c r="BM177" s="13"/>
      <c r="BN177" s="13"/>
      <c r="BO177" s="13"/>
      <c r="BP177" s="13"/>
      <c r="BQ177" s="13"/>
      <c r="BR177" s="13"/>
      <c r="BS177" s="13"/>
      <c r="BT177" s="13"/>
      <c r="BU177" s="13"/>
      <c r="BV177" s="13"/>
      <c r="BW177" s="13"/>
      <c r="BX177" s="13"/>
      <c r="BY177" s="13"/>
      <c r="BZ177" s="13"/>
      <c r="CA177" s="13"/>
      <c r="CB177" s="13"/>
      <c r="CC177" s="13"/>
      <c r="CD177" s="13"/>
      <c r="CE177" s="13"/>
      <c r="CF177" s="13"/>
      <c r="CG177" s="13"/>
      <c r="CH177" s="13"/>
      <c r="CI177" s="13"/>
      <c r="CJ177" s="13"/>
      <c r="CK177" s="13"/>
      <c r="CL177" s="13"/>
      <c r="CM177" s="13"/>
      <c r="CN177" s="13"/>
      <c r="CO177" s="13"/>
      <c r="CP177" s="13"/>
      <c r="CQ177" s="13"/>
    </row>
    <row r="178" spans="1:95" ht="16.5" customHeight="1" x14ac:dyDescent="0.2">
      <c r="A178" s="13"/>
      <c r="B178" s="711" t="s">
        <v>427</v>
      </c>
      <c r="C178" s="712" t="s">
        <v>428</v>
      </c>
      <c r="D178" s="713"/>
      <c r="E178" s="721"/>
      <c r="F178" s="722"/>
      <c r="G178" s="1812" t="s">
        <v>179</v>
      </c>
      <c r="H178" s="1813"/>
      <c r="I178" s="101"/>
      <c r="J178" s="13"/>
      <c r="K178" s="173"/>
      <c r="L178" s="173"/>
      <c r="M178" s="173"/>
      <c r="N178" s="173"/>
      <c r="O178" s="173"/>
      <c r="P178" s="173"/>
      <c r="Q178" s="13"/>
      <c r="R178" s="13"/>
      <c r="S178" s="13"/>
      <c r="T178" s="13"/>
      <c r="U178" s="13"/>
      <c r="V178" s="13"/>
      <c r="W178" s="13"/>
      <c r="X178" s="13"/>
      <c r="Y178" s="13"/>
      <c r="Z178" s="13"/>
      <c r="AA178" s="13"/>
      <c r="AB178" s="13"/>
      <c r="AC178" s="13"/>
      <c r="AD178" s="174"/>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c r="BI178" s="13"/>
      <c r="BJ178" s="13"/>
      <c r="BK178" s="13"/>
      <c r="BL178" s="13"/>
      <c r="BM178" s="13"/>
      <c r="BN178" s="13"/>
      <c r="BO178" s="13"/>
      <c r="BP178" s="13"/>
      <c r="BQ178" s="13"/>
      <c r="BR178" s="13"/>
      <c r="BS178" s="13"/>
      <c r="BT178" s="13"/>
      <c r="BU178" s="13"/>
      <c r="BV178" s="13"/>
      <c r="BW178" s="13"/>
      <c r="BX178" s="13"/>
      <c r="BY178" s="13"/>
      <c r="BZ178" s="13"/>
      <c r="CA178" s="13"/>
      <c r="CB178" s="13"/>
      <c r="CC178" s="13"/>
      <c r="CD178" s="13"/>
      <c r="CE178" s="13"/>
      <c r="CF178" s="13"/>
      <c r="CG178" s="13"/>
      <c r="CH178" s="13"/>
      <c r="CI178" s="13"/>
      <c r="CJ178" s="13"/>
      <c r="CK178" s="13"/>
      <c r="CL178" s="13"/>
      <c r="CM178" s="13"/>
      <c r="CN178" s="13"/>
      <c r="CO178" s="13"/>
      <c r="CP178" s="13"/>
      <c r="CQ178" s="13"/>
    </row>
    <row r="179" spans="1:95" ht="14.25" customHeight="1" x14ac:dyDescent="0.2">
      <c r="A179" s="13"/>
      <c r="B179" s="663"/>
      <c r="C179" s="664"/>
      <c r="D179" s="664"/>
      <c r="E179" s="747" t="s">
        <v>429</v>
      </c>
      <c r="F179" s="395" t="s">
        <v>430</v>
      </c>
      <c r="G179" s="352" t="s">
        <v>431</v>
      </c>
      <c r="H179" s="352" t="s">
        <v>432</v>
      </c>
      <c r="I179" s="101"/>
      <c r="J179" s="13"/>
      <c r="K179" s="173"/>
      <c r="L179" s="173"/>
      <c r="M179" s="173"/>
      <c r="N179" s="173"/>
      <c r="O179" s="173"/>
      <c r="P179" s="173"/>
      <c r="Q179" s="13"/>
      <c r="R179" s="13"/>
      <c r="S179" s="13"/>
      <c r="T179" s="13"/>
      <c r="U179" s="13"/>
      <c r="V179" s="13"/>
      <c r="W179" s="13"/>
      <c r="X179" s="13"/>
      <c r="Y179" s="13"/>
      <c r="Z179" s="13"/>
      <c r="AA179" s="13"/>
      <c r="AB179" s="13"/>
      <c r="AC179" s="13"/>
      <c r="AD179" s="174"/>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c r="BI179" s="13"/>
      <c r="BJ179" s="13"/>
      <c r="BK179" s="13"/>
      <c r="BL179" s="13"/>
      <c r="BM179" s="13"/>
      <c r="BN179" s="13"/>
      <c r="BO179" s="13"/>
      <c r="BP179" s="13"/>
      <c r="BQ179" s="13"/>
      <c r="BR179" s="13"/>
      <c r="BS179" s="13"/>
      <c r="BT179" s="13"/>
      <c r="BU179" s="13"/>
      <c r="BV179" s="13"/>
      <c r="BW179" s="13"/>
      <c r="BX179" s="13"/>
      <c r="BY179" s="13"/>
      <c r="BZ179" s="13"/>
      <c r="CA179" s="13"/>
      <c r="CB179" s="13"/>
      <c r="CC179" s="13"/>
      <c r="CD179" s="13"/>
      <c r="CE179" s="13"/>
      <c r="CF179" s="13"/>
      <c r="CG179" s="13"/>
      <c r="CH179" s="13"/>
      <c r="CI179" s="13"/>
      <c r="CJ179" s="13"/>
      <c r="CK179" s="13"/>
      <c r="CL179" s="13"/>
      <c r="CM179" s="13"/>
      <c r="CN179" s="13"/>
      <c r="CO179" s="13"/>
      <c r="CP179" s="13"/>
      <c r="CQ179" s="13"/>
    </row>
    <row r="180" spans="1:95" ht="16.5" customHeight="1" x14ac:dyDescent="0.2">
      <c r="A180" s="13"/>
      <c r="B180" s="1851" t="s">
        <v>433</v>
      </c>
      <c r="C180" s="1852"/>
      <c r="D180" s="1852"/>
      <c r="E180" s="1853"/>
      <c r="F180" s="90"/>
      <c r="G180" s="389">
        <v>0</v>
      </c>
      <c r="H180" s="389">
        <v>0.1</v>
      </c>
      <c r="I180" s="101"/>
      <c r="J180" s="13"/>
      <c r="K180" s="173"/>
      <c r="L180" s="173"/>
      <c r="M180" s="173"/>
      <c r="N180" s="173"/>
      <c r="O180" s="173"/>
      <c r="P180" s="173"/>
      <c r="Q180" s="13"/>
      <c r="R180" s="13"/>
      <c r="S180" s="13"/>
      <c r="T180" s="13"/>
      <c r="U180" s="13"/>
      <c r="V180" s="13"/>
      <c r="W180" s="13"/>
      <c r="X180" s="13"/>
      <c r="Y180" s="13"/>
      <c r="Z180" s="13"/>
      <c r="AA180" s="13"/>
      <c r="AB180" s="13"/>
      <c r="AC180" s="13"/>
      <c r="AD180" s="174"/>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c r="BI180" s="13"/>
      <c r="BJ180" s="13"/>
      <c r="BK180" s="13"/>
      <c r="BL180" s="13"/>
      <c r="BM180" s="13"/>
      <c r="BN180" s="13"/>
      <c r="BO180" s="13"/>
      <c r="BP180" s="13"/>
      <c r="BQ180" s="13"/>
      <c r="BR180" s="13"/>
      <c r="BS180" s="13"/>
      <c r="BT180" s="13"/>
      <c r="BU180" s="13"/>
      <c r="BV180" s="13"/>
      <c r="BW180" s="13"/>
      <c r="BX180" s="13"/>
      <c r="BY180" s="13"/>
      <c r="BZ180" s="13"/>
      <c r="CA180" s="13"/>
      <c r="CB180" s="13"/>
      <c r="CC180" s="13"/>
      <c r="CD180" s="13"/>
      <c r="CE180" s="13"/>
      <c r="CF180" s="13"/>
      <c r="CG180" s="13"/>
      <c r="CH180" s="13"/>
      <c r="CI180" s="13"/>
      <c r="CJ180" s="13"/>
      <c r="CK180" s="13"/>
      <c r="CL180" s="13"/>
      <c r="CM180" s="13"/>
      <c r="CN180" s="13"/>
      <c r="CO180" s="13"/>
      <c r="CP180" s="13"/>
      <c r="CQ180" s="13"/>
    </row>
    <row r="181" spans="1:95" ht="16.5" customHeight="1" x14ac:dyDescent="0.2">
      <c r="A181" s="13"/>
      <c r="B181" s="665" t="s">
        <v>418</v>
      </c>
      <c r="C181" s="665" t="s">
        <v>421</v>
      </c>
      <c r="D181" s="665" t="s">
        <v>423</v>
      </c>
      <c r="E181" s="665" t="s">
        <v>434</v>
      </c>
      <c r="F181" s="175"/>
      <c r="G181" s="389">
        <v>2.4</v>
      </c>
      <c r="H181" s="389">
        <v>0.5</v>
      </c>
      <c r="I181" s="101"/>
      <c r="J181" s="13"/>
      <c r="K181" s="173"/>
      <c r="L181" s="173"/>
      <c r="M181" s="173"/>
      <c r="N181" s="173"/>
      <c r="O181" s="173"/>
      <c r="P181" s="173"/>
      <c r="Q181" s="13"/>
      <c r="R181" s="13"/>
      <c r="S181" s="13"/>
      <c r="T181" s="13"/>
      <c r="U181" s="13"/>
      <c r="V181" s="13"/>
      <c r="W181" s="13"/>
      <c r="X181" s="13"/>
      <c r="AD181" s="174"/>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c r="BI181" s="13"/>
      <c r="BJ181" s="13"/>
      <c r="BK181" s="13"/>
      <c r="BL181" s="13"/>
      <c r="BM181" s="13"/>
      <c r="BN181" s="13"/>
      <c r="BO181" s="13"/>
      <c r="BP181" s="13"/>
      <c r="BQ181" s="13"/>
      <c r="BR181" s="13"/>
      <c r="BS181" s="13"/>
      <c r="BT181" s="13"/>
      <c r="BU181" s="13"/>
      <c r="BV181" s="13"/>
      <c r="BW181" s="13"/>
      <c r="BX181" s="13"/>
      <c r="BY181" s="13"/>
      <c r="BZ181" s="13"/>
      <c r="CA181" s="13"/>
      <c r="CB181" s="13"/>
      <c r="CC181" s="13"/>
      <c r="CD181" s="13"/>
      <c r="CE181" s="13"/>
      <c r="CF181" s="13"/>
      <c r="CG181" s="13"/>
      <c r="CH181" s="13"/>
      <c r="CI181" s="13"/>
      <c r="CJ181" s="13"/>
      <c r="CK181" s="13"/>
      <c r="CL181" s="13"/>
      <c r="CM181" s="13"/>
      <c r="CN181" s="13"/>
      <c r="CO181" s="13"/>
      <c r="CP181" s="13"/>
      <c r="CQ181" s="13"/>
    </row>
    <row r="182" spans="1:95" ht="16.5" customHeight="1" x14ac:dyDescent="0.2">
      <c r="A182" s="13"/>
      <c r="B182" s="1352"/>
      <c r="C182" s="1353"/>
      <c r="D182" s="1353"/>
      <c r="E182" s="1354"/>
      <c r="F182" s="177"/>
      <c r="G182" s="389">
        <v>3.1</v>
      </c>
      <c r="H182" s="389">
        <v>0.7</v>
      </c>
      <c r="I182" s="101"/>
      <c r="J182" s="13"/>
      <c r="K182" s="173"/>
      <c r="L182" s="173"/>
      <c r="M182" s="173"/>
      <c r="N182" s="173"/>
      <c r="O182" s="173"/>
      <c r="P182" s="173"/>
      <c r="Q182" s="13"/>
      <c r="R182" s="13"/>
      <c r="S182" s="13"/>
      <c r="T182" s="13"/>
      <c r="U182" s="13"/>
      <c r="V182" s="13"/>
      <c r="W182" s="13"/>
      <c r="X182" s="13"/>
      <c r="AD182" s="174"/>
      <c r="AM182" s="13"/>
      <c r="AN182" s="13"/>
      <c r="AO182" s="13"/>
      <c r="AP182" s="13"/>
      <c r="AQ182" s="13"/>
      <c r="AR182" s="13"/>
      <c r="AS182" s="13"/>
      <c r="AT182" s="13"/>
      <c r="AU182" s="13"/>
      <c r="AV182" s="13"/>
      <c r="AW182" s="13"/>
      <c r="AX182" s="13"/>
      <c r="AY182" s="13"/>
      <c r="AZ182" s="13"/>
      <c r="BA182" s="13"/>
      <c r="BB182" s="13"/>
      <c r="BC182" s="13"/>
      <c r="BD182" s="13"/>
      <c r="BE182" s="13"/>
      <c r="BF182" s="13"/>
      <c r="BG182" s="178"/>
      <c r="BH182" s="13"/>
      <c r="BI182" s="13"/>
      <c r="BJ182" s="13"/>
      <c r="BK182" s="13"/>
      <c r="BL182" s="13"/>
      <c r="BM182" s="13"/>
      <c r="BN182" s="13"/>
      <c r="BO182" s="13"/>
      <c r="BP182" s="13"/>
      <c r="BQ182" s="13"/>
      <c r="BR182" s="13"/>
      <c r="BS182" s="13"/>
      <c r="BT182" s="13"/>
      <c r="BU182" s="13"/>
      <c r="BV182" s="13"/>
      <c r="BW182" s="13"/>
      <c r="BX182" s="13"/>
      <c r="BY182" s="13"/>
      <c r="BZ182" s="13"/>
      <c r="CA182" s="13"/>
      <c r="CB182" s="13"/>
      <c r="CC182" s="13"/>
      <c r="CD182" s="13"/>
      <c r="CE182" s="13"/>
      <c r="CF182" s="13"/>
      <c r="CG182" s="13"/>
      <c r="CH182" s="13"/>
      <c r="CI182" s="13"/>
      <c r="CJ182" s="13"/>
      <c r="CK182" s="13"/>
      <c r="CL182" s="13"/>
      <c r="CM182" s="13"/>
      <c r="CN182" s="13"/>
      <c r="CO182" s="13"/>
      <c r="CP182" s="13"/>
      <c r="CQ182" s="13"/>
    </row>
    <row r="183" spans="1:95" ht="13.5" customHeight="1" x14ac:dyDescent="0.25">
      <c r="A183" s="13"/>
      <c r="B183" s="93"/>
      <c r="C183" s="179"/>
      <c r="D183" s="180"/>
      <c r="E183" s="181"/>
      <c r="F183" s="179"/>
      <c r="G183" s="389">
        <v>4.5</v>
      </c>
      <c r="H183" s="389">
        <v>1</v>
      </c>
      <c r="I183" s="101"/>
      <c r="J183" s="13"/>
      <c r="K183" s="182"/>
      <c r="L183" s="173"/>
      <c r="M183" s="173"/>
      <c r="N183" s="173"/>
      <c r="O183" s="173"/>
      <c r="P183" s="173"/>
      <c r="Q183" s="13"/>
      <c r="R183" s="13"/>
      <c r="S183" s="13"/>
      <c r="T183" s="13"/>
      <c r="U183" s="13"/>
      <c r="V183" s="13"/>
      <c r="W183" s="13"/>
      <c r="X183" s="13"/>
      <c r="AD183" s="174"/>
      <c r="AM183" s="13"/>
      <c r="AN183" s="13"/>
      <c r="AO183" s="13"/>
      <c r="AP183" s="13"/>
      <c r="AQ183" s="13"/>
      <c r="AR183" s="13"/>
      <c r="AS183" s="13"/>
      <c r="AT183" s="13"/>
      <c r="AU183" s="13"/>
      <c r="AV183" s="13"/>
      <c r="AW183" s="13"/>
      <c r="AX183" s="13"/>
      <c r="AY183" s="13"/>
      <c r="AZ183" s="13"/>
      <c r="BA183" s="13"/>
      <c r="BB183" s="13"/>
      <c r="BC183" s="13"/>
      <c r="BD183" s="13"/>
      <c r="BE183" s="13"/>
      <c r="BF183" s="13"/>
      <c r="BG183" s="178"/>
      <c r="BH183" s="13"/>
      <c r="BI183" s="13"/>
      <c r="BJ183" s="13"/>
      <c r="BK183" s="13"/>
      <c r="BL183" s="13"/>
      <c r="BM183" s="13"/>
      <c r="BN183" s="13"/>
      <c r="BO183" s="13"/>
      <c r="BP183" s="13"/>
      <c r="BQ183" s="13"/>
      <c r="BR183" s="13"/>
      <c r="BS183" s="13"/>
      <c r="BT183" s="13"/>
      <c r="BU183" s="13"/>
      <c r="BV183" s="13"/>
      <c r="BW183" s="13"/>
      <c r="BX183" s="13"/>
      <c r="BY183" s="13"/>
      <c r="BZ183" s="13"/>
      <c r="CA183" s="13"/>
      <c r="CB183" s="13"/>
      <c r="CC183" s="13"/>
      <c r="CD183" s="13"/>
      <c r="CE183" s="13"/>
      <c r="CF183" s="13"/>
      <c r="CG183" s="13"/>
      <c r="CH183" s="13"/>
      <c r="CI183" s="13"/>
      <c r="CJ183" s="13"/>
      <c r="CK183" s="13"/>
      <c r="CL183" s="13"/>
      <c r="CM183" s="13"/>
      <c r="CN183" s="13"/>
      <c r="CO183" s="13"/>
      <c r="CP183" s="13"/>
      <c r="CQ183" s="13"/>
    </row>
    <row r="184" spans="1:95" ht="14.25" customHeight="1" x14ac:dyDescent="0.25">
      <c r="A184" s="13"/>
      <c r="B184" s="666" t="s">
        <v>435</v>
      </c>
      <c r="C184" s="677">
        <f>IF('GUIA DE APLICAÇÃO'!M730&gt;1,1,IF('GUIA DE APLICAÇÃO'!M730&lt;0,0,'GUIA DE APLICAÇÃO'!M730))</f>
        <v>0</v>
      </c>
      <c r="D184" s="122"/>
      <c r="E184" s="122"/>
      <c r="F184" s="122"/>
      <c r="G184" s="389">
        <v>13.5</v>
      </c>
      <c r="H184" s="389">
        <v>0.7</v>
      </c>
      <c r="I184" s="101"/>
      <c r="J184" s="182"/>
      <c r="K184" s="182"/>
      <c r="L184" s="182"/>
      <c r="M184" s="13"/>
      <c r="N184" s="13"/>
      <c r="O184" s="13"/>
      <c r="P184" s="13"/>
      <c r="Q184" s="13"/>
      <c r="R184" s="13"/>
      <c r="S184" s="13"/>
      <c r="T184" s="13"/>
      <c r="U184" s="13"/>
      <c r="V184" s="13"/>
      <c r="W184" s="13"/>
      <c r="X184" s="13"/>
      <c r="AD184" s="174"/>
      <c r="AM184" s="13"/>
      <c r="AN184" s="13"/>
      <c r="AO184" s="13"/>
      <c r="AP184" s="13"/>
      <c r="AQ184" s="13"/>
      <c r="AR184" s="13"/>
      <c r="AS184" s="13"/>
      <c r="AT184" s="13"/>
      <c r="AU184" s="13"/>
      <c r="AV184" s="13"/>
      <c r="AW184" s="13"/>
      <c r="AX184" s="13"/>
      <c r="AY184" s="13"/>
      <c r="AZ184" s="13"/>
      <c r="BA184" s="13"/>
      <c r="BB184" s="13"/>
      <c r="BC184" s="13"/>
      <c r="BD184" s="13"/>
      <c r="BE184" s="13"/>
      <c r="BF184" s="13"/>
      <c r="BG184" s="178"/>
      <c r="BH184" s="13"/>
      <c r="BI184" s="13"/>
      <c r="BJ184" s="13"/>
      <c r="BK184" s="13"/>
      <c r="BL184" s="13"/>
      <c r="BM184" s="13"/>
      <c r="BN184" s="13"/>
      <c r="BO184" s="13"/>
      <c r="BP184" s="13"/>
      <c r="BQ184" s="13"/>
      <c r="BR184" s="13"/>
      <c r="BS184" s="13"/>
      <c r="BT184" s="13"/>
      <c r="BU184" s="13"/>
      <c r="BV184" s="13"/>
      <c r="BW184" s="13"/>
      <c r="BX184" s="13"/>
      <c r="BY184" s="13"/>
      <c r="BZ184" s="13"/>
      <c r="CA184" s="13"/>
      <c r="CB184" s="13"/>
      <c r="CC184" s="13"/>
      <c r="CD184" s="13"/>
      <c r="CE184" s="13"/>
      <c r="CF184" s="13"/>
      <c r="CG184" s="13"/>
      <c r="CH184" s="13"/>
      <c r="CI184" s="13"/>
      <c r="CJ184" s="13"/>
      <c r="CK184" s="13"/>
      <c r="CL184" s="13"/>
      <c r="CM184" s="13"/>
      <c r="CN184" s="13"/>
      <c r="CO184" s="13"/>
      <c r="CP184" s="13"/>
      <c r="CQ184" s="13"/>
    </row>
    <row r="185" spans="1:95" ht="12" customHeight="1" x14ac:dyDescent="0.25">
      <c r="A185" s="13"/>
      <c r="B185" s="13"/>
      <c r="C185" s="13"/>
      <c r="D185" s="13"/>
      <c r="E185" s="13"/>
      <c r="F185" s="13"/>
      <c r="G185" s="13"/>
      <c r="H185" s="82"/>
      <c r="I185" s="82"/>
      <c r="J185" s="182"/>
      <c r="K185" s="182"/>
      <c r="L185" s="182"/>
      <c r="M185" s="13"/>
      <c r="N185" s="13"/>
      <c r="O185" s="13"/>
      <c r="P185" s="13"/>
      <c r="Q185" s="13"/>
      <c r="R185" s="13"/>
      <c r="S185" s="13"/>
      <c r="T185" s="13"/>
      <c r="U185" s="13"/>
      <c r="V185" s="13"/>
      <c r="W185" s="13"/>
      <c r="X185" s="13"/>
      <c r="AD185" s="13"/>
      <c r="AM185" s="13"/>
      <c r="AN185" s="13"/>
      <c r="AO185" s="13"/>
      <c r="AP185" s="13"/>
      <c r="AQ185" s="13"/>
      <c r="AR185" s="13"/>
      <c r="AS185" s="13"/>
      <c r="AT185" s="13"/>
      <c r="AU185" s="13"/>
      <c r="AV185" s="13"/>
      <c r="AW185" s="13"/>
      <c r="AX185" s="13"/>
      <c r="AY185" s="13"/>
      <c r="AZ185" s="13"/>
      <c r="BA185" s="13"/>
      <c r="BB185" s="13"/>
      <c r="BC185" s="13"/>
      <c r="BD185" s="13"/>
      <c r="BE185" s="13"/>
      <c r="BF185" s="13"/>
      <c r="BG185" s="178"/>
      <c r="BH185" s="13"/>
      <c r="BI185" s="13"/>
      <c r="BJ185" s="13"/>
      <c r="BK185" s="13"/>
      <c r="BL185" s="13"/>
      <c r="BM185" s="13"/>
      <c r="BN185" s="13"/>
      <c r="BO185" s="13"/>
      <c r="BP185" s="13"/>
      <c r="BQ185" s="13"/>
      <c r="BR185" s="13"/>
      <c r="BS185" s="13"/>
      <c r="BT185" s="13"/>
      <c r="BU185" s="13"/>
      <c r="BV185" s="13"/>
      <c r="BW185" s="13"/>
      <c r="BX185" s="13"/>
      <c r="BY185" s="13"/>
      <c r="BZ185" s="13"/>
      <c r="CA185" s="13"/>
      <c r="CB185" s="13"/>
      <c r="CC185" s="13"/>
      <c r="CD185" s="13"/>
      <c r="CE185" s="13"/>
      <c r="CF185" s="13"/>
      <c r="CG185" s="13"/>
      <c r="CH185" s="13"/>
      <c r="CI185" s="13"/>
      <c r="CJ185" s="13"/>
      <c r="CK185" s="13"/>
      <c r="CL185" s="13"/>
      <c r="CM185" s="13"/>
      <c r="CN185" s="13"/>
      <c r="CO185" s="13"/>
      <c r="CP185" s="13"/>
      <c r="CQ185" s="13"/>
    </row>
    <row r="186" spans="1:95" ht="17.25" customHeight="1" x14ac:dyDescent="0.25">
      <c r="A186" s="13"/>
      <c r="B186" s="711" t="s">
        <v>436</v>
      </c>
      <c r="C186" s="712" t="s">
        <v>437</v>
      </c>
      <c r="D186" s="713"/>
      <c r="E186" s="723"/>
      <c r="F186" s="722"/>
      <c r="G186" s="1812" t="s">
        <v>179</v>
      </c>
      <c r="H186" s="1813"/>
      <c r="I186" s="82"/>
      <c r="J186" s="182"/>
      <c r="K186" s="182"/>
      <c r="L186" s="182"/>
      <c r="M186" s="13"/>
      <c r="N186" s="13"/>
      <c r="O186" s="13"/>
      <c r="P186" s="13"/>
      <c r="Q186" s="13"/>
      <c r="R186" s="13"/>
      <c r="S186" s="13"/>
      <c r="T186" s="13"/>
      <c r="U186" s="13"/>
      <c r="V186" s="13"/>
      <c r="W186" s="13"/>
      <c r="X186" s="13"/>
      <c r="AD186" s="13"/>
      <c r="AM186" s="13"/>
      <c r="AN186" s="13"/>
      <c r="AO186" s="13"/>
      <c r="AP186" s="13"/>
      <c r="AQ186" s="13"/>
      <c r="AR186" s="13"/>
      <c r="AS186" s="13"/>
      <c r="AT186" s="13"/>
      <c r="AU186" s="13"/>
      <c r="AV186" s="13"/>
      <c r="AW186" s="13"/>
      <c r="AX186" s="13"/>
      <c r="AY186" s="13"/>
      <c r="AZ186" s="13"/>
      <c r="BA186" s="13"/>
      <c r="BB186" s="13"/>
      <c r="BC186" s="13"/>
      <c r="BD186" s="13"/>
      <c r="BE186" s="13"/>
      <c r="BF186" s="13"/>
      <c r="BG186" s="178"/>
      <c r="BH186" s="13"/>
      <c r="BI186" s="13"/>
      <c r="BJ186" s="13"/>
      <c r="BK186" s="13"/>
      <c r="BL186" s="13"/>
      <c r="BM186" s="13"/>
      <c r="BN186" s="13"/>
      <c r="BO186" s="13"/>
      <c r="BP186" s="13"/>
      <c r="BQ186" s="13"/>
      <c r="BR186" s="13"/>
      <c r="BS186" s="13"/>
      <c r="BT186" s="13"/>
      <c r="BU186" s="13"/>
      <c r="BV186" s="13"/>
      <c r="BW186" s="13"/>
      <c r="BX186" s="13"/>
      <c r="BY186" s="13"/>
      <c r="BZ186" s="13"/>
      <c r="CA186" s="13"/>
      <c r="CB186" s="13"/>
      <c r="CC186" s="13"/>
      <c r="CD186" s="13"/>
      <c r="CE186" s="13"/>
      <c r="CF186" s="13"/>
      <c r="CG186" s="13"/>
      <c r="CH186" s="13"/>
      <c r="CI186" s="13"/>
      <c r="CJ186" s="13"/>
      <c r="CK186" s="13"/>
      <c r="CL186" s="13"/>
      <c r="CM186" s="13"/>
      <c r="CN186" s="13"/>
      <c r="CO186" s="13"/>
      <c r="CP186" s="13"/>
      <c r="CQ186" s="13"/>
    </row>
    <row r="187" spans="1:95" ht="15" customHeight="1" x14ac:dyDescent="0.25">
      <c r="A187" s="13"/>
      <c r="B187" s="663"/>
      <c r="C187" s="664"/>
      <c r="D187" s="664"/>
      <c r="E187" s="745" t="s">
        <v>438</v>
      </c>
      <c r="F187" s="395" t="s">
        <v>430</v>
      </c>
      <c r="G187" s="389">
        <v>0</v>
      </c>
      <c r="H187" s="389">
        <v>0.1</v>
      </c>
      <c r="I187" s="82"/>
      <c r="J187" s="182"/>
      <c r="K187" s="182"/>
      <c r="L187" s="182"/>
      <c r="M187" s="13"/>
      <c r="N187" s="13"/>
      <c r="O187" s="13"/>
      <c r="P187" s="13"/>
      <c r="Q187" s="13"/>
      <c r="R187" s="13"/>
      <c r="S187" s="13"/>
      <c r="T187" s="13"/>
      <c r="U187" s="13"/>
      <c r="V187" s="13"/>
      <c r="W187" s="13"/>
      <c r="X187" s="13"/>
      <c r="AD187" s="13"/>
      <c r="AM187" s="13"/>
      <c r="AN187" s="13"/>
      <c r="AO187" s="13"/>
      <c r="AP187" s="13"/>
      <c r="AQ187" s="13"/>
      <c r="AR187" s="13"/>
      <c r="AS187" s="13"/>
      <c r="AT187" s="13"/>
      <c r="AU187" s="13"/>
      <c r="AV187" s="13"/>
      <c r="AW187" s="13"/>
      <c r="AX187" s="13"/>
      <c r="AY187" s="13"/>
      <c r="AZ187" s="13"/>
      <c r="BA187" s="13"/>
      <c r="BB187" s="13"/>
      <c r="BC187" s="13"/>
      <c r="BD187" s="13"/>
      <c r="BE187" s="13"/>
      <c r="BF187" s="13"/>
      <c r="BG187" s="178"/>
      <c r="BH187" s="13"/>
      <c r="BI187" s="13"/>
      <c r="BJ187" s="13"/>
      <c r="BK187" s="13"/>
      <c r="BL187" s="13"/>
      <c r="BM187" s="13"/>
      <c r="BN187" s="13"/>
      <c r="BO187" s="13"/>
      <c r="BP187" s="13"/>
      <c r="BQ187" s="13"/>
      <c r="BR187" s="13"/>
      <c r="BS187" s="13"/>
      <c r="BT187" s="13"/>
      <c r="BU187" s="13"/>
      <c r="BV187" s="13"/>
      <c r="BW187" s="13"/>
      <c r="BX187" s="13"/>
      <c r="BY187" s="13"/>
      <c r="BZ187" s="13"/>
      <c r="CA187" s="13"/>
      <c r="CB187" s="13"/>
      <c r="CC187" s="13"/>
      <c r="CD187" s="13"/>
      <c r="CE187" s="13"/>
      <c r="CF187" s="13"/>
      <c r="CG187" s="13"/>
      <c r="CH187" s="13"/>
      <c r="CI187" s="13"/>
      <c r="CJ187" s="13"/>
      <c r="CK187" s="13"/>
      <c r="CL187" s="13"/>
      <c r="CM187" s="13"/>
      <c r="CN187" s="13"/>
      <c r="CO187" s="13"/>
      <c r="CP187" s="13"/>
      <c r="CQ187" s="13"/>
    </row>
    <row r="188" spans="1:95" ht="15.75" customHeight="1" x14ac:dyDescent="0.25">
      <c r="A188" s="13"/>
      <c r="B188" s="1851" t="s">
        <v>433</v>
      </c>
      <c r="C188" s="1852"/>
      <c r="D188" s="1852"/>
      <c r="E188" s="1853"/>
      <c r="F188" s="90"/>
      <c r="G188" s="389">
        <v>5.0999999999999996</v>
      </c>
      <c r="H188" s="389">
        <v>0.25</v>
      </c>
      <c r="I188" s="82"/>
      <c r="J188" s="182"/>
      <c r="K188" s="182"/>
      <c r="L188" s="182"/>
      <c r="M188" s="13"/>
      <c r="N188" s="13"/>
      <c r="O188" s="13"/>
      <c r="P188" s="13"/>
      <c r="Q188" s="13"/>
      <c r="R188" s="13"/>
      <c r="S188" s="13"/>
      <c r="T188" s="13"/>
      <c r="U188" s="13"/>
      <c r="V188" s="13"/>
      <c r="W188" s="13"/>
      <c r="X188" s="13"/>
      <c r="AD188" s="13"/>
      <c r="AM188" s="13"/>
      <c r="AN188" s="13"/>
      <c r="AO188" s="13"/>
      <c r="AP188" s="13"/>
      <c r="AQ188" s="13"/>
      <c r="AR188" s="13"/>
      <c r="AS188" s="13"/>
      <c r="AT188" s="13"/>
      <c r="AU188" s="13"/>
      <c r="AV188" s="13"/>
      <c r="AW188" s="13"/>
      <c r="AX188" s="13"/>
      <c r="AY188" s="13"/>
      <c r="AZ188" s="13"/>
      <c r="BA188" s="13"/>
      <c r="BB188" s="13"/>
      <c r="BC188" s="13"/>
      <c r="BD188" s="13"/>
      <c r="BE188" s="13"/>
      <c r="BF188" s="13"/>
      <c r="BG188" s="178"/>
      <c r="BH188" s="13"/>
      <c r="BI188" s="13"/>
      <c r="BJ188" s="13"/>
      <c r="BK188" s="13"/>
      <c r="BL188" s="13"/>
      <c r="BM188" s="13"/>
      <c r="BN188" s="13"/>
      <c r="BO188" s="13"/>
      <c r="BP188" s="13"/>
      <c r="BQ188" s="13"/>
      <c r="BR188" s="13"/>
      <c r="BS188" s="13"/>
      <c r="BT188" s="13"/>
      <c r="BU188" s="13"/>
      <c r="BV188" s="13"/>
      <c r="BW188" s="13"/>
      <c r="BX188" s="13"/>
      <c r="BY188" s="13"/>
      <c r="BZ188" s="13"/>
      <c r="CA188" s="13"/>
      <c r="CB188" s="13"/>
      <c r="CC188" s="13"/>
      <c r="CD188" s="13"/>
      <c r="CE188" s="13"/>
      <c r="CF188" s="13"/>
      <c r="CG188" s="13"/>
      <c r="CH188" s="13"/>
      <c r="CI188" s="13"/>
      <c r="CJ188" s="13"/>
      <c r="CK188" s="13"/>
      <c r="CL188" s="13"/>
      <c r="CM188" s="13"/>
      <c r="CN188" s="13"/>
      <c r="CO188" s="13"/>
      <c r="CP188" s="13"/>
      <c r="CQ188" s="13"/>
    </row>
    <row r="189" spans="1:95" ht="16.5" customHeight="1" x14ac:dyDescent="0.25">
      <c r="A189" s="13"/>
      <c r="B189" s="665" t="s">
        <v>418</v>
      </c>
      <c r="C189" s="665" t="s">
        <v>421</v>
      </c>
      <c r="D189" s="665" t="s">
        <v>423</v>
      </c>
      <c r="E189" s="668" t="s">
        <v>434</v>
      </c>
      <c r="F189" s="175"/>
      <c r="G189" s="389">
        <v>8.1</v>
      </c>
      <c r="H189" s="389">
        <v>0.5</v>
      </c>
      <c r="I189" s="82"/>
      <c r="J189" s="182"/>
      <c r="K189" s="182"/>
      <c r="L189" s="182"/>
      <c r="M189" s="13"/>
      <c r="N189" s="13"/>
      <c r="O189" s="13"/>
      <c r="P189" s="13"/>
      <c r="Q189" s="13"/>
      <c r="R189" s="13"/>
      <c r="S189" s="13"/>
      <c r="T189" s="13"/>
      <c r="U189" s="13"/>
      <c r="V189" s="13"/>
      <c r="W189" s="13"/>
      <c r="X189" s="13"/>
      <c r="AD189" s="13"/>
      <c r="AM189" s="13"/>
      <c r="AN189" s="13"/>
      <c r="AO189" s="13"/>
      <c r="AP189" s="13"/>
      <c r="AQ189" s="13"/>
      <c r="AR189" s="13"/>
      <c r="AS189" s="13"/>
      <c r="AT189" s="13"/>
      <c r="AU189" s="13"/>
      <c r="AV189" s="13"/>
      <c r="AW189" s="13"/>
      <c r="AX189" s="13"/>
      <c r="AY189" s="13"/>
      <c r="AZ189" s="13"/>
      <c r="BA189" s="13"/>
      <c r="BB189" s="13"/>
      <c r="BC189" s="13"/>
      <c r="BD189" s="13"/>
      <c r="BE189" s="13"/>
      <c r="BF189" s="13"/>
      <c r="BG189" s="178"/>
      <c r="BH189" s="13"/>
      <c r="BI189" s="13"/>
      <c r="BJ189" s="13"/>
      <c r="BK189" s="13"/>
      <c r="BL189" s="13"/>
      <c r="BM189" s="13"/>
      <c r="BN189" s="13"/>
      <c r="BO189" s="13"/>
      <c r="BP189" s="13"/>
      <c r="BQ189" s="13"/>
      <c r="BR189" s="13"/>
      <c r="BS189" s="13"/>
      <c r="BT189" s="13"/>
      <c r="BU189" s="13"/>
      <c r="BV189" s="13"/>
      <c r="BW189" s="13"/>
      <c r="BX189" s="13"/>
      <c r="BY189" s="13"/>
      <c r="BZ189" s="13"/>
      <c r="CA189" s="13"/>
      <c r="CB189" s="13"/>
      <c r="CC189" s="13"/>
      <c r="CD189" s="13"/>
      <c r="CE189" s="13"/>
      <c r="CF189" s="13"/>
      <c r="CG189" s="13"/>
      <c r="CH189" s="13"/>
      <c r="CI189" s="13"/>
      <c r="CJ189" s="13"/>
      <c r="CK189" s="13"/>
      <c r="CL189" s="13"/>
      <c r="CM189" s="13"/>
      <c r="CN189" s="13"/>
      <c r="CO189" s="13"/>
      <c r="CP189" s="13"/>
      <c r="CQ189" s="13"/>
    </row>
    <row r="190" spans="1:95" ht="16.5" customHeight="1" x14ac:dyDescent="0.25">
      <c r="A190" s="13"/>
      <c r="B190" s="1352"/>
      <c r="C190" s="1353"/>
      <c r="D190" s="1353"/>
      <c r="E190" s="1354"/>
      <c r="F190" s="177"/>
      <c r="G190" s="389">
        <v>12.1</v>
      </c>
      <c r="H190" s="389">
        <v>0.7</v>
      </c>
      <c r="I190" s="82"/>
      <c r="J190" s="182"/>
      <c r="K190" s="182"/>
      <c r="L190" s="182"/>
      <c r="M190" s="13"/>
      <c r="N190" s="13"/>
      <c r="O190" s="13"/>
      <c r="P190" s="13"/>
      <c r="Q190" s="13"/>
      <c r="R190" s="13"/>
      <c r="S190" s="13"/>
      <c r="T190" s="13"/>
      <c r="U190" s="13"/>
      <c r="V190" s="13"/>
      <c r="W190" s="13"/>
      <c r="X190" s="13"/>
      <c r="Y190" s="13"/>
      <c r="Z190" s="13"/>
      <c r="AA190" s="13"/>
      <c r="AB190" s="13"/>
      <c r="AC190" s="13"/>
      <c r="AD190" s="13"/>
      <c r="AM190" s="13"/>
      <c r="AN190" s="13"/>
      <c r="AO190" s="13"/>
      <c r="AP190" s="13"/>
      <c r="AQ190" s="13"/>
      <c r="AR190" s="13"/>
      <c r="AS190" s="13"/>
      <c r="AT190" s="13"/>
      <c r="AU190" s="13"/>
      <c r="AV190" s="13"/>
      <c r="AW190" s="13"/>
      <c r="AX190" s="13"/>
      <c r="AY190" s="13"/>
      <c r="AZ190" s="13"/>
      <c r="BA190" s="13"/>
      <c r="BB190" s="13"/>
      <c r="BC190" s="13"/>
      <c r="BD190" s="13"/>
      <c r="BE190" s="13"/>
      <c r="BF190" s="13"/>
      <c r="BG190" s="178"/>
      <c r="BH190" s="13"/>
      <c r="BI190" s="13"/>
      <c r="BJ190" s="13"/>
      <c r="BK190" s="13"/>
      <c r="BL190" s="13"/>
      <c r="BM190" s="13"/>
      <c r="BN190" s="13"/>
      <c r="BO190" s="13"/>
      <c r="BP190" s="13"/>
      <c r="BQ190" s="13"/>
      <c r="BR190" s="13"/>
      <c r="BS190" s="13"/>
      <c r="BT190" s="13"/>
      <c r="BU190" s="13"/>
      <c r="BV190" s="13"/>
      <c r="BW190" s="13"/>
      <c r="BX190" s="13"/>
      <c r="BY190" s="13"/>
      <c r="BZ190" s="13"/>
      <c r="CA190" s="13"/>
      <c r="CB190" s="13"/>
      <c r="CC190" s="13"/>
      <c r="CD190" s="13"/>
      <c r="CE190" s="13"/>
      <c r="CF190" s="13"/>
      <c r="CG190" s="13"/>
      <c r="CH190" s="13"/>
      <c r="CI190" s="13"/>
      <c r="CJ190" s="13"/>
      <c r="CK190" s="13"/>
      <c r="CL190" s="13"/>
      <c r="CM190" s="13"/>
      <c r="CN190" s="13"/>
      <c r="CO190" s="13"/>
      <c r="CP190" s="13"/>
      <c r="CQ190" s="13"/>
    </row>
    <row r="191" spans="1:95" ht="12.75" customHeight="1" x14ac:dyDescent="0.25">
      <c r="A191" s="13"/>
      <c r="B191" s="188"/>
      <c r="C191" s="13"/>
      <c r="D191" s="13"/>
      <c r="E191" s="13"/>
      <c r="F191" s="179"/>
      <c r="G191" s="389">
        <v>18</v>
      </c>
      <c r="H191" s="389">
        <v>1</v>
      </c>
      <c r="I191" s="82"/>
      <c r="J191" s="182"/>
      <c r="K191" s="182"/>
      <c r="L191" s="182"/>
      <c r="M191" s="13"/>
      <c r="N191" s="13"/>
      <c r="O191" s="13"/>
      <c r="P191" s="13"/>
      <c r="Q191" s="13"/>
      <c r="R191" s="13"/>
      <c r="S191" s="13"/>
      <c r="T191" s="13"/>
      <c r="U191" s="13"/>
      <c r="V191" s="13"/>
      <c r="W191" s="13"/>
      <c r="X191" s="13"/>
      <c r="Y191" s="13"/>
      <c r="Z191" s="13"/>
      <c r="AA191" s="13"/>
      <c r="AB191" s="13"/>
      <c r="AC191" s="13"/>
      <c r="AD191" s="13"/>
      <c r="AM191" s="13"/>
      <c r="AN191" s="13"/>
      <c r="AO191" s="13"/>
      <c r="AP191" s="13"/>
      <c r="AQ191" s="13"/>
      <c r="AR191" s="13"/>
      <c r="AS191" s="13"/>
      <c r="AT191" s="13"/>
      <c r="AU191" s="13"/>
      <c r="AV191" s="13"/>
      <c r="AW191" s="13"/>
      <c r="AX191" s="13"/>
      <c r="AY191" s="13"/>
      <c r="AZ191" s="13"/>
      <c r="BA191" s="174"/>
      <c r="BB191" s="174"/>
      <c r="BC191" s="174"/>
      <c r="BD191" s="174"/>
      <c r="BE191" s="174"/>
      <c r="BF191" s="174"/>
      <c r="BG191" s="178"/>
      <c r="BH191" s="13"/>
      <c r="BI191" s="13"/>
      <c r="BJ191" s="13"/>
      <c r="BK191" s="13"/>
      <c r="BL191" s="13"/>
      <c r="BM191" s="13"/>
      <c r="BN191" s="13"/>
      <c r="BO191" s="13"/>
      <c r="BP191" s="13"/>
      <c r="BQ191" s="13"/>
      <c r="BR191" s="13"/>
      <c r="BS191" s="13"/>
      <c r="BT191" s="13"/>
      <c r="BU191" s="13"/>
      <c r="BV191" s="13"/>
      <c r="BW191" s="13"/>
      <c r="BX191" s="13"/>
      <c r="BY191" s="13"/>
      <c r="BZ191" s="13"/>
      <c r="CA191" s="13"/>
      <c r="CB191" s="13"/>
      <c r="CC191" s="13"/>
      <c r="CD191" s="13"/>
      <c r="CE191" s="13"/>
      <c r="CF191" s="13"/>
      <c r="CG191" s="13"/>
      <c r="CH191" s="13"/>
      <c r="CI191" s="13"/>
      <c r="CJ191" s="13"/>
      <c r="CK191" s="13"/>
      <c r="CL191" s="13"/>
      <c r="CM191" s="13"/>
      <c r="CN191" s="13"/>
      <c r="CO191" s="13"/>
      <c r="CP191" s="13"/>
      <c r="CQ191" s="13"/>
    </row>
    <row r="192" spans="1:95" ht="15.75" customHeight="1" x14ac:dyDescent="0.25">
      <c r="A192" s="13"/>
      <c r="B192" s="666" t="s">
        <v>435</v>
      </c>
      <c r="C192" s="677">
        <f>IF('GUIA DE APLICAÇÃO'!F769&gt;1,1,IF('GUIA DE APLICAÇÃO'!F769&lt;0,0,'GUIA DE APLICAÇÃO'!F769))</f>
        <v>0</v>
      </c>
      <c r="D192" s="189"/>
      <c r="E192" s="190"/>
      <c r="F192" s="122"/>
      <c r="G192" s="389">
        <v>180</v>
      </c>
      <c r="H192" s="389">
        <v>0.7</v>
      </c>
      <c r="I192" s="82"/>
      <c r="J192" s="182"/>
      <c r="K192" s="182"/>
      <c r="L192" s="182"/>
      <c r="M192" s="13"/>
      <c r="N192" s="13"/>
      <c r="O192" s="13"/>
      <c r="P192" s="13"/>
      <c r="Q192" s="13"/>
      <c r="R192" s="13"/>
      <c r="S192" s="13"/>
      <c r="T192" s="13"/>
      <c r="U192" s="13"/>
      <c r="V192" s="13"/>
      <c r="W192" s="13"/>
      <c r="X192" s="13"/>
      <c r="Y192" s="13"/>
      <c r="Z192" s="13"/>
      <c r="AA192" s="13"/>
      <c r="AB192" s="13"/>
      <c r="AC192" s="13"/>
      <c r="AD192" s="13"/>
      <c r="AM192" s="13"/>
      <c r="AN192" s="13"/>
      <c r="AO192" s="13"/>
      <c r="AP192" s="13"/>
      <c r="AQ192" s="13"/>
      <c r="AR192" s="13"/>
      <c r="AS192" s="13"/>
      <c r="AT192" s="13"/>
      <c r="AU192" s="13"/>
      <c r="AV192" s="13"/>
      <c r="AW192" s="13"/>
      <c r="AX192" s="13"/>
      <c r="AY192" s="13"/>
      <c r="AZ192" s="13"/>
      <c r="BA192" s="13"/>
      <c r="BB192" s="13"/>
      <c r="BC192" s="13"/>
      <c r="BD192" s="13"/>
      <c r="BE192" s="13"/>
      <c r="BF192" s="13"/>
      <c r="BG192" s="178"/>
      <c r="BH192" s="13"/>
      <c r="BI192" s="13"/>
      <c r="BJ192" s="13"/>
      <c r="BK192" s="13"/>
      <c r="BL192" s="13"/>
      <c r="BM192" s="13"/>
      <c r="BN192" s="13"/>
      <c r="BO192" s="13"/>
      <c r="BP192" s="13"/>
      <c r="BQ192" s="13"/>
      <c r="BR192" s="13"/>
      <c r="BS192" s="13"/>
      <c r="BT192" s="13"/>
      <c r="BU192" s="13"/>
      <c r="BV192" s="13"/>
      <c r="BW192" s="13"/>
      <c r="BX192" s="13"/>
      <c r="BY192" s="13"/>
      <c r="BZ192" s="13"/>
      <c r="CA192" s="13"/>
      <c r="CB192" s="13"/>
      <c r="CC192" s="13"/>
      <c r="CD192" s="13"/>
      <c r="CE192" s="13"/>
      <c r="CF192" s="13"/>
      <c r="CG192" s="13"/>
      <c r="CH192" s="13"/>
      <c r="CI192" s="13"/>
      <c r="CJ192" s="13"/>
      <c r="CK192" s="13"/>
      <c r="CL192" s="13"/>
      <c r="CM192" s="13"/>
      <c r="CN192" s="13"/>
      <c r="CO192" s="13"/>
      <c r="CP192" s="13"/>
      <c r="CQ192" s="13"/>
    </row>
    <row r="193" spans="1:95" ht="15" customHeight="1" x14ac:dyDescent="0.25">
      <c r="A193" s="13"/>
      <c r="B193" s="13"/>
      <c r="C193" s="13"/>
      <c r="D193" s="13"/>
      <c r="E193" s="13"/>
      <c r="F193" s="13"/>
      <c r="G193" s="13"/>
      <c r="H193" s="82"/>
      <c r="I193" s="82"/>
      <c r="J193" s="182"/>
      <c r="K193" s="182"/>
      <c r="L193" s="182"/>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78"/>
      <c r="AQ193" s="13"/>
      <c r="AR193" s="13"/>
      <c r="AS193" s="13"/>
      <c r="AT193" s="13"/>
      <c r="AU193" s="13"/>
      <c r="AV193" s="13"/>
      <c r="AW193" s="13"/>
      <c r="AX193" s="13"/>
      <c r="AY193" s="13"/>
      <c r="AZ193" s="13"/>
      <c r="BA193" s="13"/>
      <c r="BB193" s="13"/>
      <c r="BC193" s="13"/>
      <c r="BD193" s="13"/>
      <c r="BE193" s="13"/>
      <c r="BF193" s="13"/>
      <c r="BG193" s="178"/>
      <c r="BH193" s="13"/>
      <c r="BI193" s="13"/>
      <c r="BJ193" s="13"/>
      <c r="BK193" s="13"/>
      <c r="BL193" s="13"/>
      <c r="BM193" s="13"/>
      <c r="BN193" s="13"/>
      <c r="BO193" s="13"/>
      <c r="BP193" s="13"/>
      <c r="BQ193" s="13"/>
      <c r="BR193" s="13"/>
      <c r="BS193" s="13"/>
      <c r="BT193" s="13"/>
      <c r="BU193" s="13"/>
      <c r="BV193" s="13"/>
      <c r="BW193" s="13"/>
      <c r="BX193" s="13"/>
      <c r="BY193" s="13"/>
      <c r="BZ193" s="13"/>
      <c r="CA193" s="13"/>
      <c r="CB193" s="13"/>
      <c r="CC193" s="13"/>
      <c r="CD193" s="13"/>
      <c r="CE193" s="13"/>
      <c r="CF193" s="13"/>
      <c r="CG193" s="13"/>
      <c r="CH193" s="13"/>
      <c r="CI193" s="13"/>
      <c r="CJ193" s="13"/>
      <c r="CK193" s="13"/>
      <c r="CL193" s="13"/>
      <c r="CM193" s="13"/>
      <c r="CN193" s="13"/>
      <c r="CO193" s="13"/>
      <c r="CP193" s="13"/>
      <c r="CQ193" s="13"/>
    </row>
    <row r="194" spans="1:95" ht="15.75" customHeight="1" x14ac:dyDescent="0.25">
      <c r="A194" s="13"/>
      <c r="B194" s="711" t="s">
        <v>439</v>
      </c>
      <c r="C194" s="712" t="s">
        <v>440</v>
      </c>
      <c r="D194" s="723"/>
      <c r="E194" s="1863" t="s">
        <v>179</v>
      </c>
      <c r="F194" s="724">
        <v>0</v>
      </c>
      <c r="G194" s="724">
        <v>0.1</v>
      </c>
      <c r="H194" s="725"/>
      <c r="I194" s="101"/>
      <c r="J194" s="182"/>
      <c r="K194" s="182"/>
      <c r="L194" s="182"/>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c r="BG194" s="13"/>
      <c r="BH194" s="13"/>
      <c r="BI194" s="13"/>
      <c r="BJ194" s="13"/>
      <c r="BK194" s="13"/>
      <c r="BL194" s="13"/>
      <c r="BM194" s="13"/>
      <c r="BN194" s="13"/>
      <c r="BO194" s="13"/>
      <c r="BP194" s="13"/>
      <c r="BQ194" s="13"/>
      <c r="BR194" s="13"/>
      <c r="BS194" s="13"/>
      <c r="BT194" s="13"/>
      <c r="BU194" s="13"/>
      <c r="BV194" s="13"/>
      <c r="BW194" s="13"/>
      <c r="BX194" s="13"/>
      <c r="BY194" s="13"/>
      <c r="BZ194" s="13"/>
      <c r="CA194" s="13"/>
      <c r="CB194" s="13"/>
      <c r="CC194" s="13"/>
      <c r="CD194" s="13"/>
      <c r="CE194" s="13"/>
      <c r="CF194" s="13"/>
      <c r="CG194" s="13"/>
      <c r="CH194" s="13"/>
      <c r="CI194" s="13"/>
      <c r="CJ194" s="13"/>
      <c r="CK194" s="13"/>
      <c r="CL194" s="13"/>
      <c r="CM194" s="13"/>
      <c r="CN194" s="13"/>
      <c r="CO194" s="13"/>
      <c r="CP194" s="13"/>
      <c r="CQ194" s="13"/>
    </row>
    <row r="195" spans="1:95" ht="15" customHeight="1" x14ac:dyDescent="0.25">
      <c r="A195" s="13"/>
      <c r="B195" s="610"/>
      <c r="C195" s="215"/>
      <c r="D195" s="38"/>
      <c r="E195" s="1816"/>
      <c r="F195" s="389">
        <v>0.41</v>
      </c>
      <c r="G195" s="389">
        <v>0.25</v>
      </c>
      <c r="H195" s="94"/>
      <c r="I195" s="101"/>
      <c r="J195" s="182"/>
      <c r="K195" s="182"/>
      <c r="L195" s="182"/>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c r="BI195" s="13"/>
      <c r="BJ195" s="13"/>
      <c r="BK195" s="13"/>
      <c r="BL195" s="13"/>
      <c r="BM195" s="13"/>
      <c r="BN195" s="13"/>
      <c r="BO195" s="13"/>
      <c r="BP195" s="13"/>
      <c r="BQ195" s="13"/>
      <c r="BR195" s="13"/>
      <c r="BS195" s="13"/>
      <c r="BT195" s="13"/>
      <c r="BU195" s="13"/>
      <c r="BV195" s="13"/>
      <c r="BW195" s="13"/>
      <c r="BX195" s="13"/>
      <c r="BY195" s="13"/>
      <c r="BZ195" s="13"/>
      <c r="CA195" s="13"/>
      <c r="CB195" s="13"/>
      <c r="CC195" s="13"/>
      <c r="CD195" s="13"/>
      <c r="CE195" s="13"/>
      <c r="CF195" s="13"/>
      <c r="CG195" s="13"/>
      <c r="CH195" s="13"/>
      <c r="CI195" s="13"/>
      <c r="CJ195" s="13"/>
      <c r="CK195" s="13"/>
      <c r="CL195" s="13"/>
      <c r="CM195" s="13"/>
      <c r="CN195" s="13"/>
      <c r="CO195" s="13"/>
      <c r="CP195" s="13"/>
      <c r="CQ195" s="13"/>
    </row>
    <row r="196" spans="1:95" ht="14.25" customHeight="1" x14ac:dyDescent="0.25">
      <c r="A196" s="13"/>
      <c r="B196" s="192"/>
      <c r="C196" s="745" t="s">
        <v>441</v>
      </c>
      <c r="D196" s="673" t="s">
        <v>274</v>
      </c>
      <c r="E196" s="346"/>
      <c r="F196" s="389">
        <v>1.21</v>
      </c>
      <c r="G196" s="389">
        <v>0.5</v>
      </c>
      <c r="H196" s="94"/>
      <c r="I196" s="101"/>
      <c r="J196" s="182"/>
      <c r="K196" s="182"/>
      <c r="L196" s="182"/>
      <c r="M196" s="13"/>
      <c r="N196" s="13"/>
      <c r="O196" s="13"/>
      <c r="P196" s="13"/>
      <c r="Q196" s="13"/>
      <c r="R196" s="13"/>
      <c r="S196" s="13"/>
      <c r="T196" s="13"/>
      <c r="U196" s="13"/>
      <c r="V196" s="13"/>
      <c r="W196" s="13"/>
      <c r="X196" s="13"/>
      <c r="Y196" s="174"/>
      <c r="Z196" s="174"/>
      <c r="AA196" s="174"/>
      <c r="AB196" s="174"/>
      <c r="AC196" s="174"/>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c r="BG196" s="13"/>
      <c r="BH196" s="13"/>
      <c r="BI196" s="13"/>
      <c r="BJ196" s="13"/>
      <c r="BK196" s="13"/>
      <c r="BL196" s="13"/>
      <c r="BM196" s="13"/>
      <c r="BN196" s="13"/>
      <c r="BO196" s="13"/>
      <c r="BP196" s="13"/>
      <c r="BQ196" s="13"/>
      <c r="BR196" s="13"/>
      <c r="BS196" s="13"/>
      <c r="BT196" s="13"/>
      <c r="BU196" s="13"/>
      <c r="BV196" s="13"/>
      <c r="BW196" s="13"/>
      <c r="BX196" s="13"/>
      <c r="BY196" s="13"/>
      <c r="BZ196" s="13"/>
      <c r="CA196" s="13"/>
      <c r="CB196" s="13"/>
      <c r="CC196" s="13"/>
      <c r="CD196" s="13"/>
      <c r="CE196" s="13"/>
      <c r="CF196" s="13"/>
      <c r="CG196" s="13"/>
      <c r="CH196" s="13"/>
      <c r="CI196" s="13"/>
      <c r="CJ196" s="13"/>
      <c r="CK196" s="13"/>
      <c r="CL196" s="13"/>
      <c r="CM196" s="13"/>
      <c r="CN196" s="13"/>
      <c r="CO196" s="13"/>
      <c r="CP196" s="13"/>
      <c r="CQ196" s="13"/>
    </row>
    <row r="197" spans="1:95" ht="14.25" customHeight="1" x14ac:dyDescent="0.25">
      <c r="A197" s="13"/>
      <c r="B197" s="659" t="s">
        <v>442</v>
      </c>
      <c r="C197" s="1355"/>
      <c r="D197" s="677">
        <f>IF(ISBLANK(C197),0,IF('GUIA DE APLICAÇÃO'!I792&gt;1,1,IF('GUIA DE APLICAÇÃO'!I792&lt;0,0,'GUIA DE APLICAÇÃO'!I792)))</f>
        <v>0</v>
      </c>
      <c r="E197" s="346"/>
      <c r="F197" s="389">
        <v>2.41</v>
      </c>
      <c r="G197" s="389">
        <v>0.7</v>
      </c>
      <c r="H197" s="94"/>
      <c r="I197" s="101"/>
      <c r="J197" s="177"/>
      <c r="K197" s="13"/>
      <c r="L197" s="13"/>
      <c r="M197" s="13"/>
      <c r="N197" s="13"/>
      <c r="O197" s="13"/>
      <c r="P197" s="13"/>
      <c r="Q197" s="13"/>
      <c r="R197" s="13"/>
      <c r="S197" s="13"/>
      <c r="T197" s="13"/>
      <c r="U197" s="13"/>
      <c r="V197" s="13"/>
      <c r="W197" s="13"/>
      <c r="X197" s="13"/>
      <c r="AA197" s="193"/>
      <c r="AI197" s="38"/>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c r="BI197" s="13"/>
      <c r="BJ197" s="13"/>
      <c r="BK197" s="13"/>
      <c r="BL197" s="13"/>
      <c r="BM197" s="13"/>
      <c r="BN197" s="13"/>
      <c r="BO197" s="13"/>
      <c r="BP197" s="13"/>
      <c r="BQ197" s="13"/>
      <c r="BR197" s="13"/>
      <c r="BS197" s="13"/>
      <c r="BT197" s="13"/>
      <c r="BU197" s="13"/>
      <c r="BV197" s="13"/>
      <c r="BW197" s="13"/>
      <c r="BX197" s="13"/>
      <c r="BY197" s="13"/>
      <c r="BZ197" s="13"/>
      <c r="CA197" s="13"/>
      <c r="CB197" s="13"/>
      <c r="CC197" s="13"/>
      <c r="CD197" s="13"/>
      <c r="CE197" s="13"/>
      <c r="CF197" s="13"/>
      <c r="CG197" s="13"/>
      <c r="CH197" s="13"/>
      <c r="CI197" s="13"/>
      <c r="CJ197" s="13"/>
      <c r="CK197" s="13"/>
      <c r="CL197" s="13"/>
      <c r="CM197" s="13"/>
      <c r="CN197" s="13"/>
      <c r="CO197" s="13"/>
      <c r="CP197" s="13"/>
      <c r="CQ197" s="13"/>
    </row>
    <row r="198" spans="1:95" ht="13.5" customHeight="1" x14ac:dyDescent="0.25">
      <c r="A198" s="13"/>
      <c r="B198" s="93"/>
      <c r="C198" s="38"/>
      <c r="D198" s="38"/>
      <c r="E198" s="346"/>
      <c r="F198" s="389">
        <v>4</v>
      </c>
      <c r="G198" s="389">
        <v>1</v>
      </c>
      <c r="H198" s="94"/>
      <c r="I198" s="101"/>
      <c r="J198" s="13"/>
      <c r="K198" s="13"/>
      <c r="L198" s="13"/>
      <c r="M198" s="13"/>
      <c r="N198" s="13"/>
      <c r="O198" s="13"/>
      <c r="P198" s="13"/>
      <c r="Q198" s="13"/>
      <c r="R198" s="13"/>
      <c r="S198" s="13"/>
      <c r="T198" s="13"/>
      <c r="U198" s="13"/>
      <c r="V198" s="13"/>
      <c r="W198" s="13"/>
      <c r="X198" s="193"/>
      <c r="AA198" s="193"/>
      <c r="AI198" s="38"/>
      <c r="AM198" s="13"/>
      <c r="AN198" s="13"/>
      <c r="AO198" s="13"/>
      <c r="AP198" s="13"/>
      <c r="AQ198" s="13"/>
      <c r="AR198" s="13"/>
      <c r="AS198" s="13"/>
      <c r="AT198" s="13"/>
      <c r="AU198" s="13"/>
      <c r="AV198" s="13"/>
      <c r="AW198" s="13"/>
      <c r="AX198" s="13"/>
      <c r="AY198" s="13"/>
      <c r="AZ198" s="13"/>
      <c r="BA198" s="13"/>
      <c r="BB198" s="13"/>
      <c r="BC198" s="13"/>
      <c r="BD198" s="13"/>
      <c r="BE198" s="13"/>
      <c r="BF198" s="13"/>
      <c r="BG198" s="13"/>
      <c r="BH198" s="13"/>
      <c r="BI198" s="13"/>
      <c r="BJ198" s="13"/>
      <c r="BK198" s="13"/>
      <c r="BL198" s="13"/>
      <c r="BM198" s="13"/>
      <c r="BN198" s="13"/>
      <c r="BO198" s="13"/>
      <c r="BP198" s="13"/>
      <c r="BQ198" s="13"/>
      <c r="BR198" s="13"/>
      <c r="BS198" s="13"/>
      <c r="BT198" s="13"/>
      <c r="BU198" s="13"/>
      <c r="BV198" s="13"/>
      <c r="BW198" s="13"/>
      <c r="BX198" s="13"/>
      <c r="BY198" s="13"/>
      <c r="BZ198" s="13"/>
      <c r="CA198" s="13"/>
      <c r="CB198" s="13"/>
      <c r="CC198" s="13"/>
      <c r="CD198" s="13"/>
      <c r="CE198" s="13"/>
      <c r="CF198" s="13"/>
      <c r="CG198" s="13"/>
      <c r="CH198" s="13"/>
      <c r="CI198" s="13"/>
      <c r="CJ198" s="13"/>
      <c r="CK198" s="13"/>
      <c r="CL198" s="13"/>
      <c r="CM198" s="13"/>
      <c r="CN198" s="13"/>
      <c r="CO198" s="13"/>
      <c r="CP198" s="13"/>
      <c r="CQ198" s="13"/>
    </row>
    <row r="199" spans="1:95" ht="14.25" customHeight="1" x14ac:dyDescent="0.25">
      <c r="A199" s="13"/>
      <c r="B199" s="731"/>
      <c r="C199" s="726"/>
      <c r="D199" s="727"/>
      <c r="E199" s="728"/>
      <c r="F199" s="729">
        <v>20</v>
      </c>
      <c r="G199" s="729">
        <v>0.7</v>
      </c>
      <c r="H199" s="732"/>
      <c r="I199" s="694"/>
      <c r="J199" s="196"/>
      <c r="K199" s="137"/>
      <c r="L199" s="182"/>
      <c r="M199" s="193"/>
      <c r="N199" s="197"/>
      <c r="O199" s="193"/>
      <c r="P199" s="173"/>
      <c r="Q199" s="137"/>
      <c r="R199" s="198"/>
      <c r="S199" s="182"/>
      <c r="T199" s="193"/>
      <c r="U199" s="182"/>
      <c r="V199" s="193"/>
      <c r="W199" s="13"/>
      <c r="X199" s="193"/>
      <c r="AA199" s="193"/>
      <c r="AI199" s="13"/>
      <c r="AM199" s="13"/>
      <c r="AN199" s="13"/>
      <c r="AO199" s="13"/>
      <c r="AP199" s="13"/>
      <c r="AQ199" s="13"/>
      <c r="AR199" s="13"/>
      <c r="AS199" s="13"/>
      <c r="AT199" s="13"/>
      <c r="AU199" s="13"/>
      <c r="AV199" s="13"/>
      <c r="AW199" s="13"/>
      <c r="AX199" s="13"/>
      <c r="AY199" s="13"/>
      <c r="AZ199" s="13"/>
      <c r="BA199" s="13"/>
      <c r="BB199" s="13"/>
      <c r="BC199" s="13"/>
      <c r="BD199" s="13"/>
      <c r="BE199" s="13"/>
      <c r="BF199" s="13"/>
      <c r="BG199" s="13"/>
      <c r="BH199" s="13"/>
      <c r="BI199" s="13"/>
      <c r="BJ199" s="13"/>
      <c r="BK199" s="13"/>
      <c r="BL199" s="13"/>
      <c r="BM199" s="13"/>
      <c r="BN199" s="13"/>
      <c r="BO199" s="13"/>
      <c r="BP199" s="13"/>
      <c r="BQ199" s="13"/>
      <c r="BR199" s="13"/>
      <c r="BS199" s="13"/>
      <c r="BT199" s="13"/>
      <c r="BU199" s="13"/>
      <c r="BV199" s="13"/>
      <c r="BW199" s="13"/>
      <c r="BX199" s="13"/>
      <c r="BY199" s="13"/>
      <c r="BZ199" s="13"/>
      <c r="CA199" s="13"/>
      <c r="CB199" s="13"/>
      <c r="CC199" s="13"/>
      <c r="CD199" s="13"/>
      <c r="CE199" s="13"/>
      <c r="CF199" s="13"/>
      <c r="CG199" s="13"/>
      <c r="CH199" s="13"/>
      <c r="CI199" s="13"/>
      <c r="CJ199" s="13"/>
      <c r="CK199" s="13"/>
      <c r="CL199" s="13"/>
      <c r="CM199" s="13"/>
      <c r="CN199" s="13"/>
      <c r="CO199" s="13"/>
      <c r="CP199" s="13"/>
      <c r="CQ199" s="13"/>
    </row>
    <row r="200" spans="1:95" ht="16.5" customHeight="1" x14ac:dyDescent="0.25">
      <c r="A200" s="13"/>
      <c r="B200" s="13"/>
      <c r="C200" s="13"/>
      <c r="D200" s="13"/>
      <c r="E200" s="57"/>
      <c r="F200" s="57"/>
      <c r="G200" s="57"/>
      <c r="H200" s="13"/>
      <c r="I200" s="694"/>
      <c r="J200" s="196"/>
      <c r="K200" s="13"/>
      <c r="L200" s="13"/>
      <c r="M200" s="13"/>
      <c r="N200" s="13"/>
      <c r="O200" s="13"/>
      <c r="P200" s="13"/>
      <c r="Q200" s="13"/>
      <c r="R200" s="13"/>
      <c r="S200" s="13"/>
      <c r="T200" s="13"/>
      <c r="U200" s="13"/>
      <c r="V200" s="13"/>
      <c r="W200" s="13"/>
      <c r="X200" s="174"/>
      <c r="AA200" s="193"/>
      <c r="AI200" s="13"/>
      <c r="AM200" s="13"/>
      <c r="AN200" s="13"/>
      <c r="AO200" s="13"/>
      <c r="AP200" s="13"/>
      <c r="AQ200" s="13"/>
      <c r="AR200" s="13"/>
      <c r="AS200" s="13"/>
      <c r="AT200" s="13"/>
      <c r="AU200" s="13"/>
      <c r="AV200" s="13"/>
      <c r="AW200" s="13"/>
      <c r="AX200" s="13"/>
      <c r="AY200" s="13"/>
      <c r="AZ200" s="13"/>
      <c r="BA200" s="13"/>
      <c r="BB200" s="13"/>
      <c r="BC200" s="13"/>
      <c r="BD200" s="13"/>
      <c r="BE200" s="13"/>
      <c r="BF200" s="13"/>
      <c r="BG200" s="13"/>
      <c r="BH200" s="13"/>
      <c r="BI200" s="13"/>
      <c r="BJ200" s="13"/>
      <c r="BK200" s="13"/>
      <c r="BL200" s="13"/>
      <c r="BM200" s="13"/>
      <c r="BN200" s="13"/>
      <c r="BO200" s="13"/>
      <c r="BP200" s="13"/>
      <c r="BQ200" s="13"/>
      <c r="BR200" s="13"/>
      <c r="BS200" s="13"/>
      <c r="BT200" s="13"/>
      <c r="BU200" s="13"/>
      <c r="BV200" s="13"/>
      <c r="BW200" s="13"/>
      <c r="BX200" s="13"/>
      <c r="BY200" s="13"/>
      <c r="BZ200" s="13"/>
      <c r="CA200" s="13"/>
      <c r="CB200" s="13"/>
      <c r="CC200" s="13"/>
      <c r="CD200" s="13"/>
      <c r="CE200" s="13"/>
      <c r="CF200" s="13"/>
      <c r="CG200" s="13"/>
      <c r="CH200" s="13"/>
      <c r="CI200" s="13"/>
      <c r="CJ200" s="13"/>
      <c r="CK200" s="13"/>
      <c r="CL200" s="13"/>
      <c r="CM200" s="13"/>
      <c r="CN200" s="13"/>
      <c r="CO200" s="13"/>
      <c r="CP200" s="13"/>
      <c r="CQ200" s="13"/>
    </row>
    <row r="201" spans="1:95" ht="16.5" customHeight="1" x14ac:dyDescent="0.25">
      <c r="A201" s="13"/>
      <c r="B201" s="661" t="s">
        <v>443</v>
      </c>
      <c r="C201" s="662" t="s">
        <v>444</v>
      </c>
      <c r="D201" s="214"/>
      <c r="E201" s="1815" t="s">
        <v>179</v>
      </c>
      <c r="F201" s="389">
        <v>0</v>
      </c>
      <c r="G201" s="389">
        <v>0.1</v>
      </c>
      <c r="H201" s="191"/>
      <c r="I201" s="13"/>
      <c r="J201" s="182"/>
      <c r="K201" s="13"/>
      <c r="L201" s="13"/>
      <c r="M201" s="13"/>
      <c r="N201" s="13"/>
      <c r="O201" s="13"/>
      <c r="P201" s="13"/>
      <c r="Q201" s="13"/>
      <c r="R201" s="13"/>
      <c r="S201" s="13"/>
      <c r="T201" s="13"/>
      <c r="U201" s="13"/>
      <c r="V201" s="13"/>
      <c r="W201" s="13"/>
      <c r="X201" s="174"/>
      <c r="AA201" s="193"/>
      <c r="AI201" s="13"/>
      <c r="AM201" s="13"/>
      <c r="AN201" s="13"/>
      <c r="AO201" s="13"/>
      <c r="AP201" s="13"/>
      <c r="AQ201" s="13"/>
      <c r="AR201" s="13"/>
      <c r="AS201" s="13"/>
      <c r="AT201" s="13"/>
      <c r="AU201" s="13"/>
      <c r="AV201" s="13"/>
      <c r="AW201" s="13"/>
      <c r="AX201" s="13"/>
      <c r="AY201" s="13"/>
      <c r="AZ201" s="13"/>
      <c r="BA201" s="13"/>
      <c r="BB201" s="13"/>
      <c r="BC201" s="13"/>
      <c r="BD201" s="13"/>
      <c r="BE201" s="13"/>
      <c r="BF201" s="13"/>
      <c r="BG201" s="13"/>
      <c r="BH201" s="13"/>
      <c r="BI201" s="13"/>
      <c r="BJ201" s="13"/>
      <c r="BK201" s="13"/>
      <c r="BL201" s="13"/>
      <c r="BM201" s="13"/>
      <c r="BN201" s="13"/>
      <c r="BO201" s="13"/>
      <c r="BP201" s="13"/>
      <c r="BQ201" s="13"/>
      <c r="BR201" s="13"/>
      <c r="BS201" s="13"/>
      <c r="BT201" s="13"/>
      <c r="BU201" s="13"/>
      <c r="BV201" s="13"/>
      <c r="BW201" s="13"/>
      <c r="BX201" s="13"/>
      <c r="BY201" s="13"/>
      <c r="BZ201" s="13"/>
      <c r="CA201" s="13"/>
      <c r="CB201" s="13"/>
      <c r="CC201" s="13"/>
      <c r="CD201" s="13"/>
      <c r="CE201" s="13"/>
      <c r="CF201" s="13"/>
      <c r="CG201" s="13"/>
      <c r="CH201" s="13"/>
      <c r="CI201" s="13"/>
      <c r="CJ201" s="13"/>
      <c r="CK201" s="13"/>
      <c r="CL201" s="13"/>
      <c r="CM201" s="13"/>
      <c r="CN201" s="13"/>
      <c r="CO201" s="13"/>
      <c r="CP201" s="13"/>
      <c r="CQ201" s="13"/>
    </row>
    <row r="202" spans="1:95" ht="14.25" customHeight="1" x14ac:dyDescent="0.25">
      <c r="A202" s="13"/>
      <c r="B202" s="610"/>
      <c r="C202" s="215"/>
      <c r="D202" s="215"/>
      <c r="E202" s="1816"/>
      <c r="F202" s="389">
        <v>0.16</v>
      </c>
      <c r="G202" s="389">
        <v>0.25</v>
      </c>
      <c r="H202" s="94"/>
      <c r="I202" s="13"/>
      <c r="J202" s="182"/>
      <c r="K202" s="13"/>
      <c r="L202" s="13"/>
      <c r="M202" s="13"/>
      <c r="N202" s="13"/>
      <c r="O202" s="13"/>
      <c r="P202" s="13"/>
      <c r="Q202" s="13"/>
      <c r="R202" s="13"/>
      <c r="S202" s="13"/>
      <c r="T202" s="13"/>
      <c r="U202" s="13"/>
      <c r="V202" s="13"/>
      <c r="W202" s="13"/>
      <c r="X202" s="174"/>
      <c r="AA202" s="199"/>
      <c r="AI202" s="13"/>
      <c r="AM202" s="13"/>
      <c r="AN202" s="13"/>
      <c r="AO202" s="13"/>
      <c r="AP202" s="13"/>
      <c r="AQ202" s="13"/>
      <c r="AR202" s="13"/>
      <c r="AS202" s="13"/>
      <c r="AT202" s="13"/>
      <c r="AU202" s="13"/>
      <c r="AV202" s="13"/>
      <c r="AW202" s="13"/>
      <c r="AX202" s="13"/>
      <c r="AY202" s="13"/>
      <c r="AZ202" s="13"/>
      <c r="BA202" s="13"/>
      <c r="BB202" s="13"/>
      <c r="BC202" s="13"/>
      <c r="BD202" s="13"/>
      <c r="BE202" s="13"/>
      <c r="BF202" s="13"/>
      <c r="BG202" s="13"/>
      <c r="BH202" s="13"/>
      <c r="BI202" s="13"/>
      <c r="BJ202" s="13"/>
      <c r="BK202" s="13"/>
      <c r="BL202" s="13"/>
      <c r="BM202" s="13"/>
      <c r="BN202" s="13"/>
      <c r="BO202" s="13"/>
      <c r="BP202" s="13"/>
      <c r="BQ202" s="13"/>
      <c r="BR202" s="13"/>
      <c r="BS202" s="13"/>
      <c r="BT202" s="13"/>
      <c r="BU202" s="13"/>
      <c r="BV202" s="13"/>
      <c r="BW202" s="13"/>
      <c r="BX202" s="13"/>
      <c r="BY202" s="13"/>
      <c r="BZ202" s="13"/>
      <c r="CA202" s="13"/>
      <c r="CB202" s="13"/>
      <c r="CC202" s="13"/>
      <c r="CD202" s="13"/>
      <c r="CE202" s="13"/>
      <c r="CF202" s="13"/>
      <c r="CG202" s="13"/>
      <c r="CH202" s="13"/>
      <c r="CI202" s="13"/>
      <c r="CJ202" s="13"/>
      <c r="CK202" s="13"/>
      <c r="CL202" s="13"/>
      <c r="CM202" s="13"/>
      <c r="CN202" s="13"/>
      <c r="CO202" s="13"/>
      <c r="CP202" s="13"/>
      <c r="CQ202" s="13"/>
    </row>
    <row r="203" spans="1:95" ht="14.25" customHeight="1" x14ac:dyDescent="0.2">
      <c r="A203" s="13"/>
      <c r="B203" s="162"/>
      <c r="C203" s="745" t="s">
        <v>441</v>
      </c>
      <c r="D203" s="673" t="s">
        <v>274</v>
      </c>
      <c r="E203" s="346"/>
      <c r="F203" s="389">
        <v>0.46</v>
      </c>
      <c r="G203" s="389">
        <v>0.5</v>
      </c>
      <c r="H203" s="94"/>
      <c r="I203" s="13"/>
      <c r="J203" s="201"/>
      <c r="K203" s="13"/>
      <c r="L203" s="13"/>
      <c r="M203" s="13"/>
      <c r="N203" s="13"/>
      <c r="O203" s="13"/>
      <c r="P203" s="13"/>
      <c r="Q203" s="13"/>
      <c r="R203" s="13"/>
      <c r="S203" s="13"/>
      <c r="T203" s="13"/>
      <c r="U203" s="13"/>
      <c r="V203" s="13"/>
      <c r="W203" s="13"/>
      <c r="X203" s="174"/>
      <c r="AA203" s="199"/>
      <c r="AI203" s="13"/>
      <c r="AM203" s="13"/>
      <c r="AN203" s="13"/>
      <c r="AO203" s="13"/>
      <c r="AP203" s="13"/>
      <c r="AQ203" s="13"/>
      <c r="AR203" s="13"/>
      <c r="AS203" s="13"/>
      <c r="AT203" s="13"/>
      <c r="AU203" s="13"/>
      <c r="AV203" s="13"/>
      <c r="AW203" s="13"/>
      <c r="AX203" s="13"/>
      <c r="AY203" s="13"/>
      <c r="AZ203" s="13"/>
      <c r="BA203" s="13"/>
      <c r="BB203" s="13"/>
      <c r="BC203" s="13"/>
      <c r="BD203" s="13"/>
      <c r="BE203" s="13"/>
      <c r="BF203" s="13"/>
      <c r="BG203" s="13"/>
      <c r="BH203" s="13"/>
      <c r="BI203" s="13"/>
      <c r="BJ203" s="13"/>
      <c r="BK203" s="13"/>
      <c r="BL203" s="13"/>
      <c r="BM203" s="13"/>
      <c r="BN203" s="13"/>
      <c r="BO203" s="13"/>
      <c r="BP203" s="13"/>
      <c r="BQ203" s="13"/>
      <c r="BR203" s="13"/>
      <c r="BS203" s="13"/>
      <c r="BT203" s="13"/>
      <c r="BU203" s="13"/>
      <c r="BV203" s="13"/>
      <c r="BW203" s="13"/>
      <c r="BX203" s="13"/>
      <c r="BY203" s="13"/>
      <c r="BZ203" s="13"/>
      <c r="CA203" s="13"/>
      <c r="CB203" s="13"/>
      <c r="CC203" s="13"/>
      <c r="CD203" s="13"/>
      <c r="CE203" s="13"/>
      <c r="CF203" s="13"/>
      <c r="CG203" s="13"/>
      <c r="CH203" s="13"/>
      <c r="CI203" s="13"/>
      <c r="CJ203" s="13"/>
      <c r="CK203" s="13"/>
      <c r="CL203" s="13"/>
      <c r="CM203" s="13"/>
      <c r="CN203" s="13"/>
      <c r="CO203" s="13"/>
      <c r="CP203" s="13"/>
      <c r="CQ203" s="13"/>
    </row>
    <row r="204" spans="1:95" ht="15" customHeight="1" x14ac:dyDescent="0.2">
      <c r="A204" s="13"/>
      <c r="B204" s="659" t="s">
        <v>442</v>
      </c>
      <c r="C204" s="1356"/>
      <c r="D204" s="677">
        <f>IF(ISBLANK(C204),0,IF('GUIA DE APLICAÇÃO'!I807&gt;1,1,IF('GUIA DE APLICAÇÃO'!I807&lt;0,0,'GUIA DE APLICAÇÃO'!I807)))</f>
        <v>0</v>
      </c>
      <c r="E204" s="346"/>
      <c r="F204" s="389">
        <v>0.91</v>
      </c>
      <c r="G204" s="389">
        <v>0.7</v>
      </c>
      <c r="H204" s="94"/>
      <c r="I204" s="13"/>
      <c r="J204" s="82"/>
      <c r="K204" s="13"/>
      <c r="L204" s="13"/>
      <c r="M204" s="13"/>
      <c r="N204" s="13"/>
      <c r="O204" s="13"/>
      <c r="P204" s="13"/>
      <c r="Q204" s="13"/>
      <c r="R204" s="13"/>
      <c r="S204" s="13"/>
      <c r="T204" s="13"/>
      <c r="U204" s="13"/>
      <c r="V204" s="13"/>
      <c r="W204" s="13"/>
      <c r="X204" s="174"/>
      <c r="AA204" s="146"/>
      <c r="AI204" s="13"/>
      <c r="AM204" s="13"/>
      <c r="AN204" s="13"/>
      <c r="AO204" s="13"/>
      <c r="AP204" s="13"/>
      <c r="AQ204" s="13"/>
      <c r="AR204" s="13"/>
      <c r="AS204" s="13"/>
      <c r="AT204" s="13"/>
      <c r="AU204" s="13"/>
      <c r="AV204" s="13"/>
      <c r="AW204" s="13"/>
      <c r="AX204" s="13"/>
      <c r="AY204" s="13"/>
      <c r="AZ204" s="13"/>
      <c r="BA204" s="13"/>
      <c r="BB204" s="13"/>
      <c r="BC204" s="13"/>
      <c r="BD204" s="13"/>
      <c r="BE204" s="13"/>
      <c r="BF204" s="13"/>
      <c r="BG204" s="13"/>
      <c r="BH204" s="13"/>
      <c r="BI204" s="13"/>
      <c r="BJ204" s="13"/>
      <c r="BK204" s="13"/>
      <c r="BL204" s="13"/>
      <c r="BM204" s="13"/>
      <c r="BN204" s="13"/>
      <c r="BO204" s="13"/>
      <c r="BP204" s="13"/>
      <c r="BQ204" s="13"/>
      <c r="BR204" s="13"/>
      <c r="BS204" s="13"/>
      <c r="BT204" s="13"/>
      <c r="BU204" s="13"/>
      <c r="BV204" s="13"/>
      <c r="BW204" s="13"/>
      <c r="BX204" s="13"/>
      <c r="BY204" s="13"/>
      <c r="BZ204" s="13"/>
      <c r="CA204" s="13"/>
      <c r="CB204" s="13"/>
      <c r="CC204" s="13"/>
      <c r="CD204" s="13"/>
      <c r="CE204" s="13"/>
      <c r="CF204" s="13"/>
      <c r="CG204" s="13"/>
      <c r="CH204" s="13"/>
      <c r="CI204" s="13"/>
      <c r="CJ204" s="13"/>
      <c r="CK204" s="13"/>
      <c r="CL204" s="13"/>
      <c r="CM204" s="13"/>
      <c r="CN204" s="13"/>
      <c r="CO204" s="13"/>
      <c r="CP204" s="13"/>
      <c r="CQ204" s="13"/>
    </row>
    <row r="205" spans="1:95" ht="14.25" customHeight="1" x14ac:dyDescent="0.2">
      <c r="A205" s="13"/>
      <c r="B205" s="93"/>
      <c r="C205" s="38"/>
      <c r="D205" s="38"/>
      <c r="E205" s="346"/>
      <c r="F205" s="389">
        <v>1.5</v>
      </c>
      <c r="G205" s="389">
        <v>1</v>
      </c>
      <c r="H205" s="94"/>
      <c r="I205" s="13"/>
      <c r="J205" s="201"/>
      <c r="K205" s="13"/>
      <c r="L205" s="13"/>
      <c r="M205" s="13"/>
      <c r="N205" s="13"/>
      <c r="O205" s="13"/>
      <c r="P205" s="13"/>
      <c r="Q205" s="13"/>
      <c r="R205" s="13"/>
      <c r="S205" s="13"/>
      <c r="T205" s="13"/>
      <c r="U205" s="13"/>
      <c r="V205" s="13"/>
      <c r="W205" s="13"/>
      <c r="X205" s="174"/>
      <c r="Y205" s="146"/>
      <c r="Z205" s="146"/>
      <c r="AA205" s="146"/>
      <c r="AB205" s="13"/>
      <c r="AC205" s="13"/>
      <c r="AD205" s="13"/>
      <c r="AE205" s="56"/>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c r="BI205" s="13"/>
      <c r="BJ205" s="13"/>
      <c r="BK205" s="13"/>
      <c r="BL205" s="13"/>
      <c r="BM205" s="13"/>
      <c r="BN205" s="13"/>
      <c r="BO205" s="13"/>
      <c r="BP205" s="13"/>
      <c r="BQ205" s="13"/>
      <c r="BR205" s="13"/>
      <c r="BS205" s="13"/>
      <c r="BT205" s="13"/>
      <c r="BU205" s="13"/>
      <c r="BV205" s="13"/>
      <c r="BW205" s="13"/>
      <c r="BX205" s="13"/>
      <c r="BY205" s="13"/>
      <c r="BZ205" s="13"/>
      <c r="CA205" s="13"/>
      <c r="CB205" s="13"/>
      <c r="CC205" s="13"/>
      <c r="CD205" s="13"/>
      <c r="CE205" s="13"/>
      <c r="CF205" s="13"/>
      <c r="CG205" s="13"/>
      <c r="CH205" s="13"/>
      <c r="CI205" s="13"/>
      <c r="CJ205" s="13"/>
      <c r="CK205" s="13"/>
      <c r="CL205" s="13"/>
      <c r="CM205" s="13"/>
      <c r="CN205" s="13"/>
      <c r="CO205" s="13"/>
      <c r="CP205" s="13"/>
      <c r="CQ205" s="13"/>
    </row>
    <row r="206" spans="1:95" ht="15" customHeight="1" x14ac:dyDescent="0.2">
      <c r="A206" s="13"/>
      <c r="B206" s="731"/>
      <c r="C206" s="726"/>
      <c r="D206" s="727"/>
      <c r="E206" s="728"/>
      <c r="F206" s="729">
        <v>7.5</v>
      </c>
      <c r="G206" s="729">
        <v>0.7</v>
      </c>
      <c r="H206" s="732"/>
      <c r="I206" s="13"/>
      <c r="J206" s="201"/>
      <c r="K206" s="13"/>
      <c r="L206" s="13"/>
      <c r="M206" s="13"/>
      <c r="N206" s="13"/>
      <c r="O206" s="13"/>
      <c r="P206" s="13"/>
      <c r="Q206" s="13"/>
      <c r="R206" s="13"/>
      <c r="S206" s="13"/>
      <c r="T206" s="13"/>
      <c r="U206" s="13"/>
      <c r="V206" s="13"/>
      <c r="W206" s="13"/>
      <c r="X206" s="13"/>
      <c r="AA206" s="13"/>
      <c r="AI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c r="BI206" s="13"/>
      <c r="BJ206" s="13"/>
      <c r="BK206" s="13"/>
      <c r="BL206" s="13"/>
      <c r="BM206" s="13"/>
      <c r="BN206" s="13"/>
      <c r="BO206" s="13"/>
      <c r="BP206" s="13"/>
      <c r="BQ206" s="13"/>
      <c r="BR206" s="13"/>
      <c r="BS206" s="13"/>
      <c r="BT206" s="13"/>
      <c r="BU206" s="13"/>
      <c r="BV206" s="13"/>
      <c r="BW206" s="13"/>
      <c r="BX206" s="13"/>
      <c r="BY206" s="13"/>
      <c r="BZ206" s="13"/>
      <c r="CA206" s="13"/>
      <c r="CB206" s="13"/>
      <c r="CC206" s="13"/>
      <c r="CD206" s="13"/>
      <c r="CE206" s="13"/>
      <c r="CF206" s="13"/>
      <c r="CG206" s="13"/>
      <c r="CH206" s="13"/>
      <c r="CI206" s="13"/>
      <c r="CJ206" s="13"/>
      <c r="CK206" s="13"/>
      <c r="CL206" s="13"/>
      <c r="CM206" s="13"/>
      <c r="CN206" s="13"/>
      <c r="CO206" s="13"/>
      <c r="CP206" s="13"/>
      <c r="CQ206" s="13"/>
    </row>
    <row r="207" spans="1:95" ht="16.5" customHeight="1" x14ac:dyDescent="0.25">
      <c r="A207" s="13"/>
      <c r="B207" s="13"/>
      <c r="C207" s="13"/>
      <c r="D207" s="13"/>
      <c r="E207" s="57"/>
      <c r="F207" s="57"/>
      <c r="G207" s="57"/>
      <c r="H207" s="13"/>
      <c r="I207" s="13"/>
      <c r="J207" s="201"/>
      <c r="K207" s="13"/>
      <c r="L207" s="13"/>
      <c r="M207" s="13"/>
      <c r="N207" s="13"/>
      <c r="O207" s="13"/>
      <c r="P207" s="13"/>
      <c r="Q207" s="13"/>
      <c r="R207" s="13"/>
      <c r="S207" s="13"/>
      <c r="T207" s="13"/>
      <c r="U207" s="13"/>
      <c r="V207" s="13"/>
      <c r="W207" s="13"/>
      <c r="X207" s="13"/>
      <c r="AA207" s="193"/>
      <c r="AI207" s="38"/>
      <c r="AM207" s="13"/>
      <c r="AN207" s="13"/>
      <c r="AO207" s="13"/>
      <c r="AP207" s="13"/>
      <c r="AQ207" s="13"/>
      <c r="AR207" s="13"/>
      <c r="AS207" s="13"/>
      <c r="AT207" s="13"/>
      <c r="AU207" s="13"/>
      <c r="AV207" s="13"/>
      <c r="AW207" s="13"/>
      <c r="AX207" s="13"/>
      <c r="AY207" s="13"/>
      <c r="AZ207" s="13"/>
      <c r="BA207" s="13"/>
      <c r="BB207" s="13"/>
      <c r="BC207" s="13"/>
      <c r="BD207" s="13"/>
      <c r="BE207" s="13"/>
      <c r="BF207" s="13"/>
      <c r="BG207" s="13"/>
      <c r="BH207" s="13"/>
      <c r="BI207" s="13"/>
      <c r="BJ207" s="13"/>
      <c r="BK207" s="13"/>
      <c r="BL207" s="13"/>
      <c r="BM207" s="13"/>
      <c r="BN207" s="13"/>
      <c r="BO207" s="13"/>
      <c r="BP207" s="13"/>
      <c r="BQ207" s="13"/>
      <c r="BR207" s="13"/>
      <c r="BS207" s="13"/>
      <c r="BT207" s="13"/>
      <c r="BU207" s="13"/>
      <c r="BV207" s="13"/>
      <c r="BW207" s="13"/>
      <c r="BX207" s="13"/>
      <c r="BY207" s="13"/>
      <c r="BZ207" s="13"/>
      <c r="CA207" s="13"/>
      <c r="CB207" s="13"/>
      <c r="CC207" s="13"/>
      <c r="CD207" s="13"/>
      <c r="CE207" s="13"/>
      <c r="CF207" s="13"/>
      <c r="CG207" s="13"/>
      <c r="CH207" s="13"/>
      <c r="CI207" s="13"/>
      <c r="CJ207" s="13"/>
      <c r="CK207" s="13"/>
      <c r="CL207" s="13"/>
      <c r="CM207" s="13"/>
      <c r="CN207" s="13"/>
      <c r="CO207" s="13"/>
      <c r="CP207" s="13"/>
      <c r="CQ207" s="13"/>
    </row>
    <row r="208" spans="1:95" ht="15" customHeight="1" x14ac:dyDescent="0.25">
      <c r="A208" s="13"/>
      <c r="B208" s="661" t="s">
        <v>445</v>
      </c>
      <c r="C208" s="662" t="s">
        <v>446</v>
      </c>
      <c r="D208" s="609"/>
      <c r="E208" s="1815" t="s">
        <v>179</v>
      </c>
      <c r="F208" s="389">
        <v>0</v>
      </c>
      <c r="G208" s="389">
        <v>0.1</v>
      </c>
      <c r="H208" s="203"/>
      <c r="I208" s="13"/>
      <c r="J208" s="204"/>
      <c r="K208" s="13"/>
      <c r="L208" s="13"/>
      <c r="M208" s="13"/>
      <c r="N208" s="13"/>
      <c r="O208" s="13"/>
      <c r="P208" s="13"/>
      <c r="Q208" s="13"/>
      <c r="R208" s="13"/>
      <c r="S208" s="13"/>
      <c r="T208" s="13"/>
      <c r="U208" s="13"/>
      <c r="V208" s="13"/>
      <c r="W208" s="13"/>
      <c r="X208" s="13"/>
      <c r="AA208" s="193"/>
      <c r="AI208" s="38"/>
      <c r="AM208" s="13"/>
      <c r="AN208" s="13"/>
      <c r="AO208" s="13"/>
      <c r="AP208" s="13"/>
      <c r="AQ208" s="13"/>
      <c r="AR208" s="13"/>
      <c r="AS208" s="13"/>
      <c r="AT208" s="13"/>
      <c r="AU208" s="13"/>
      <c r="AV208" s="13"/>
      <c r="AW208" s="13"/>
      <c r="AX208" s="13"/>
      <c r="AY208" s="13"/>
      <c r="AZ208" s="13"/>
      <c r="BA208" s="13"/>
      <c r="BB208" s="13"/>
      <c r="BC208" s="13"/>
      <c r="BD208" s="13"/>
      <c r="BE208" s="13"/>
      <c r="BF208" s="13"/>
      <c r="BG208" s="13"/>
      <c r="BH208" s="13"/>
      <c r="BI208" s="13"/>
      <c r="BJ208" s="13"/>
      <c r="BK208" s="13"/>
      <c r="BL208" s="13"/>
      <c r="BM208" s="13"/>
      <c r="BN208" s="13"/>
      <c r="BO208" s="13"/>
      <c r="BP208" s="13"/>
      <c r="BQ208" s="13"/>
      <c r="BR208" s="13"/>
      <c r="BS208" s="13"/>
      <c r="BT208" s="13"/>
      <c r="BU208" s="13"/>
      <c r="BV208" s="13"/>
      <c r="BW208" s="13"/>
      <c r="BX208" s="13"/>
      <c r="BY208" s="13"/>
      <c r="BZ208" s="13"/>
      <c r="CA208" s="13"/>
      <c r="CB208" s="13"/>
      <c r="CC208" s="13"/>
      <c r="CD208" s="13"/>
      <c r="CE208" s="13"/>
      <c r="CF208" s="13"/>
      <c r="CG208" s="13"/>
      <c r="CH208" s="13"/>
      <c r="CI208" s="13"/>
      <c r="CJ208" s="13"/>
      <c r="CK208" s="13"/>
      <c r="CL208" s="13"/>
      <c r="CM208" s="13"/>
      <c r="CN208" s="13"/>
      <c r="CO208" s="13"/>
      <c r="CP208" s="13"/>
      <c r="CQ208" s="13"/>
    </row>
    <row r="209" spans="1:95" ht="14.25" customHeight="1" x14ac:dyDescent="0.25">
      <c r="A209" s="13"/>
      <c r="B209" s="614"/>
      <c r="C209" s="611"/>
      <c r="D209" s="611"/>
      <c r="E209" s="1816"/>
      <c r="F209" s="389">
        <v>16</v>
      </c>
      <c r="G209" s="389">
        <v>0.25</v>
      </c>
      <c r="H209" s="205"/>
      <c r="I209" s="13"/>
      <c r="J209" s="206"/>
      <c r="K209" s="13"/>
      <c r="L209" s="13"/>
      <c r="M209" s="13"/>
      <c r="N209" s="13"/>
      <c r="O209" s="13"/>
      <c r="P209" s="13"/>
      <c r="Q209" s="13"/>
      <c r="R209" s="13"/>
      <c r="S209" s="13"/>
      <c r="T209" s="13"/>
      <c r="U209" s="13"/>
      <c r="V209" s="13"/>
      <c r="W209" s="13"/>
      <c r="X209" s="13"/>
      <c r="AA209" s="193"/>
      <c r="AI209" s="13"/>
      <c r="AM209" s="13"/>
      <c r="AN209" s="13"/>
      <c r="AO209" s="13"/>
      <c r="AP209" s="13"/>
      <c r="AQ209" s="13"/>
      <c r="AR209" s="13"/>
      <c r="AS209" s="13"/>
      <c r="AT209" s="13"/>
      <c r="AU209" s="13"/>
      <c r="AV209" s="13"/>
      <c r="AW209" s="13"/>
      <c r="AX209" s="13"/>
      <c r="AY209" s="13"/>
      <c r="AZ209" s="13"/>
      <c r="BA209" s="13"/>
      <c r="BB209" s="13"/>
      <c r="BC209" s="13"/>
      <c r="BD209" s="13"/>
      <c r="BE209" s="13"/>
      <c r="BF209" s="13"/>
      <c r="BG209" s="13"/>
      <c r="BH209" s="13"/>
      <c r="BI209" s="13"/>
      <c r="BJ209" s="13"/>
      <c r="BK209" s="13"/>
      <c r="BL209" s="13"/>
      <c r="BM209" s="13"/>
      <c r="BN209" s="13"/>
      <c r="BO209" s="13"/>
      <c r="BP209" s="13"/>
      <c r="BQ209" s="13"/>
      <c r="BR209" s="13"/>
      <c r="BS209" s="13"/>
      <c r="BT209" s="13"/>
      <c r="BU209" s="13"/>
      <c r="BV209" s="13"/>
      <c r="BW209" s="13"/>
      <c r="BX209" s="13"/>
      <c r="BY209" s="13"/>
      <c r="BZ209" s="13"/>
      <c r="CA209" s="13"/>
      <c r="CB209" s="13"/>
      <c r="CC209" s="13"/>
      <c r="CD209" s="13"/>
      <c r="CE209" s="13"/>
      <c r="CF209" s="13"/>
      <c r="CG209" s="13"/>
      <c r="CH209" s="13"/>
      <c r="CI209" s="13"/>
      <c r="CJ209" s="13"/>
      <c r="CK209" s="13"/>
      <c r="CL209" s="13"/>
      <c r="CM209" s="13"/>
      <c r="CN209" s="13"/>
      <c r="CO209" s="13"/>
      <c r="CP209" s="13"/>
      <c r="CQ209" s="13"/>
    </row>
    <row r="210" spans="1:95" ht="14.25" customHeight="1" x14ac:dyDescent="0.25">
      <c r="A210" s="13"/>
      <c r="B210" s="207"/>
      <c r="C210" s="745" t="s">
        <v>438</v>
      </c>
      <c r="D210" s="673" t="s">
        <v>274</v>
      </c>
      <c r="E210" s="346"/>
      <c r="F210" s="389">
        <v>41</v>
      </c>
      <c r="G210" s="389">
        <v>0.5</v>
      </c>
      <c r="H210" s="205"/>
      <c r="I210" s="13"/>
      <c r="J210" s="208"/>
      <c r="K210" s="13"/>
      <c r="L210" s="13"/>
      <c r="M210" s="13"/>
      <c r="N210" s="13"/>
      <c r="O210" s="13"/>
      <c r="P210" s="13"/>
      <c r="Q210" s="13"/>
      <c r="R210" s="13"/>
      <c r="S210" s="13"/>
      <c r="T210" s="13"/>
      <c r="U210" s="13"/>
      <c r="V210" s="13"/>
      <c r="W210" s="13"/>
      <c r="X210" s="13"/>
      <c r="AA210" s="193"/>
      <c r="AI210" s="13"/>
      <c r="AM210" s="13"/>
      <c r="AN210" s="13"/>
      <c r="AO210" s="13"/>
      <c r="AP210" s="13"/>
      <c r="AQ210" s="13"/>
      <c r="AR210" s="13"/>
      <c r="AS210" s="13"/>
      <c r="AT210" s="13"/>
      <c r="AU210" s="13"/>
      <c r="AV210" s="13"/>
      <c r="AW210" s="13"/>
      <c r="AX210" s="13"/>
      <c r="AY210" s="13"/>
      <c r="AZ210" s="13"/>
      <c r="BA210" s="13"/>
      <c r="BB210" s="13"/>
      <c r="BC210" s="13"/>
      <c r="BD210" s="13"/>
      <c r="BE210" s="13"/>
      <c r="BF210" s="13"/>
      <c r="BG210" s="13"/>
      <c r="BH210" s="13"/>
      <c r="BI210" s="13"/>
      <c r="BJ210" s="13"/>
      <c r="BK210" s="13"/>
      <c r="BL210" s="13"/>
      <c r="BM210" s="13"/>
      <c r="BN210" s="13"/>
      <c r="BO210" s="13"/>
      <c r="BP210" s="13"/>
      <c r="BQ210" s="13"/>
      <c r="BR210" s="13"/>
      <c r="BS210" s="13"/>
      <c r="BT210" s="13"/>
      <c r="BU210" s="13"/>
      <c r="BV210" s="13"/>
      <c r="BW210" s="13"/>
      <c r="BX210" s="13"/>
      <c r="BY210" s="13"/>
      <c r="BZ210" s="13"/>
      <c r="CA210" s="13"/>
      <c r="CB210" s="13"/>
      <c r="CC210" s="13"/>
      <c r="CD210" s="13"/>
      <c r="CE210" s="13"/>
      <c r="CF210" s="13"/>
      <c r="CG210" s="13"/>
      <c r="CH210" s="13"/>
      <c r="CI210" s="13"/>
      <c r="CJ210" s="13"/>
      <c r="CK210" s="13"/>
      <c r="CL210" s="13"/>
      <c r="CM210" s="13"/>
      <c r="CN210" s="13"/>
      <c r="CO210" s="13"/>
      <c r="CP210" s="13"/>
      <c r="CQ210" s="13"/>
    </row>
    <row r="211" spans="1:95" ht="14.25" customHeight="1" x14ac:dyDescent="0.25">
      <c r="A211" s="13"/>
      <c r="B211" s="659" t="s">
        <v>442</v>
      </c>
      <c r="C211" s="1355"/>
      <c r="D211" s="677">
        <f>IF(ISBLANK(C211),0,IF('GUIA DE APLICAÇÃO'!I823&gt;1,1,IF('GUIA DE APLICAÇÃO'!I823&lt;0,0,'GUIA DE APLICAÇÃO'!I823)))</f>
        <v>0</v>
      </c>
      <c r="E211" s="346"/>
      <c r="F211" s="389">
        <v>71</v>
      </c>
      <c r="G211" s="389">
        <v>0.7</v>
      </c>
      <c r="H211" s="205"/>
      <c r="I211" s="13"/>
      <c r="J211" s="201"/>
      <c r="K211" s="13"/>
      <c r="L211" s="13"/>
      <c r="M211" s="13"/>
      <c r="N211" s="13"/>
      <c r="O211" s="13"/>
      <c r="P211" s="13"/>
      <c r="Q211" s="13"/>
      <c r="R211" s="13"/>
      <c r="S211" s="13"/>
      <c r="T211" s="13"/>
      <c r="U211" s="13"/>
      <c r="V211" s="13"/>
      <c r="W211" s="13"/>
      <c r="X211" s="13"/>
      <c r="AA211" s="193"/>
      <c r="AI211" s="13"/>
      <c r="AM211" s="13"/>
      <c r="AN211" s="13"/>
      <c r="AO211" s="13"/>
      <c r="AP211" s="13"/>
      <c r="AQ211" s="13"/>
      <c r="AR211" s="13"/>
      <c r="AS211" s="13"/>
      <c r="AT211" s="13"/>
      <c r="AU211" s="13"/>
      <c r="AV211" s="13"/>
      <c r="AW211" s="13"/>
      <c r="AX211" s="13"/>
      <c r="AY211" s="13"/>
      <c r="AZ211" s="13"/>
      <c r="BA211" s="13"/>
      <c r="BB211" s="13"/>
      <c r="BC211" s="13"/>
      <c r="BD211" s="13"/>
      <c r="BE211" s="13"/>
      <c r="BF211" s="13"/>
      <c r="BG211" s="13"/>
      <c r="BH211" s="13"/>
      <c r="BI211" s="13"/>
      <c r="BJ211" s="13"/>
      <c r="BK211" s="13"/>
      <c r="BL211" s="13"/>
      <c r="BM211" s="13"/>
      <c r="BN211" s="13"/>
      <c r="BO211" s="13"/>
      <c r="BP211" s="13"/>
      <c r="BQ211" s="13"/>
      <c r="BR211" s="13"/>
      <c r="BS211" s="13"/>
      <c r="BT211" s="13"/>
      <c r="BU211" s="13"/>
      <c r="BV211" s="13"/>
      <c r="BW211" s="13"/>
      <c r="BX211" s="13"/>
      <c r="BY211" s="13"/>
      <c r="BZ211" s="13"/>
      <c r="CA211" s="13"/>
      <c r="CB211" s="13"/>
      <c r="CC211" s="13"/>
      <c r="CD211" s="13"/>
      <c r="CE211" s="13"/>
      <c r="CF211" s="13"/>
      <c r="CG211" s="13"/>
      <c r="CH211" s="13"/>
      <c r="CI211" s="13"/>
      <c r="CJ211" s="13"/>
      <c r="CK211" s="13"/>
      <c r="CL211" s="13"/>
      <c r="CM211" s="13"/>
      <c r="CN211" s="13"/>
      <c r="CO211" s="13"/>
      <c r="CP211" s="13"/>
      <c r="CQ211" s="13"/>
    </row>
    <row r="212" spans="1:95" ht="16.5" customHeight="1" x14ac:dyDescent="0.2">
      <c r="A212" s="13"/>
      <c r="B212" s="93"/>
      <c r="C212" s="38"/>
      <c r="D212" s="38"/>
      <c r="E212" s="346"/>
      <c r="F212" s="389">
        <v>120</v>
      </c>
      <c r="G212" s="389">
        <v>1</v>
      </c>
      <c r="H212" s="205"/>
      <c r="I212" s="13"/>
      <c r="J212" s="13"/>
      <c r="K212" s="13"/>
      <c r="L212" s="13"/>
      <c r="M212" s="13"/>
      <c r="N212" s="13"/>
      <c r="O212" s="13"/>
      <c r="P212" s="13"/>
      <c r="Q212" s="13"/>
      <c r="R212" s="13"/>
      <c r="S212" s="13"/>
      <c r="T212" s="13"/>
      <c r="U212" s="13"/>
      <c r="V212" s="13"/>
      <c r="W212" s="209"/>
      <c r="X212" s="13"/>
      <c r="AA212" s="199"/>
      <c r="AI212" s="13"/>
      <c r="AM212" s="13"/>
      <c r="AN212" s="13"/>
      <c r="AO212" s="13"/>
      <c r="AP212" s="13"/>
      <c r="AQ212" s="13"/>
      <c r="AR212" s="13"/>
      <c r="AS212" s="13"/>
      <c r="AT212" s="13"/>
      <c r="AU212" s="13"/>
      <c r="AV212" s="13"/>
      <c r="AW212" s="13"/>
      <c r="AX212" s="13"/>
      <c r="AY212" s="13"/>
      <c r="AZ212" s="13"/>
      <c r="BA212" s="13"/>
      <c r="BB212" s="13"/>
      <c r="BC212" s="13"/>
      <c r="BD212" s="13"/>
      <c r="BE212" s="13"/>
      <c r="BF212" s="13"/>
      <c r="BG212" s="13"/>
      <c r="BH212" s="13"/>
      <c r="BI212" s="13"/>
      <c r="BJ212" s="13"/>
      <c r="BK212" s="13"/>
      <c r="BL212" s="13"/>
      <c r="BM212" s="13"/>
      <c r="BN212" s="13"/>
      <c r="BO212" s="13"/>
      <c r="BP212" s="13"/>
      <c r="BQ212" s="13"/>
      <c r="BR212" s="13"/>
      <c r="BS212" s="13"/>
      <c r="BT212" s="13"/>
      <c r="BU212" s="13"/>
      <c r="BV212" s="13"/>
      <c r="BW212" s="13"/>
      <c r="BX212" s="13"/>
      <c r="BY212" s="13"/>
      <c r="BZ212" s="13"/>
      <c r="CA212" s="13"/>
      <c r="CB212" s="13"/>
      <c r="CC212" s="13"/>
      <c r="CD212" s="13"/>
      <c r="CE212" s="13"/>
      <c r="CF212" s="13"/>
      <c r="CG212" s="13"/>
      <c r="CH212" s="13"/>
      <c r="CI212" s="13"/>
      <c r="CJ212" s="13"/>
      <c r="CK212" s="13"/>
      <c r="CL212" s="13"/>
      <c r="CM212" s="13"/>
      <c r="CN212" s="13"/>
      <c r="CO212" s="13"/>
      <c r="CP212" s="13"/>
      <c r="CQ212" s="13"/>
    </row>
    <row r="213" spans="1:95" ht="15.75" customHeight="1" x14ac:dyDescent="0.2">
      <c r="A213" s="13"/>
      <c r="B213" s="731"/>
      <c r="C213" s="726"/>
      <c r="D213" s="727"/>
      <c r="E213" s="728"/>
      <c r="F213" s="729">
        <v>600</v>
      </c>
      <c r="G213" s="729">
        <v>0.7</v>
      </c>
      <c r="H213" s="730"/>
      <c r="I213" s="13"/>
      <c r="J213" s="13"/>
      <c r="K213" s="13"/>
      <c r="L213" s="13"/>
      <c r="M213" s="13"/>
      <c r="N213" s="13"/>
      <c r="O213" s="13"/>
      <c r="P213" s="13"/>
      <c r="Q213" s="13"/>
      <c r="R213" s="13"/>
      <c r="S213" s="13"/>
      <c r="T213" s="13"/>
      <c r="U213" s="13"/>
      <c r="V213" s="13"/>
      <c r="W213" s="13"/>
      <c r="X213" s="13"/>
      <c r="AA213" s="199"/>
      <c r="AB213" s="210"/>
      <c r="AC213" s="211"/>
      <c r="AD213" s="211"/>
      <c r="AE213" s="211"/>
      <c r="AF213" s="211"/>
      <c r="AG213" s="212"/>
      <c r="AH213" s="213"/>
      <c r="AI213" s="13"/>
      <c r="AM213" s="13"/>
      <c r="AN213" s="13"/>
      <c r="AO213" s="13"/>
      <c r="AP213" s="13"/>
      <c r="AQ213" s="13"/>
      <c r="AR213" s="13"/>
      <c r="AS213" s="13"/>
      <c r="AT213" s="13"/>
      <c r="AU213" s="13"/>
      <c r="AV213" s="13"/>
      <c r="AW213" s="13"/>
      <c r="AX213" s="13"/>
      <c r="AY213" s="13"/>
      <c r="AZ213" s="13"/>
      <c r="BA213" s="13"/>
      <c r="BB213" s="13"/>
      <c r="BC213" s="13"/>
      <c r="BD213" s="13"/>
      <c r="BE213" s="13"/>
      <c r="BF213" s="13"/>
      <c r="BG213" s="13"/>
      <c r="BH213" s="13"/>
      <c r="BI213" s="13"/>
      <c r="BJ213" s="13"/>
      <c r="BK213" s="13"/>
      <c r="BL213" s="13"/>
      <c r="BM213" s="13"/>
      <c r="BN213" s="13"/>
      <c r="BO213" s="13"/>
      <c r="BP213" s="13"/>
      <c r="BQ213" s="13"/>
      <c r="BR213" s="13"/>
      <c r="BS213" s="13"/>
      <c r="BT213" s="13"/>
      <c r="BU213" s="13"/>
      <c r="BV213" s="13"/>
      <c r="BW213" s="13"/>
      <c r="BX213" s="13"/>
      <c r="BY213" s="13"/>
      <c r="BZ213" s="13"/>
      <c r="CA213" s="13"/>
      <c r="CB213" s="13"/>
      <c r="CC213" s="13"/>
      <c r="CD213" s="13"/>
      <c r="CE213" s="13"/>
      <c r="CF213" s="13"/>
      <c r="CG213" s="13"/>
      <c r="CH213" s="13"/>
      <c r="CI213" s="13"/>
      <c r="CJ213" s="13"/>
      <c r="CK213" s="13"/>
      <c r="CL213" s="13"/>
      <c r="CM213" s="13"/>
      <c r="CN213" s="13"/>
      <c r="CO213" s="13"/>
      <c r="CP213" s="13"/>
      <c r="CQ213" s="13"/>
    </row>
    <row r="214" spans="1:95" ht="17.25" customHeight="1" x14ac:dyDescent="0.2">
      <c r="A214" s="13"/>
      <c r="B214" s="13"/>
      <c r="C214" s="13"/>
      <c r="D214" s="13"/>
      <c r="E214" s="57"/>
      <c r="F214" s="57"/>
      <c r="G214" s="57"/>
      <c r="H214" s="13"/>
      <c r="I214" s="13"/>
      <c r="J214" s="82"/>
      <c r="K214" s="174"/>
      <c r="L214" s="174"/>
      <c r="M214" s="174"/>
      <c r="N214" s="174"/>
      <c r="O214" s="174"/>
      <c r="P214" s="174"/>
      <c r="Q214" s="174"/>
      <c r="R214" s="174"/>
      <c r="S214" s="174"/>
      <c r="T214" s="13"/>
      <c r="U214" s="13"/>
      <c r="V214" s="13"/>
      <c r="W214" s="13"/>
      <c r="X214" s="13"/>
      <c r="Y214" s="13"/>
      <c r="Z214" s="13"/>
      <c r="AA214" s="146"/>
      <c r="AB214" s="13"/>
      <c r="AC214" s="13"/>
      <c r="AD214" s="13"/>
      <c r="AE214" s="13"/>
      <c r="AF214" s="13"/>
      <c r="AG214" s="13"/>
      <c r="AH214" s="13"/>
      <c r="AI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c r="BI214" s="13"/>
      <c r="BJ214" s="13"/>
      <c r="BK214" s="13"/>
      <c r="BL214" s="13"/>
      <c r="BM214" s="13"/>
      <c r="BN214" s="13"/>
      <c r="BO214" s="13"/>
      <c r="BP214" s="13"/>
      <c r="BQ214" s="13"/>
      <c r="BR214" s="13"/>
      <c r="BS214" s="13"/>
      <c r="BT214" s="13"/>
      <c r="BU214" s="13"/>
      <c r="BV214" s="13"/>
      <c r="BW214" s="13"/>
      <c r="BX214" s="13"/>
      <c r="BY214" s="13"/>
      <c r="BZ214" s="13"/>
      <c r="CA214" s="13"/>
      <c r="CB214" s="13"/>
      <c r="CC214" s="13"/>
      <c r="CD214" s="13"/>
      <c r="CE214" s="13"/>
      <c r="CF214" s="13"/>
      <c r="CG214" s="13"/>
      <c r="CH214" s="13"/>
      <c r="CI214" s="13"/>
      <c r="CJ214" s="13"/>
      <c r="CK214" s="13"/>
      <c r="CL214" s="13"/>
      <c r="CM214" s="13"/>
      <c r="CN214" s="13"/>
      <c r="CO214" s="13"/>
      <c r="CP214" s="13"/>
      <c r="CQ214" s="13"/>
    </row>
    <row r="215" spans="1:95" ht="15" customHeight="1" x14ac:dyDescent="0.2">
      <c r="A215" s="13"/>
      <c r="B215" s="661" t="s">
        <v>447</v>
      </c>
      <c r="C215" s="662" t="s">
        <v>448</v>
      </c>
      <c r="D215" s="214"/>
      <c r="E215" s="1815" t="s">
        <v>179</v>
      </c>
      <c r="F215" s="354" t="s">
        <v>431</v>
      </c>
      <c r="G215" s="354" t="s">
        <v>432</v>
      </c>
      <c r="H215" s="203"/>
      <c r="I215" s="13"/>
      <c r="J215" s="82"/>
      <c r="K215" s="13"/>
      <c r="L215" s="13"/>
      <c r="M215" s="13"/>
      <c r="N215" s="13"/>
      <c r="O215" s="13"/>
      <c r="P215" s="13"/>
      <c r="Q215" s="174"/>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c r="BG215" s="13"/>
      <c r="BH215" s="13"/>
      <c r="BI215" s="13"/>
      <c r="BJ215" s="13"/>
      <c r="BK215" s="13"/>
      <c r="BL215" s="13"/>
      <c r="BM215" s="13"/>
      <c r="BN215" s="13"/>
      <c r="BO215" s="13"/>
      <c r="BP215" s="13"/>
      <c r="BQ215" s="13"/>
      <c r="BR215" s="13"/>
      <c r="BS215" s="13"/>
      <c r="BT215" s="13"/>
      <c r="BU215" s="13"/>
      <c r="BV215" s="13"/>
      <c r="BW215" s="13"/>
      <c r="BX215" s="13"/>
      <c r="BY215" s="13"/>
      <c r="BZ215" s="13"/>
      <c r="CA215" s="13"/>
      <c r="CB215" s="13"/>
      <c r="CC215" s="13"/>
      <c r="CD215" s="13"/>
      <c r="CE215" s="13"/>
      <c r="CF215" s="13"/>
      <c r="CG215" s="13"/>
      <c r="CH215" s="13"/>
      <c r="CI215" s="13"/>
      <c r="CJ215" s="13"/>
      <c r="CK215" s="13"/>
      <c r="CL215" s="13"/>
      <c r="CM215" s="13"/>
      <c r="CN215" s="13"/>
      <c r="CO215" s="13"/>
      <c r="CP215" s="13"/>
      <c r="CQ215" s="13"/>
    </row>
    <row r="216" spans="1:95" ht="16.5" customHeight="1" x14ac:dyDescent="0.2">
      <c r="A216" s="13"/>
      <c r="B216" s="610"/>
      <c r="C216" s="215"/>
      <c r="D216" s="215"/>
      <c r="E216" s="1816"/>
      <c r="F216" s="389">
        <v>5.0999999999999996</v>
      </c>
      <c r="G216" s="389">
        <v>0.3</v>
      </c>
      <c r="H216" s="205"/>
      <c r="I216" s="13"/>
      <c r="J216" s="38"/>
      <c r="K216" s="13"/>
      <c r="L216" s="13"/>
      <c r="M216" s="13"/>
      <c r="N216" s="13"/>
      <c r="O216" s="13"/>
      <c r="P216" s="13"/>
      <c r="Q216" s="174"/>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c r="BG216" s="13"/>
      <c r="BH216" s="13"/>
      <c r="BI216" s="13"/>
      <c r="BJ216" s="13"/>
      <c r="BK216" s="13"/>
      <c r="BL216" s="13"/>
      <c r="BM216" s="13"/>
      <c r="BN216" s="13"/>
      <c r="BO216" s="13"/>
      <c r="BP216" s="13"/>
      <c r="BQ216" s="13"/>
      <c r="BR216" s="13"/>
      <c r="BS216" s="13"/>
      <c r="BT216" s="13"/>
      <c r="BU216" s="13"/>
      <c r="BV216" s="13"/>
      <c r="BW216" s="13"/>
      <c r="BX216" s="13"/>
      <c r="BY216" s="13"/>
      <c r="BZ216" s="13"/>
      <c r="CA216" s="13"/>
      <c r="CB216" s="13"/>
      <c r="CC216" s="13"/>
      <c r="CD216" s="13"/>
      <c r="CE216" s="13"/>
      <c r="CF216" s="13"/>
      <c r="CG216" s="13"/>
      <c r="CH216" s="13"/>
      <c r="CI216" s="13"/>
      <c r="CJ216" s="13"/>
      <c r="CK216" s="13"/>
      <c r="CL216" s="13"/>
      <c r="CM216" s="13"/>
      <c r="CN216" s="13"/>
      <c r="CO216" s="13"/>
      <c r="CP216" s="13"/>
      <c r="CQ216" s="13"/>
    </row>
    <row r="217" spans="1:95" ht="14.25" customHeight="1" x14ac:dyDescent="0.2">
      <c r="A217" s="13"/>
      <c r="B217" s="162"/>
      <c r="C217" s="746" t="s">
        <v>449</v>
      </c>
      <c r="D217" s="673" t="s">
        <v>274</v>
      </c>
      <c r="E217" s="346"/>
      <c r="F217" s="389">
        <v>5.2</v>
      </c>
      <c r="G217" s="389">
        <v>0.4</v>
      </c>
      <c r="H217" s="205"/>
      <c r="I217" s="13"/>
      <c r="J217" s="38"/>
      <c r="K217" s="13"/>
      <c r="L217" s="13"/>
      <c r="M217" s="13"/>
      <c r="N217" s="13"/>
      <c r="O217" s="13"/>
      <c r="P217" s="13"/>
      <c r="Q217" s="174"/>
      <c r="R217" s="13"/>
      <c r="S217" s="13"/>
      <c r="T217" s="13"/>
      <c r="U217" s="13"/>
      <c r="V217" s="13"/>
      <c r="W217" s="13"/>
      <c r="X217" s="13"/>
      <c r="Y217" s="13"/>
      <c r="Z217" s="13"/>
      <c r="AA217" s="13"/>
      <c r="AB217" s="13"/>
      <c r="AC217" s="13"/>
      <c r="AD217" s="174"/>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c r="BG217" s="13"/>
      <c r="BH217" s="13"/>
      <c r="BI217" s="13"/>
      <c r="BJ217" s="13"/>
      <c r="BK217" s="13"/>
      <c r="BL217" s="13"/>
      <c r="BM217" s="13"/>
      <c r="BN217" s="13"/>
      <c r="BO217" s="13"/>
      <c r="BP217" s="13"/>
      <c r="BQ217" s="13"/>
      <c r="BR217" s="13"/>
      <c r="BS217" s="13"/>
      <c r="BT217" s="13"/>
      <c r="BU217" s="13"/>
      <c r="BV217" s="13"/>
      <c r="BW217" s="13"/>
      <c r="BX217" s="13"/>
      <c r="BY217" s="13"/>
      <c r="BZ217" s="13"/>
      <c r="CA217" s="13"/>
      <c r="CB217" s="13"/>
      <c r="CC217" s="13"/>
      <c r="CD217" s="13"/>
      <c r="CE217" s="13"/>
      <c r="CF217" s="13"/>
      <c r="CG217" s="13"/>
      <c r="CH217" s="13"/>
      <c r="CI217" s="13"/>
      <c r="CJ217" s="13"/>
      <c r="CK217" s="13"/>
      <c r="CL217" s="13"/>
      <c r="CM217" s="13"/>
      <c r="CN217" s="13"/>
      <c r="CO217" s="13"/>
      <c r="CP217" s="13"/>
      <c r="CQ217" s="13"/>
    </row>
    <row r="218" spans="1:95" ht="14.25" customHeight="1" x14ac:dyDescent="0.2">
      <c r="A218" s="13"/>
      <c r="B218" s="659" t="s">
        <v>442</v>
      </c>
      <c r="C218" s="1355"/>
      <c r="D218" s="677">
        <f>IF(ISBLANK(C218),0,IF('GUIA DE APLICAÇÃO'!I840&gt;1,1,IF('GUIA DE APLICAÇÃO'!I840&lt;0,0,'GUIA DE APLICAÇÃO'!I840)))</f>
        <v>0</v>
      </c>
      <c r="E218" s="346"/>
      <c r="F218" s="389">
        <v>5.5</v>
      </c>
      <c r="G218" s="389">
        <v>0.7</v>
      </c>
      <c r="H218" s="205"/>
      <c r="I218" s="13"/>
      <c r="J218" s="38"/>
      <c r="K218" s="13"/>
      <c r="L218" s="13"/>
      <c r="M218" s="13"/>
      <c r="N218" s="13"/>
      <c r="O218" s="13"/>
      <c r="P218" s="13"/>
      <c r="Q218" s="174"/>
      <c r="R218" s="13"/>
      <c r="S218" s="13"/>
      <c r="T218" s="13"/>
      <c r="U218" s="13"/>
      <c r="V218" s="13"/>
      <c r="W218" s="13"/>
      <c r="X218" s="13"/>
      <c r="AA218" s="13"/>
      <c r="AB218" s="13"/>
      <c r="AH218" s="13"/>
      <c r="AM218" s="13"/>
      <c r="AN218" s="13"/>
      <c r="AO218" s="13"/>
      <c r="AP218" s="13"/>
      <c r="AQ218" s="13"/>
      <c r="AR218" s="13"/>
      <c r="AS218" s="13"/>
      <c r="AT218" s="13"/>
      <c r="AU218" s="13"/>
      <c r="AV218" s="13"/>
      <c r="AW218" s="13"/>
      <c r="AX218" s="13"/>
      <c r="AY218" s="13"/>
      <c r="AZ218" s="13"/>
      <c r="BA218" s="13"/>
      <c r="BB218" s="13"/>
      <c r="BC218" s="13"/>
      <c r="BD218" s="13"/>
      <c r="BE218" s="13"/>
      <c r="BF218" s="13"/>
      <c r="BG218" s="13"/>
      <c r="BH218" s="13"/>
      <c r="BI218" s="13"/>
      <c r="BJ218" s="13"/>
      <c r="BK218" s="13"/>
      <c r="BL218" s="13"/>
      <c r="BM218" s="13"/>
      <c r="BN218" s="13"/>
      <c r="BO218" s="13"/>
      <c r="BP218" s="13"/>
      <c r="BQ218" s="13"/>
      <c r="BR218" s="13"/>
      <c r="BS218" s="13"/>
      <c r="BT218" s="13"/>
      <c r="BU218" s="13"/>
      <c r="BV218" s="13"/>
      <c r="BW218" s="13"/>
      <c r="BX218" s="13"/>
      <c r="BY218" s="13"/>
      <c r="BZ218" s="13"/>
      <c r="CA218" s="13"/>
      <c r="CB218" s="13"/>
      <c r="CC218" s="13"/>
      <c r="CD218" s="13"/>
      <c r="CE218" s="13"/>
      <c r="CF218" s="13"/>
      <c r="CG218" s="13"/>
      <c r="CH218" s="13"/>
      <c r="CI218" s="13"/>
      <c r="CJ218" s="13"/>
      <c r="CK218" s="13"/>
      <c r="CL218" s="13"/>
      <c r="CM218" s="13"/>
      <c r="CN218" s="13"/>
      <c r="CO218" s="13"/>
      <c r="CP218" s="13"/>
      <c r="CQ218" s="13"/>
    </row>
    <row r="219" spans="1:95" ht="13.5" customHeight="1" x14ac:dyDescent="0.2">
      <c r="A219" s="13"/>
      <c r="B219" s="93"/>
      <c r="C219" s="38"/>
      <c r="D219" s="38"/>
      <c r="E219" s="346"/>
      <c r="F219" s="389">
        <v>6</v>
      </c>
      <c r="G219" s="389">
        <v>1</v>
      </c>
      <c r="H219" s="205"/>
      <c r="I219" s="13"/>
      <c r="J219" s="38"/>
      <c r="K219" s="13"/>
      <c r="L219" s="13"/>
      <c r="M219" s="13"/>
      <c r="N219" s="13"/>
      <c r="O219" s="13"/>
      <c r="P219" s="13"/>
      <c r="Q219" s="174"/>
      <c r="R219" s="13"/>
      <c r="S219" s="13"/>
      <c r="T219" s="13"/>
      <c r="U219" s="13"/>
      <c r="V219" s="13"/>
      <c r="W219" s="13"/>
      <c r="X219" s="13"/>
      <c r="AA219" s="13"/>
      <c r="AB219" s="13"/>
      <c r="AH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BP219" s="13"/>
      <c r="BQ219" s="13"/>
      <c r="BR219" s="13"/>
      <c r="BS219" s="13"/>
      <c r="BT219" s="13"/>
      <c r="BU219" s="13"/>
      <c r="BV219" s="13"/>
      <c r="BW219" s="13"/>
      <c r="BX219" s="13"/>
      <c r="BY219" s="13"/>
      <c r="BZ219" s="13"/>
      <c r="CA219" s="13"/>
      <c r="CB219" s="13"/>
      <c r="CC219" s="13"/>
      <c r="CD219" s="13"/>
      <c r="CE219" s="13"/>
      <c r="CF219" s="13"/>
      <c r="CG219" s="13"/>
      <c r="CH219" s="13"/>
      <c r="CI219" s="13"/>
      <c r="CJ219" s="13"/>
      <c r="CK219" s="13"/>
      <c r="CL219" s="13"/>
      <c r="CM219" s="13"/>
      <c r="CN219" s="13"/>
      <c r="CO219" s="13"/>
      <c r="CP219" s="13"/>
      <c r="CQ219" s="13"/>
    </row>
    <row r="220" spans="1:95" ht="15" customHeight="1" x14ac:dyDescent="0.2">
      <c r="A220" s="13"/>
      <c r="B220" s="731"/>
      <c r="C220" s="726"/>
      <c r="D220" s="122"/>
      <c r="E220" s="394"/>
      <c r="F220" s="389">
        <v>6.4</v>
      </c>
      <c r="G220" s="389">
        <v>0.7</v>
      </c>
      <c r="H220" s="118"/>
      <c r="I220" s="13"/>
      <c r="J220" s="174"/>
      <c r="K220" s="13"/>
      <c r="L220" s="13"/>
      <c r="M220" s="13"/>
      <c r="N220" s="13"/>
      <c r="O220" s="13"/>
      <c r="P220" s="13"/>
      <c r="Q220" s="174"/>
      <c r="R220" s="13"/>
      <c r="S220" s="13"/>
      <c r="T220" s="13"/>
      <c r="U220" s="13"/>
      <c r="V220" s="13"/>
      <c r="W220" s="13"/>
      <c r="X220" s="13"/>
      <c r="AA220" s="13"/>
      <c r="AB220" s="13"/>
      <c r="AH220" s="13"/>
      <c r="AM220" s="13"/>
      <c r="AN220" s="13"/>
      <c r="AO220" s="13"/>
      <c r="AP220" s="13"/>
      <c r="AQ220" s="13"/>
      <c r="AR220" s="13"/>
      <c r="AS220" s="13"/>
      <c r="AT220" s="13"/>
      <c r="AU220" s="13"/>
      <c r="AV220" s="38"/>
      <c r="AW220" s="13"/>
      <c r="AX220" s="13"/>
      <c r="AY220" s="13"/>
      <c r="AZ220" s="13"/>
      <c r="BA220" s="13"/>
      <c r="BB220" s="13"/>
      <c r="BC220" s="13"/>
      <c r="BD220" s="13"/>
      <c r="BE220" s="13"/>
      <c r="BF220" s="13"/>
      <c r="BG220" s="13"/>
      <c r="BH220" s="13"/>
      <c r="BI220" s="13"/>
      <c r="BJ220" s="13"/>
      <c r="BK220" s="13"/>
      <c r="BL220" s="13"/>
      <c r="BM220" s="13"/>
      <c r="BN220" s="13"/>
      <c r="BO220" s="13"/>
      <c r="BP220" s="13"/>
      <c r="BQ220" s="13"/>
      <c r="BR220" s="13"/>
      <c r="BS220" s="13"/>
      <c r="BT220" s="13"/>
      <c r="BU220" s="13"/>
      <c r="BV220" s="13"/>
      <c r="BW220" s="13"/>
      <c r="BX220" s="13"/>
      <c r="BY220" s="13"/>
      <c r="BZ220" s="13"/>
      <c r="CA220" s="13"/>
      <c r="CB220" s="13"/>
      <c r="CC220" s="13"/>
      <c r="CD220" s="13"/>
      <c r="CE220" s="13"/>
      <c r="CF220" s="13"/>
      <c r="CG220" s="13"/>
      <c r="CH220" s="13"/>
      <c r="CI220" s="13"/>
      <c r="CJ220" s="13"/>
      <c r="CK220" s="13"/>
      <c r="CL220" s="13"/>
      <c r="CM220" s="13"/>
      <c r="CN220" s="13"/>
      <c r="CO220" s="13"/>
      <c r="CP220" s="13"/>
      <c r="CQ220" s="13"/>
    </row>
    <row r="221" spans="1:95" ht="17.25" customHeight="1" x14ac:dyDescent="0.2">
      <c r="A221" s="13"/>
      <c r="B221" s="13"/>
      <c r="C221" s="13"/>
      <c r="D221" s="13"/>
      <c r="E221" s="57"/>
      <c r="F221" s="57"/>
      <c r="G221" s="57"/>
      <c r="H221" s="13"/>
      <c r="I221" s="13"/>
      <c r="J221" s="174"/>
      <c r="K221" s="13"/>
      <c r="L221" s="13"/>
      <c r="M221" s="13"/>
      <c r="N221" s="13"/>
      <c r="O221" s="13"/>
      <c r="P221" s="13"/>
      <c r="Q221" s="174"/>
      <c r="R221" s="13"/>
      <c r="S221" s="13"/>
      <c r="T221" s="13"/>
      <c r="U221" s="13"/>
      <c r="V221" s="13"/>
      <c r="W221" s="13"/>
      <c r="X221" s="13"/>
      <c r="AA221" s="13"/>
      <c r="AB221" s="13"/>
      <c r="AH221" s="13"/>
      <c r="AM221" s="13"/>
      <c r="AN221" s="13"/>
      <c r="AO221" s="13"/>
      <c r="AP221" s="13"/>
      <c r="AQ221" s="13"/>
      <c r="AR221" s="13"/>
      <c r="AS221" s="13"/>
      <c r="AT221" s="13"/>
      <c r="AU221" s="13"/>
      <c r="AV221" s="13"/>
      <c r="AW221" s="13"/>
      <c r="AX221" s="13"/>
      <c r="AY221" s="13"/>
      <c r="AZ221" s="13"/>
      <c r="BA221" s="13"/>
      <c r="BB221" s="13"/>
      <c r="BC221" s="13"/>
      <c r="BD221" s="13"/>
      <c r="BE221" s="13"/>
      <c r="BF221" s="13"/>
      <c r="BG221" s="13"/>
      <c r="BH221" s="13"/>
      <c r="BI221" s="13"/>
      <c r="BJ221" s="13"/>
      <c r="BK221" s="13"/>
      <c r="BL221" s="13"/>
      <c r="BM221" s="13"/>
      <c r="BN221" s="13"/>
      <c r="BO221" s="13"/>
      <c r="BP221" s="13"/>
      <c r="BQ221" s="13"/>
      <c r="BR221" s="13"/>
      <c r="BS221" s="13"/>
      <c r="BT221" s="13"/>
      <c r="BU221" s="13"/>
      <c r="BV221" s="13"/>
      <c r="BW221" s="13"/>
      <c r="BX221" s="13"/>
      <c r="BY221" s="13"/>
      <c r="BZ221" s="13"/>
      <c r="CA221" s="13"/>
      <c r="CB221" s="13"/>
      <c r="CC221" s="13"/>
      <c r="CD221" s="13"/>
      <c r="CE221" s="13"/>
      <c r="CF221" s="13"/>
      <c r="CG221" s="13"/>
      <c r="CH221" s="13"/>
      <c r="CI221" s="13"/>
      <c r="CJ221" s="13"/>
      <c r="CK221" s="13"/>
      <c r="CL221" s="13"/>
      <c r="CM221" s="13"/>
      <c r="CN221" s="13"/>
      <c r="CO221" s="13"/>
      <c r="CP221" s="13"/>
      <c r="CQ221" s="13"/>
    </row>
    <row r="222" spans="1:95" ht="15.75" customHeight="1" x14ac:dyDescent="0.2">
      <c r="A222" s="13"/>
      <c r="B222" s="661" t="s">
        <v>450</v>
      </c>
      <c r="C222" s="662" t="s">
        <v>451</v>
      </c>
      <c r="D222" s="214"/>
      <c r="E222" s="1815" t="s">
        <v>179</v>
      </c>
      <c r="F222" s="354" t="s">
        <v>431</v>
      </c>
      <c r="G222" s="354" t="s">
        <v>432</v>
      </c>
      <c r="H222" s="203"/>
      <c r="I222" s="13"/>
      <c r="J222" s="174"/>
      <c r="K222" s="13"/>
      <c r="L222" s="13"/>
      <c r="M222" s="13"/>
      <c r="N222" s="13"/>
      <c r="O222" s="13"/>
      <c r="P222" s="13"/>
      <c r="Q222" s="174"/>
      <c r="R222" s="13"/>
      <c r="S222" s="13"/>
      <c r="T222" s="13"/>
      <c r="U222" s="13"/>
      <c r="V222" s="13"/>
      <c r="W222" s="216"/>
      <c r="X222" s="13"/>
      <c r="AA222" s="13"/>
      <c r="AB222" s="13"/>
      <c r="AH222" s="13"/>
      <c r="AM222" s="13"/>
      <c r="AN222" s="13"/>
      <c r="AO222" s="13"/>
      <c r="AP222" s="13"/>
      <c r="AQ222" s="13"/>
      <c r="AR222" s="13"/>
      <c r="AS222" s="13"/>
      <c r="AT222" s="13"/>
      <c r="AU222" s="13"/>
      <c r="AV222" s="13"/>
      <c r="AW222" s="13"/>
      <c r="AX222" s="13"/>
      <c r="AY222" s="13"/>
      <c r="AZ222" s="13"/>
      <c r="BA222" s="13"/>
      <c r="BB222" s="13"/>
      <c r="BC222" s="13"/>
      <c r="BD222" s="13"/>
      <c r="BE222" s="13"/>
      <c r="BF222" s="13"/>
      <c r="BG222" s="13"/>
      <c r="BH222" s="13"/>
      <c r="BI222" s="13"/>
      <c r="BJ222" s="13"/>
      <c r="BK222" s="13"/>
      <c r="BL222" s="13"/>
      <c r="BM222" s="13"/>
      <c r="BN222" s="13"/>
      <c r="BO222" s="13"/>
      <c r="BP222" s="13"/>
      <c r="BQ222" s="13"/>
      <c r="BR222" s="13"/>
      <c r="BS222" s="13"/>
      <c r="BT222" s="13"/>
      <c r="BU222" s="13"/>
      <c r="BV222" s="13"/>
      <c r="BW222" s="13"/>
      <c r="BX222" s="13"/>
      <c r="BY222" s="13"/>
      <c r="BZ222" s="13"/>
      <c r="CA222" s="13"/>
      <c r="CB222" s="13"/>
      <c r="CC222" s="13"/>
      <c r="CD222" s="13"/>
      <c r="CE222" s="13"/>
      <c r="CF222" s="13"/>
      <c r="CG222" s="13"/>
      <c r="CH222" s="13"/>
      <c r="CI222" s="13"/>
      <c r="CJ222" s="13"/>
      <c r="CK222" s="13"/>
      <c r="CL222" s="13"/>
      <c r="CM222" s="13"/>
      <c r="CN222" s="13"/>
      <c r="CO222" s="13"/>
      <c r="CP222" s="13"/>
      <c r="CQ222" s="13"/>
    </row>
    <row r="223" spans="1:95" ht="16.5" customHeight="1" x14ac:dyDescent="0.2">
      <c r="A223" s="13"/>
      <c r="B223" s="610"/>
      <c r="C223" s="215"/>
      <c r="D223" s="215"/>
      <c r="E223" s="1816"/>
      <c r="F223" s="389">
        <v>0</v>
      </c>
      <c r="G223" s="389">
        <v>0.7</v>
      </c>
      <c r="H223" s="205"/>
      <c r="I223" s="13"/>
      <c r="J223" s="174"/>
      <c r="K223" s="13"/>
      <c r="L223" s="13"/>
      <c r="M223" s="13"/>
      <c r="N223" s="13"/>
      <c r="O223" s="13"/>
      <c r="P223" s="13"/>
      <c r="Q223" s="174"/>
      <c r="R223" s="13"/>
      <c r="S223" s="13"/>
      <c r="T223" s="13"/>
      <c r="U223" s="13"/>
      <c r="V223" s="13"/>
      <c r="W223" s="13"/>
      <c r="X223" s="13"/>
      <c r="AA223" s="13"/>
      <c r="AB223" s="13"/>
      <c r="AH223" s="13"/>
      <c r="AM223" s="13"/>
      <c r="AN223" s="13"/>
      <c r="AO223" s="13"/>
      <c r="AP223" s="13"/>
      <c r="AQ223" s="13"/>
      <c r="AR223" s="13"/>
      <c r="AS223" s="13"/>
      <c r="AT223" s="13"/>
      <c r="AU223" s="13"/>
      <c r="AV223" s="13"/>
      <c r="AW223" s="13"/>
      <c r="AX223" s="13"/>
      <c r="AY223" s="13"/>
      <c r="AZ223" s="13"/>
      <c r="BA223" s="13"/>
      <c r="BB223" s="13"/>
      <c r="BC223" s="13"/>
      <c r="BD223" s="13"/>
      <c r="BE223" s="13"/>
      <c r="BF223" s="13"/>
      <c r="BG223" s="13"/>
      <c r="BH223" s="13"/>
      <c r="BI223" s="13"/>
      <c r="BJ223" s="13"/>
      <c r="BK223" s="13"/>
      <c r="BL223" s="13"/>
      <c r="BM223" s="13"/>
      <c r="BN223" s="13"/>
      <c r="BO223" s="13"/>
      <c r="BP223" s="13"/>
      <c r="BQ223" s="13"/>
      <c r="BR223" s="13"/>
      <c r="BS223" s="13"/>
      <c r="BT223" s="13"/>
      <c r="BU223" s="13"/>
      <c r="BV223" s="13"/>
      <c r="BW223" s="13"/>
      <c r="BX223" s="13"/>
      <c r="BY223" s="13"/>
      <c r="BZ223" s="13"/>
      <c r="CA223" s="13"/>
      <c r="CB223" s="13"/>
      <c r="CC223" s="13"/>
      <c r="CD223" s="13"/>
      <c r="CE223" s="13"/>
      <c r="CF223" s="13"/>
      <c r="CG223" s="13"/>
      <c r="CH223" s="13"/>
      <c r="CI223" s="13"/>
      <c r="CJ223" s="13"/>
      <c r="CK223" s="13"/>
      <c r="CL223" s="13"/>
      <c r="CM223" s="13"/>
      <c r="CN223" s="13"/>
      <c r="CO223" s="13"/>
      <c r="CP223" s="13"/>
      <c r="CQ223" s="13"/>
    </row>
    <row r="224" spans="1:95" ht="14.25" customHeight="1" x14ac:dyDescent="0.2">
      <c r="A224" s="13"/>
      <c r="B224" s="217"/>
      <c r="C224" s="745" t="s">
        <v>441</v>
      </c>
      <c r="D224" s="673" t="s">
        <v>274</v>
      </c>
      <c r="E224" s="346"/>
      <c r="F224" s="389">
        <v>0.21</v>
      </c>
      <c r="G224" s="389">
        <v>0.6</v>
      </c>
      <c r="H224" s="205"/>
      <c r="I224" s="13"/>
      <c r="J224" s="174"/>
      <c r="K224" s="13"/>
      <c r="L224" s="13"/>
      <c r="M224" s="13"/>
      <c r="N224" s="13"/>
      <c r="O224" s="13"/>
      <c r="P224" s="13"/>
      <c r="Q224" s="218"/>
      <c r="R224" s="218"/>
      <c r="S224" s="218"/>
      <c r="T224" s="218"/>
      <c r="U224" s="218"/>
      <c r="V224" s="218"/>
      <c r="W224" s="218"/>
      <c r="X224" s="218"/>
      <c r="AA224" s="13"/>
      <c r="AB224" s="13"/>
      <c r="AH224" s="13"/>
      <c r="AM224" s="13"/>
      <c r="AN224" s="13"/>
      <c r="AO224" s="13"/>
      <c r="AP224" s="13"/>
      <c r="AQ224" s="13"/>
      <c r="AR224" s="13"/>
      <c r="AS224" s="13"/>
      <c r="AT224" s="13"/>
      <c r="AU224" s="13"/>
      <c r="AV224" s="13"/>
      <c r="AW224" s="13"/>
      <c r="AX224" s="13"/>
      <c r="AY224" s="13"/>
      <c r="AZ224" s="13"/>
      <c r="BA224" s="13"/>
      <c r="BB224" s="13"/>
      <c r="BC224" s="13"/>
      <c r="BD224" s="13"/>
      <c r="BE224" s="13"/>
      <c r="BF224" s="13"/>
      <c r="BG224" s="13"/>
      <c r="BH224" s="13"/>
      <c r="BI224" s="13"/>
      <c r="BJ224" s="13"/>
      <c r="BK224" s="13"/>
      <c r="BL224" s="13"/>
      <c r="BM224" s="13"/>
      <c r="BN224" s="13"/>
      <c r="BO224" s="13"/>
      <c r="BP224" s="13"/>
      <c r="BQ224" s="13"/>
      <c r="BR224" s="13"/>
      <c r="BS224" s="13"/>
      <c r="BT224" s="13"/>
      <c r="BU224" s="13"/>
      <c r="BV224" s="13"/>
      <c r="BW224" s="13"/>
      <c r="BX224" s="13"/>
      <c r="BY224" s="13"/>
      <c r="BZ224" s="13"/>
      <c r="CA224" s="13"/>
      <c r="CB224" s="13"/>
      <c r="CC224" s="13"/>
      <c r="CD224" s="13"/>
      <c r="CE224" s="13"/>
      <c r="CF224" s="13"/>
      <c r="CG224" s="13"/>
      <c r="CH224" s="13"/>
      <c r="CI224" s="13"/>
      <c r="CJ224" s="13"/>
      <c r="CK224" s="13"/>
      <c r="CL224" s="13"/>
      <c r="CM224" s="13"/>
      <c r="CN224" s="13"/>
      <c r="CO224" s="13"/>
      <c r="CP224" s="13"/>
      <c r="CQ224" s="13"/>
    </row>
    <row r="225" spans="1:95" ht="14.25" customHeight="1" x14ac:dyDescent="0.2">
      <c r="A225" s="13"/>
      <c r="B225" s="659" t="s">
        <v>442</v>
      </c>
      <c r="C225" s="1357"/>
      <c r="D225" s="677">
        <f>IF(C225&gt;2,0,IF(ISBLANK(C225),0,IF('GUIA DE APLICAÇÃO'!H856&gt;1,1,IF('GUIA DE APLICAÇÃO'!H856&lt;0,0,'GUIA DE APLICAÇÃO'!H856))))</f>
        <v>0</v>
      </c>
      <c r="E225" s="346"/>
      <c r="F225" s="389">
        <v>0.51</v>
      </c>
      <c r="G225" s="389">
        <v>0.5</v>
      </c>
      <c r="H225" s="205"/>
      <c r="I225" s="694"/>
      <c r="J225" s="218"/>
      <c r="K225" s="13"/>
      <c r="L225" s="13"/>
      <c r="M225" s="13"/>
      <c r="N225" s="13"/>
      <c r="O225" s="13"/>
      <c r="P225" s="13"/>
      <c r="Q225" s="13"/>
      <c r="R225" s="13"/>
      <c r="S225" s="13"/>
      <c r="T225" s="13"/>
      <c r="U225" s="13"/>
      <c r="V225" s="13"/>
      <c r="W225" s="13"/>
      <c r="X225" s="13"/>
      <c r="Y225" s="13"/>
      <c r="Z225" s="13"/>
      <c r="AA225" s="13"/>
      <c r="AB225" s="13"/>
      <c r="AC225" s="13"/>
      <c r="AD225" s="174"/>
      <c r="AE225" s="13"/>
      <c r="AF225" s="13"/>
      <c r="AG225" s="13"/>
      <c r="AH225" s="13"/>
      <c r="AM225" s="13"/>
      <c r="AN225" s="13"/>
      <c r="AO225" s="13"/>
      <c r="AP225" s="13"/>
      <c r="AQ225" s="13"/>
      <c r="AR225" s="13"/>
      <c r="AS225" s="13"/>
      <c r="AT225" s="13"/>
      <c r="AU225" s="13"/>
      <c r="AV225" s="13"/>
      <c r="AW225" s="13"/>
      <c r="AX225" s="13"/>
      <c r="AY225" s="13"/>
      <c r="AZ225" s="13"/>
      <c r="BA225" s="13"/>
      <c r="BB225" s="13"/>
      <c r="BC225" s="13"/>
      <c r="BD225" s="13"/>
      <c r="BE225" s="13"/>
      <c r="BF225" s="13"/>
      <c r="BG225" s="13"/>
      <c r="BH225" s="13"/>
      <c r="BI225" s="13"/>
      <c r="BJ225" s="13"/>
      <c r="BK225" s="13"/>
      <c r="BL225" s="13"/>
      <c r="BM225" s="13"/>
      <c r="BN225" s="13"/>
      <c r="BO225" s="13"/>
      <c r="BP225" s="13"/>
      <c r="BQ225" s="13"/>
      <c r="BR225" s="13"/>
      <c r="BS225" s="13"/>
      <c r="BT225" s="13"/>
      <c r="BU225" s="13"/>
      <c r="BV225" s="13"/>
      <c r="BW225" s="13"/>
      <c r="BX225" s="13"/>
      <c r="BY225" s="13"/>
      <c r="BZ225" s="13"/>
      <c r="CA225" s="13"/>
      <c r="CB225" s="13"/>
      <c r="CC225" s="13"/>
      <c r="CD225" s="13"/>
      <c r="CE225" s="13"/>
      <c r="CF225" s="13"/>
      <c r="CG225" s="13"/>
      <c r="CH225" s="13"/>
      <c r="CI225" s="13"/>
      <c r="CJ225" s="13"/>
      <c r="CK225" s="13"/>
      <c r="CL225" s="13"/>
      <c r="CM225" s="13"/>
      <c r="CN225" s="13"/>
      <c r="CO225" s="13"/>
      <c r="CP225" s="13"/>
      <c r="CQ225" s="13"/>
    </row>
    <row r="226" spans="1:95" ht="15" customHeight="1" x14ac:dyDescent="0.2">
      <c r="A226" s="13"/>
      <c r="B226" s="93"/>
      <c r="C226" s="38"/>
      <c r="D226" s="38"/>
      <c r="E226" s="346"/>
      <c r="F226" s="389">
        <v>1.01</v>
      </c>
      <c r="G226" s="389">
        <v>0.25</v>
      </c>
      <c r="H226" s="205"/>
      <c r="I226" s="694"/>
      <c r="J226" s="219"/>
      <c r="K226" s="13"/>
      <c r="L226" s="13"/>
      <c r="M226" s="13"/>
      <c r="N226" s="13"/>
      <c r="O226" s="13"/>
      <c r="P226" s="13"/>
      <c r="Q226" s="13"/>
      <c r="R226" s="13"/>
      <c r="S226" s="13"/>
      <c r="T226" s="13"/>
      <c r="U226" s="13"/>
      <c r="V226" s="13"/>
      <c r="W226" s="13"/>
      <c r="X226" s="13"/>
      <c r="Y226" s="13"/>
      <c r="Z226" s="13"/>
      <c r="AA226" s="13"/>
      <c r="AB226" s="13"/>
      <c r="AC226" s="13"/>
      <c r="AD226" s="174"/>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c r="BG226" s="13"/>
      <c r="BH226" s="13"/>
      <c r="BI226" s="13"/>
      <c r="BJ226" s="13"/>
      <c r="BK226" s="13"/>
      <c r="BL226" s="13"/>
      <c r="BM226" s="13"/>
      <c r="BN226" s="13"/>
      <c r="BO226" s="13"/>
      <c r="BP226" s="13"/>
      <c r="BQ226" s="13"/>
      <c r="BR226" s="13"/>
      <c r="BS226" s="13"/>
      <c r="BT226" s="13"/>
      <c r="BU226" s="13"/>
      <c r="BV226" s="13"/>
      <c r="BW226" s="13"/>
      <c r="BX226" s="13"/>
      <c r="BY226" s="13"/>
      <c r="BZ226" s="13"/>
      <c r="CA226" s="13"/>
      <c r="CB226" s="13"/>
      <c r="CC226" s="13"/>
      <c r="CD226" s="13"/>
      <c r="CE226" s="13"/>
      <c r="CF226" s="13"/>
      <c r="CG226" s="13"/>
      <c r="CH226" s="13"/>
      <c r="CI226" s="13"/>
      <c r="CJ226" s="13"/>
      <c r="CK226" s="13"/>
      <c r="CL226" s="13"/>
      <c r="CM226" s="13"/>
      <c r="CN226" s="13"/>
      <c r="CO226" s="13"/>
      <c r="CP226" s="13"/>
      <c r="CQ226" s="13"/>
    </row>
    <row r="227" spans="1:95" ht="14.25" customHeight="1" x14ac:dyDescent="0.2">
      <c r="A227" s="13"/>
      <c r="B227" s="731"/>
      <c r="C227" s="726"/>
      <c r="D227" s="122"/>
      <c r="E227" s="394"/>
      <c r="F227" s="389">
        <v>2</v>
      </c>
      <c r="G227" s="389">
        <v>0</v>
      </c>
      <c r="H227" s="118"/>
      <c r="I227" s="694"/>
      <c r="J227" s="219"/>
      <c r="K227" s="13"/>
      <c r="L227" s="13"/>
      <c r="M227" s="13"/>
      <c r="N227" s="13"/>
      <c r="O227" s="13"/>
      <c r="P227" s="13"/>
      <c r="Q227" s="13"/>
      <c r="R227" s="13"/>
      <c r="S227" s="13"/>
      <c r="T227" s="13"/>
      <c r="U227" s="13"/>
      <c r="V227" s="13"/>
      <c r="W227" s="13"/>
      <c r="X227" s="13"/>
      <c r="AA227" s="174"/>
      <c r="AB227" s="174"/>
      <c r="AH227" s="13"/>
      <c r="AM227" s="13"/>
      <c r="AN227" s="13"/>
      <c r="AO227" s="13"/>
      <c r="AP227" s="13"/>
      <c r="AQ227" s="13"/>
      <c r="AR227" s="13"/>
      <c r="AS227" s="13"/>
      <c r="AT227" s="13"/>
      <c r="AU227" s="13"/>
      <c r="AV227" s="174"/>
      <c r="AW227" s="174"/>
      <c r="AX227" s="174"/>
      <c r="AY227" s="174"/>
      <c r="AZ227" s="174"/>
      <c r="BA227" s="174"/>
      <c r="BB227" s="13"/>
      <c r="BC227" s="13"/>
      <c r="BD227" s="13"/>
      <c r="BE227" s="13"/>
      <c r="BF227" s="13"/>
      <c r="BG227" s="13"/>
      <c r="BH227" s="13"/>
      <c r="BI227" s="13"/>
      <c r="BJ227" s="13"/>
      <c r="BK227" s="13"/>
      <c r="BL227" s="13"/>
      <c r="BM227" s="13"/>
      <c r="BN227" s="13"/>
      <c r="BO227" s="13"/>
      <c r="BP227" s="13"/>
      <c r="BQ227" s="13"/>
      <c r="BR227" s="13"/>
      <c r="BS227" s="13"/>
      <c r="BT227" s="13"/>
      <c r="BU227" s="13"/>
      <c r="BV227" s="13"/>
      <c r="BW227" s="13"/>
      <c r="BX227" s="13"/>
      <c r="BY227" s="13"/>
      <c r="BZ227" s="13"/>
      <c r="CA227" s="13"/>
      <c r="CB227" s="13"/>
      <c r="CC227" s="13"/>
      <c r="CD227" s="13"/>
      <c r="CE227" s="13"/>
      <c r="CF227" s="13"/>
      <c r="CG227" s="13"/>
      <c r="CH227" s="13"/>
      <c r="CI227" s="13"/>
      <c r="CJ227" s="13"/>
      <c r="CK227" s="13"/>
      <c r="CL227" s="13"/>
      <c r="CM227" s="13"/>
      <c r="CN227" s="13"/>
      <c r="CO227" s="13"/>
      <c r="CP227" s="13"/>
      <c r="CQ227" s="13"/>
    </row>
    <row r="228" spans="1:95" ht="16.5" customHeight="1" x14ac:dyDescent="0.2">
      <c r="A228" s="13"/>
      <c r="B228" s="13"/>
      <c r="C228" s="13"/>
      <c r="D228" s="13"/>
      <c r="E228" s="57"/>
      <c r="F228" s="57"/>
      <c r="G228" s="57"/>
      <c r="H228" s="13"/>
      <c r="I228" s="694"/>
      <c r="J228" s="82"/>
      <c r="K228" s="13"/>
      <c r="L228" s="13"/>
      <c r="M228" s="13"/>
      <c r="N228" s="13"/>
      <c r="O228" s="13"/>
      <c r="P228" s="13"/>
      <c r="Q228" s="13"/>
      <c r="R228" s="13"/>
      <c r="S228" s="13"/>
      <c r="T228" s="13"/>
      <c r="U228" s="13"/>
      <c r="V228" s="13"/>
      <c r="W228" s="13"/>
      <c r="X228" s="13"/>
      <c r="AA228" s="174"/>
      <c r="AB228" s="174"/>
      <c r="AH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c r="BL228" s="13"/>
      <c r="BM228" s="13"/>
      <c r="BN228" s="13"/>
      <c r="BO228" s="13"/>
      <c r="BP228" s="13"/>
      <c r="BQ228" s="13"/>
      <c r="BR228" s="13"/>
      <c r="BS228" s="13"/>
      <c r="BT228" s="13"/>
      <c r="BU228" s="13"/>
      <c r="BV228" s="13"/>
      <c r="BW228" s="13"/>
      <c r="BX228" s="13"/>
      <c r="BY228" s="13"/>
      <c r="BZ228" s="13"/>
      <c r="CA228" s="13"/>
      <c r="CB228" s="13"/>
      <c r="CC228" s="13"/>
      <c r="CD228" s="13"/>
      <c r="CE228" s="13"/>
      <c r="CF228" s="13"/>
      <c r="CG228" s="13"/>
      <c r="CH228" s="13"/>
      <c r="CI228" s="13"/>
      <c r="CJ228" s="13"/>
      <c r="CK228" s="13"/>
      <c r="CL228" s="13"/>
      <c r="CM228" s="13"/>
      <c r="CN228" s="13"/>
      <c r="CO228" s="13"/>
      <c r="CP228" s="13"/>
      <c r="CQ228" s="13"/>
    </row>
    <row r="229" spans="1:95" ht="15" customHeight="1" x14ac:dyDescent="0.2">
      <c r="A229" s="13"/>
      <c r="B229" s="661" t="s">
        <v>452</v>
      </c>
      <c r="C229" s="662" t="s">
        <v>453</v>
      </c>
      <c r="D229" s="402"/>
      <c r="E229" s="1815" t="s">
        <v>179</v>
      </c>
      <c r="F229" s="354" t="s">
        <v>431</v>
      </c>
      <c r="G229" s="354" t="s">
        <v>432</v>
      </c>
      <c r="H229" s="203"/>
      <c r="I229" s="694"/>
      <c r="J229" s="219"/>
      <c r="K229" s="13"/>
      <c r="L229" s="13"/>
      <c r="M229" s="13"/>
      <c r="N229" s="13"/>
      <c r="O229" s="13"/>
      <c r="P229" s="13"/>
      <c r="Q229" s="13"/>
      <c r="R229" s="13"/>
      <c r="S229" s="13"/>
      <c r="T229" s="13"/>
      <c r="U229" s="13"/>
      <c r="V229" s="13"/>
      <c r="W229" s="13"/>
      <c r="X229" s="13"/>
      <c r="AA229" s="174"/>
      <c r="AB229" s="174"/>
      <c r="AH229" s="13"/>
      <c r="AM229" s="13"/>
      <c r="AN229" s="13"/>
      <c r="AO229" s="13"/>
      <c r="AP229" s="13"/>
      <c r="AQ229" s="13"/>
      <c r="AR229" s="187"/>
      <c r="AS229" s="187"/>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BR229" s="13"/>
      <c r="BS229" s="13"/>
      <c r="BT229" s="13"/>
      <c r="BU229" s="13"/>
      <c r="BV229" s="13"/>
      <c r="BW229" s="13"/>
      <c r="BX229" s="13"/>
      <c r="BY229" s="13"/>
      <c r="BZ229" s="13"/>
      <c r="CA229" s="13"/>
      <c r="CB229" s="13"/>
      <c r="CC229" s="13"/>
      <c r="CD229" s="13"/>
      <c r="CE229" s="13"/>
      <c r="CF229" s="13"/>
      <c r="CG229" s="13"/>
      <c r="CH229" s="13"/>
      <c r="CI229" s="13"/>
      <c r="CJ229" s="13"/>
      <c r="CK229" s="13"/>
      <c r="CL229" s="13"/>
      <c r="CM229" s="13"/>
      <c r="CN229" s="13"/>
      <c r="CO229" s="13"/>
      <c r="CP229" s="13"/>
      <c r="CQ229" s="13"/>
    </row>
    <row r="230" spans="1:95" ht="14.25" customHeight="1" x14ac:dyDescent="0.2">
      <c r="A230" s="13"/>
      <c r="B230" s="669"/>
      <c r="C230" s="215"/>
      <c r="D230" s="215"/>
      <c r="E230" s="1816"/>
      <c r="F230" s="389">
        <v>0</v>
      </c>
      <c r="G230" s="389">
        <v>0.1</v>
      </c>
      <c r="H230" s="205"/>
      <c r="I230" s="694"/>
      <c r="J230" s="220"/>
      <c r="K230" s="13"/>
      <c r="L230" s="13"/>
      <c r="M230" s="13"/>
      <c r="N230" s="13"/>
      <c r="O230" s="13"/>
      <c r="P230" s="13"/>
      <c r="Q230" s="13"/>
      <c r="R230" s="13"/>
      <c r="S230" s="13"/>
      <c r="T230" s="13"/>
      <c r="U230" s="13"/>
      <c r="V230" s="13"/>
      <c r="W230" s="13"/>
      <c r="X230" s="13"/>
      <c r="AA230" s="174"/>
      <c r="AB230" s="174"/>
      <c r="AH230" s="176"/>
      <c r="AM230" s="13"/>
      <c r="AN230" s="13"/>
      <c r="AO230" s="176"/>
      <c r="AP230" s="176"/>
      <c r="AQ230" s="176"/>
      <c r="AR230" s="187"/>
      <c r="AS230" s="187"/>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BR230" s="221"/>
      <c r="BS230" s="221"/>
      <c r="BT230" s="222"/>
      <c r="BU230" s="222"/>
      <c r="BV230" s="223"/>
      <c r="BW230" s="223"/>
      <c r="BX230" s="223"/>
      <c r="BY230" s="223"/>
      <c r="BZ230" s="223"/>
      <c r="CA230" s="223"/>
      <c r="CB230" s="223"/>
      <c r="CC230" s="223"/>
      <c r="CD230" s="223"/>
      <c r="CE230" s="223"/>
      <c r="CF230" s="223"/>
      <c r="CG230" s="223"/>
      <c r="CH230" s="223"/>
      <c r="CI230" s="223"/>
      <c r="CJ230" s="223"/>
      <c r="CK230" s="223"/>
      <c r="CL230" s="223"/>
      <c r="CM230" s="223"/>
      <c r="CN230" s="13"/>
      <c r="CO230" s="13"/>
      <c r="CP230" s="13"/>
      <c r="CQ230" s="13"/>
    </row>
    <row r="231" spans="1:95" ht="14.25" customHeight="1" x14ac:dyDescent="0.2">
      <c r="A231" s="13"/>
      <c r="B231" s="403"/>
      <c r="C231" s="745" t="s">
        <v>441</v>
      </c>
      <c r="D231" s="673" t="s">
        <v>274</v>
      </c>
      <c r="E231" s="346"/>
      <c r="F231" s="389">
        <v>0.81</v>
      </c>
      <c r="G231" s="389">
        <v>0.25</v>
      </c>
      <c r="H231" s="205"/>
      <c r="I231" s="694"/>
      <c r="J231" s="220"/>
      <c r="K231" s="13"/>
      <c r="L231" s="13"/>
      <c r="M231" s="13"/>
      <c r="N231" s="13"/>
      <c r="O231" s="13"/>
      <c r="P231" s="13"/>
      <c r="Q231" s="13"/>
      <c r="R231" s="13"/>
      <c r="S231" s="13"/>
      <c r="T231" s="13"/>
      <c r="U231" s="13"/>
      <c r="V231" s="13"/>
      <c r="W231" s="13"/>
      <c r="X231" s="13"/>
      <c r="AA231" s="174"/>
      <c r="AB231" s="13"/>
      <c r="AH231" s="176"/>
      <c r="AM231" s="13"/>
      <c r="AN231" s="13"/>
      <c r="AO231" s="176"/>
      <c r="AP231" s="176"/>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BR231" s="221"/>
      <c r="BS231" s="221"/>
      <c r="BT231" s="222"/>
      <c r="BU231" s="222"/>
      <c r="BV231" s="223"/>
      <c r="BW231" s="223"/>
      <c r="BX231" s="223"/>
      <c r="BY231" s="223"/>
      <c r="BZ231" s="223"/>
      <c r="CA231" s="223"/>
      <c r="CB231" s="223"/>
      <c r="CC231" s="223"/>
      <c r="CD231" s="223"/>
      <c r="CE231" s="223"/>
      <c r="CF231" s="223"/>
      <c r="CG231" s="223"/>
      <c r="CH231" s="223"/>
      <c r="CI231" s="223"/>
      <c r="CJ231" s="223"/>
      <c r="CK231" s="223"/>
      <c r="CL231" s="223"/>
      <c r="CM231" s="223"/>
      <c r="CN231" s="13"/>
      <c r="CO231" s="13"/>
      <c r="CP231" s="13"/>
      <c r="CQ231" s="13"/>
    </row>
    <row r="232" spans="1:95" ht="14.25" customHeight="1" x14ac:dyDescent="0.2">
      <c r="A232" s="13"/>
      <c r="B232" s="659" t="s">
        <v>442</v>
      </c>
      <c r="C232" s="1357"/>
      <c r="D232" s="677">
        <f>IF(ISBLANK(C232),0,IF('GUIA DE APLICAÇÃO'!H873&gt;1,1,IF('GUIA DE APLICAÇÃO'!H873&lt;0,0,'GUIA DE APLICAÇÃO'!H873)))</f>
        <v>0</v>
      </c>
      <c r="E232" s="346"/>
      <c r="F232" s="389">
        <v>2.31</v>
      </c>
      <c r="G232" s="389">
        <v>0.5</v>
      </c>
      <c r="H232" s="205"/>
      <c r="I232" s="694"/>
      <c r="J232" s="219"/>
      <c r="K232" s="13"/>
      <c r="L232" s="13"/>
      <c r="M232" s="13"/>
      <c r="N232" s="13"/>
      <c r="O232" s="13"/>
      <c r="P232" s="13"/>
      <c r="Q232" s="13"/>
      <c r="R232" s="13"/>
      <c r="S232" s="13"/>
      <c r="T232" s="13"/>
      <c r="U232" s="13"/>
      <c r="V232" s="13"/>
      <c r="W232" s="13"/>
      <c r="X232" s="13"/>
      <c r="AA232" s="13"/>
      <c r="AB232" s="13"/>
      <c r="AH232" s="176"/>
      <c r="AM232" s="13"/>
      <c r="AN232" s="13"/>
      <c r="AO232" s="176"/>
      <c r="AP232" s="176"/>
      <c r="AQ232" s="13"/>
      <c r="AR232" s="13"/>
      <c r="AS232" s="13"/>
      <c r="AT232" s="13"/>
      <c r="AU232" s="13"/>
      <c r="AV232" s="13"/>
      <c r="AW232" s="13"/>
      <c r="AX232" s="13"/>
      <c r="AY232" s="13"/>
      <c r="AZ232" s="13"/>
      <c r="BA232" s="13"/>
      <c r="BB232" s="13"/>
      <c r="BC232" s="13"/>
      <c r="BD232" s="13"/>
      <c r="BE232" s="13"/>
      <c r="BF232" s="13"/>
      <c r="BG232" s="13"/>
      <c r="BH232" s="13"/>
      <c r="BI232" s="13"/>
      <c r="BJ232" s="13"/>
      <c r="BK232" s="13"/>
      <c r="BL232" s="13"/>
      <c r="BM232" s="13"/>
      <c r="BN232" s="13"/>
      <c r="BO232" s="13"/>
      <c r="BP232" s="13"/>
      <c r="BQ232" s="13"/>
      <c r="BR232" s="221"/>
      <c r="BS232" s="221"/>
      <c r="BT232" s="222"/>
      <c r="BU232" s="222"/>
      <c r="BV232" s="223"/>
      <c r="BW232" s="223"/>
      <c r="BX232" s="223"/>
      <c r="BY232" s="223"/>
      <c r="BZ232" s="223"/>
      <c r="CA232" s="223"/>
      <c r="CB232" s="223"/>
      <c r="CC232" s="223"/>
      <c r="CD232" s="223"/>
      <c r="CE232" s="223"/>
      <c r="CF232" s="223"/>
      <c r="CG232" s="223"/>
      <c r="CH232" s="223"/>
      <c r="CI232" s="223"/>
      <c r="CJ232" s="223"/>
      <c r="CK232" s="223"/>
      <c r="CL232" s="223"/>
      <c r="CM232" s="223"/>
      <c r="CN232" s="13"/>
      <c r="CO232" s="13"/>
      <c r="CP232" s="13"/>
      <c r="CQ232" s="13"/>
    </row>
    <row r="233" spans="1:95" ht="15" customHeight="1" x14ac:dyDescent="0.2">
      <c r="A233" s="13"/>
      <c r="B233" s="93"/>
      <c r="C233" s="38"/>
      <c r="D233" s="38"/>
      <c r="E233" s="346"/>
      <c r="F233" s="389">
        <v>4.6100000000000003</v>
      </c>
      <c r="G233" s="389">
        <v>0.7</v>
      </c>
      <c r="H233" s="205"/>
      <c r="I233" s="694"/>
      <c r="J233" s="219"/>
      <c r="K233" s="13"/>
      <c r="L233" s="13"/>
      <c r="M233" s="13"/>
      <c r="N233" s="13"/>
      <c r="O233" s="13"/>
      <c r="P233" s="13"/>
      <c r="Q233" s="13"/>
      <c r="R233" s="13"/>
      <c r="S233" s="13"/>
      <c r="T233" s="13"/>
      <c r="U233" s="13"/>
      <c r="V233" s="13"/>
      <c r="W233" s="13"/>
      <c r="X233" s="13"/>
      <c r="AA233" s="13"/>
      <c r="AB233" s="13"/>
      <c r="AC233" s="210"/>
      <c r="AD233" s="211"/>
      <c r="AE233" s="211"/>
      <c r="AF233" s="211"/>
      <c r="AG233" s="224"/>
      <c r="AH233" s="13"/>
      <c r="AM233" s="13"/>
      <c r="AN233" s="13"/>
      <c r="AO233" s="176"/>
      <c r="AP233" s="176"/>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BR233" s="221"/>
      <c r="BS233" s="221"/>
      <c r="BT233" s="222"/>
      <c r="BU233" s="222"/>
      <c r="BV233" s="223"/>
      <c r="BW233" s="223"/>
      <c r="BX233" s="223"/>
      <c r="BY233" s="223"/>
      <c r="BZ233" s="223"/>
      <c r="CA233" s="223"/>
      <c r="CB233" s="223"/>
      <c r="CC233" s="223"/>
      <c r="CD233" s="223"/>
      <c r="CE233" s="223"/>
      <c r="CF233" s="223"/>
      <c r="CG233" s="223"/>
      <c r="CH233" s="223"/>
      <c r="CI233" s="223"/>
      <c r="CJ233" s="223"/>
      <c r="CK233" s="223"/>
      <c r="CL233" s="223"/>
      <c r="CM233" s="223"/>
      <c r="CN233" s="13"/>
      <c r="CO233" s="13"/>
      <c r="CP233" s="13"/>
      <c r="CQ233" s="13"/>
    </row>
    <row r="234" spans="1:95" ht="14.25" customHeight="1" x14ac:dyDescent="0.2">
      <c r="A234" s="13"/>
      <c r="B234" s="731"/>
      <c r="C234" s="726"/>
      <c r="D234" s="122"/>
      <c r="E234" s="394"/>
      <c r="F234" s="389">
        <v>8</v>
      </c>
      <c r="G234" s="389">
        <v>1</v>
      </c>
      <c r="H234" s="118"/>
      <c r="I234" s="694"/>
      <c r="J234" s="219"/>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74"/>
      <c r="AH234" s="13"/>
      <c r="AM234" s="13"/>
      <c r="AN234" s="13"/>
      <c r="AO234" s="176"/>
      <c r="AP234" s="176"/>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BQ234" s="13"/>
      <c r="BR234" s="221"/>
      <c r="BS234" s="221"/>
      <c r="BT234" s="222"/>
      <c r="BU234" s="222"/>
      <c r="BV234" s="223"/>
      <c r="BW234" s="223"/>
      <c r="BX234" s="223"/>
      <c r="BY234" s="223"/>
      <c r="BZ234" s="223"/>
      <c r="CA234" s="223"/>
      <c r="CB234" s="223"/>
      <c r="CC234" s="223"/>
      <c r="CD234" s="223"/>
      <c r="CE234" s="223"/>
      <c r="CF234" s="223"/>
      <c r="CG234" s="223"/>
      <c r="CH234" s="223"/>
      <c r="CI234" s="223"/>
      <c r="CJ234" s="223"/>
      <c r="CK234" s="223"/>
      <c r="CL234" s="223"/>
      <c r="CM234" s="223"/>
      <c r="CN234" s="13"/>
      <c r="CO234" s="13"/>
      <c r="CP234" s="13"/>
      <c r="CQ234" s="13"/>
    </row>
    <row r="235" spans="1:95" ht="16.5" customHeight="1" x14ac:dyDescent="0.2">
      <c r="A235" s="13"/>
      <c r="B235" s="13"/>
      <c r="C235" s="13"/>
      <c r="D235" s="13"/>
      <c r="E235" s="57"/>
      <c r="F235" s="57"/>
      <c r="G235" s="57"/>
      <c r="H235" s="13"/>
      <c r="I235" s="694"/>
      <c r="J235" s="219"/>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74"/>
      <c r="AH235" s="13"/>
      <c r="AI235" s="13"/>
      <c r="AJ235" s="13"/>
      <c r="AK235" s="13"/>
      <c r="AL235" s="13"/>
      <c r="AM235" s="187"/>
      <c r="AN235" s="176"/>
      <c r="AO235" s="176"/>
      <c r="AP235" s="176"/>
      <c r="AQ235" s="13"/>
      <c r="AR235" s="13"/>
      <c r="AS235" s="13"/>
      <c r="AT235" s="13"/>
      <c r="AU235" s="13"/>
      <c r="AV235" s="13"/>
      <c r="AW235" s="13"/>
      <c r="AX235" s="13"/>
      <c r="AY235" s="13"/>
      <c r="AZ235" s="13"/>
      <c r="BA235" s="13"/>
      <c r="BB235" s="13"/>
      <c r="BC235" s="13"/>
      <c r="BD235" s="13"/>
      <c r="BE235" s="13"/>
      <c r="BF235" s="13"/>
      <c r="BG235" s="13"/>
      <c r="BH235" s="13"/>
      <c r="BI235" s="13"/>
      <c r="BJ235" s="13"/>
      <c r="BK235" s="13"/>
      <c r="BL235" s="13"/>
      <c r="BM235" s="13"/>
      <c r="BN235" s="13"/>
      <c r="BO235" s="13"/>
      <c r="BP235" s="13"/>
      <c r="BQ235" s="13"/>
      <c r="BR235" s="221"/>
      <c r="BS235" s="221"/>
      <c r="BT235" s="222"/>
      <c r="BU235" s="222"/>
      <c r="BV235" s="223"/>
      <c r="BW235" s="223"/>
      <c r="BX235" s="223"/>
      <c r="BY235" s="223"/>
      <c r="BZ235" s="223"/>
      <c r="CA235" s="223"/>
      <c r="CB235" s="223"/>
      <c r="CC235" s="223"/>
      <c r="CD235" s="223"/>
      <c r="CE235" s="223"/>
      <c r="CF235" s="223"/>
      <c r="CG235" s="223"/>
      <c r="CH235" s="223"/>
      <c r="CI235" s="223"/>
      <c r="CJ235" s="223"/>
      <c r="CK235" s="223"/>
      <c r="CL235" s="223"/>
      <c r="CM235" s="223"/>
      <c r="CN235" s="13"/>
      <c r="CO235" s="13"/>
      <c r="CP235" s="13"/>
      <c r="CQ235" s="13"/>
    </row>
    <row r="236" spans="1:95" ht="15" customHeight="1" x14ac:dyDescent="0.2">
      <c r="A236" s="13"/>
      <c r="B236" s="661" t="s">
        <v>454</v>
      </c>
      <c r="C236" s="662" t="s">
        <v>455</v>
      </c>
      <c r="D236" s="214"/>
      <c r="E236" s="1815" t="s">
        <v>179</v>
      </c>
      <c r="F236" s="354" t="s">
        <v>431</v>
      </c>
      <c r="G236" s="354" t="s">
        <v>432</v>
      </c>
      <c r="H236" s="203"/>
      <c r="I236" s="694"/>
      <c r="J236" s="174"/>
      <c r="K236" s="13"/>
      <c r="L236" s="13"/>
      <c r="M236" s="13"/>
      <c r="N236" s="13"/>
      <c r="O236" s="13"/>
      <c r="P236" s="13"/>
      <c r="Q236" s="13"/>
      <c r="R236" s="13"/>
      <c r="S236" s="13"/>
      <c r="T236" s="13"/>
      <c r="U236" s="13"/>
      <c r="V236" s="13"/>
      <c r="W236" s="13"/>
      <c r="X236" s="13"/>
      <c r="AA236" s="13"/>
      <c r="AB236" s="13"/>
      <c r="AH236" s="13"/>
      <c r="AM236" s="187"/>
      <c r="AN236" s="176"/>
      <c r="AO236" s="176"/>
      <c r="AP236" s="176"/>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Q236" s="13"/>
      <c r="BR236" s="221"/>
      <c r="BS236" s="221"/>
      <c r="BT236" s="222"/>
      <c r="BU236" s="222"/>
      <c r="BV236" s="223"/>
      <c r="BW236" s="223"/>
      <c r="BX236" s="223"/>
      <c r="BY236" s="223"/>
      <c r="BZ236" s="223"/>
      <c r="CA236" s="223"/>
      <c r="CB236" s="223"/>
      <c r="CC236" s="223"/>
      <c r="CD236" s="223"/>
      <c r="CE236" s="223"/>
      <c r="CF236" s="223"/>
      <c r="CG236" s="223"/>
      <c r="CH236" s="223"/>
      <c r="CI236" s="223"/>
      <c r="CJ236" s="223"/>
      <c r="CK236" s="223"/>
      <c r="CL236" s="223"/>
      <c r="CM236" s="223"/>
      <c r="CN236" s="13"/>
      <c r="CO236" s="13"/>
      <c r="CP236" s="13"/>
      <c r="CQ236" s="13"/>
    </row>
    <row r="237" spans="1:95" ht="15.75" customHeight="1" x14ac:dyDescent="0.2">
      <c r="A237" s="13"/>
      <c r="B237" s="610"/>
      <c r="C237" s="215"/>
      <c r="D237" s="215"/>
      <c r="E237" s="1816"/>
      <c r="F237" s="389">
        <v>0</v>
      </c>
      <c r="G237" s="389">
        <v>0.1</v>
      </c>
      <c r="H237" s="205"/>
      <c r="I237" s="694"/>
      <c r="J237" s="174"/>
      <c r="K237" s="13"/>
      <c r="L237" s="13"/>
      <c r="M237" s="13"/>
      <c r="N237" s="13"/>
      <c r="O237" s="13"/>
      <c r="P237" s="13"/>
      <c r="Q237" s="13"/>
      <c r="R237" s="13"/>
      <c r="S237" s="13"/>
      <c r="T237" s="13"/>
      <c r="U237" s="13"/>
      <c r="V237" s="13"/>
      <c r="W237" s="13"/>
      <c r="X237" s="13"/>
      <c r="AA237" s="13"/>
      <c r="AB237" s="13"/>
      <c r="AH237" s="13"/>
      <c r="AM237" s="187"/>
      <c r="AN237" s="176"/>
      <c r="AO237" s="176"/>
      <c r="AP237" s="176"/>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Q237" s="13"/>
      <c r="BR237" s="221"/>
      <c r="BS237" s="221"/>
      <c r="BT237" s="222"/>
      <c r="BU237" s="222"/>
      <c r="BV237" s="223"/>
      <c r="BW237" s="223"/>
      <c r="BX237" s="223"/>
      <c r="BY237" s="223"/>
      <c r="BZ237" s="223"/>
      <c r="CA237" s="223"/>
      <c r="CB237" s="223"/>
      <c r="CC237" s="223"/>
      <c r="CD237" s="223"/>
      <c r="CE237" s="223"/>
      <c r="CF237" s="223"/>
      <c r="CG237" s="223"/>
      <c r="CH237" s="223"/>
      <c r="CI237" s="223"/>
      <c r="CJ237" s="223"/>
      <c r="CK237" s="223"/>
      <c r="CL237" s="223"/>
      <c r="CM237" s="223"/>
      <c r="CN237" s="13"/>
      <c r="CO237" s="13"/>
      <c r="CP237" s="13"/>
      <c r="CQ237" s="13"/>
    </row>
    <row r="238" spans="1:95" ht="15" customHeight="1" x14ac:dyDescent="0.2">
      <c r="A238" s="13"/>
      <c r="B238" s="225"/>
      <c r="C238" s="746" t="s">
        <v>456</v>
      </c>
      <c r="D238" s="673"/>
      <c r="E238" s="346"/>
      <c r="F238" s="389">
        <v>15</v>
      </c>
      <c r="G238" s="389">
        <v>0.25</v>
      </c>
      <c r="H238" s="205"/>
      <c r="I238" s="694"/>
      <c r="J238" s="174"/>
      <c r="K238" s="174"/>
      <c r="L238" s="174"/>
      <c r="M238" s="174"/>
      <c r="N238" s="174"/>
      <c r="O238" s="174"/>
      <c r="P238" s="174"/>
      <c r="Q238" s="174"/>
      <c r="R238" s="174"/>
      <c r="S238" s="174"/>
      <c r="T238" s="174"/>
      <c r="U238" s="13"/>
      <c r="V238" s="13"/>
      <c r="W238" s="174"/>
      <c r="X238" s="13"/>
      <c r="AA238" s="13"/>
      <c r="AB238" s="13"/>
      <c r="AH238" s="13"/>
      <c r="AM238" s="187"/>
      <c r="AN238" s="176"/>
      <c r="AO238" s="13"/>
      <c r="AP238" s="176"/>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BQ238" s="13"/>
      <c r="BR238" s="221"/>
      <c r="BS238" s="221"/>
      <c r="BT238" s="222"/>
      <c r="BU238" s="222"/>
      <c r="BV238" s="223"/>
      <c r="BW238" s="223"/>
      <c r="BX238" s="223"/>
      <c r="BY238" s="223"/>
      <c r="BZ238" s="223"/>
      <c r="CA238" s="223"/>
      <c r="CB238" s="223"/>
      <c r="CC238" s="223"/>
      <c r="CD238" s="223"/>
      <c r="CE238" s="223"/>
      <c r="CF238" s="223"/>
      <c r="CG238" s="223"/>
      <c r="CH238" s="223"/>
      <c r="CI238" s="223"/>
      <c r="CJ238" s="223"/>
      <c r="CK238" s="223"/>
      <c r="CL238" s="223"/>
      <c r="CM238" s="223"/>
      <c r="CN238" s="13"/>
      <c r="CO238" s="13"/>
      <c r="CP238" s="13"/>
      <c r="CQ238" s="13"/>
    </row>
    <row r="239" spans="1:95" ht="14.25" customHeight="1" x14ac:dyDescent="0.2">
      <c r="A239" s="13"/>
      <c r="B239" s="659" t="s">
        <v>442</v>
      </c>
      <c r="C239" s="1355"/>
      <c r="E239" s="346"/>
      <c r="F239" s="389">
        <v>30</v>
      </c>
      <c r="G239" s="389">
        <v>0.5</v>
      </c>
      <c r="H239" s="205"/>
      <c r="I239" s="694"/>
      <c r="J239" s="174"/>
      <c r="K239" s="174"/>
      <c r="L239" s="174"/>
      <c r="M239" s="174"/>
      <c r="N239" s="174"/>
      <c r="O239" s="174"/>
      <c r="P239" s="174"/>
      <c r="Q239" s="174"/>
      <c r="R239" s="174"/>
      <c r="S239" s="174"/>
      <c r="T239" s="174"/>
      <c r="U239" s="13"/>
      <c r="V239" s="13"/>
      <c r="W239" s="174"/>
      <c r="X239" s="174"/>
      <c r="AA239" s="13"/>
      <c r="AB239" s="13"/>
      <c r="AH239" s="13"/>
      <c r="AM239" s="187"/>
      <c r="AN239" s="176"/>
      <c r="AO239" s="13"/>
      <c r="AP239" s="176"/>
      <c r="AQ239" s="13"/>
      <c r="AR239" s="13"/>
      <c r="AS239" s="13"/>
      <c r="AT239" s="13"/>
      <c r="AU239" s="13"/>
      <c r="AV239" s="13"/>
      <c r="AW239" s="13"/>
      <c r="AX239" s="13"/>
      <c r="AY239" s="13"/>
      <c r="AZ239" s="13"/>
      <c r="BA239" s="13"/>
      <c r="BB239" s="13"/>
      <c r="BC239" s="13"/>
      <c r="BD239" s="13"/>
      <c r="BE239" s="13"/>
      <c r="BF239" s="13"/>
      <c r="BG239" s="13"/>
      <c r="BH239" s="13"/>
      <c r="BI239" s="13"/>
      <c r="BJ239" s="13"/>
      <c r="BK239" s="13"/>
      <c r="BL239" s="13"/>
      <c r="BM239" s="13"/>
      <c r="BN239" s="13"/>
      <c r="BO239" s="13"/>
      <c r="BP239" s="13"/>
      <c r="BQ239" s="13"/>
      <c r="BR239" s="221"/>
      <c r="BS239" s="221"/>
      <c r="BT239" s="222"/>
      <c r="BU239" s="222"/>
      <c r="BV239" s="223"/>
      <c r="BW239" s="223"/>
      <c r="BX239" s="223"/>
      <c r="BY239" s="223"/>
      <c r="BZ239" s="223"/>
      <c r="CA239" s="223"/>
      <c r="CB239" s="223"/>
      <c r="CC239" s="223"/>
      <c r="CD239" s="223"/>
      <c r="CE239" s="223"/>
      <c r="CF239" s="223"/>
      <c r="CG239" s="223"/>
      <c r="CH239" s="223"/>
      <c r="CI239" s="223"/>
      <c r="CJ239" s="223"/>
      <c r="CK239" s="223"/>
      <c r="CL239" s="223"/>
      <c r="CM239" s="223"/>
      <c r="CN239" s="13"/>
      <c r="CO239" s="13"/>
      <c r="CP239" s="13"/>
      <c r="CQ239" s="13"/>
    </row>
    <row r="240" spans="1:95" ht="14.25" customHeight="1" x14ac:dyDescent="0.25">
      <c r="A240" s="13"/>
      <c r="B240" s="93"/>
      <c r="C240" s="38"/>
      <c r="D240" s="38"/>
      <c r="E240" s="346"/>
      <c r="F240" s="389">
        <v>60</v>
      </c>
      <c r="G240" s="389">
        <v>0.7</v>
      </c>
      <c r="H240" s="205"/>
      <c r="I240" s="226"/>
      <c r="J240" s="174"/>
      <c r="K240" s="13"/>
      <c r="L240" s="13"/>
      <c r="M240" s="13"/>
      <c r="N240" s="13"/>
      <c r="O240" s="13"/>
      <c r="P240" s="13"/>
      <c r="Q240" s="13"/>
      <c r="R240" s="13"/>
      <c r="S240" s="13"/>
      <c r="T240" s="13"/>
      <c r="U240" s="13"/>
      <c r="V240" s="13"/>
      <c r="W240" s="227"/>
      <c r="X240" s="174"/>
      <c r="AA240" s="13"/>
      <c r="AB240" s="13"/>
      <c r="AH240" s="13"/>
      <c r="AM240" s="187"/>
      <c r="AN240" s="176"/>
      <c r="AO240" s="13"/>
      <c r="AP240" s="176"/>
      <c r="AQ240" s="13"/>
      <c r="AR240" s="13"/>
      <c r="AS240" s="13"/>
      <c r="AT240" s="13"/>
      <c r="AU240" s="13"/>
      <c r="AV240" s="13"/>
      <c r="AW240" s="13"/>
      <c r="AX240" s="13"/>
      <c r="AY240" s="13"/>
      <c r="AZ240" s="13"/>
      <c r="BA240" s="13"/>
      <c r="BB240" s="13"/>
      <c r="BC240" s="13"/>
      <c r="BD240" s="13"/>
      <c r="BE240" s="13"/>
      <c r="BF240" s="13"/>
      <c r="BG240" s="13"/>
      <c r="BH240" s="13"/>
      <c r="BI240" s="13"/>
      <c r="BJ240" s="13"/>
      <c r="BK240" s="13"/>
      <c r="BL240" s="13"/>
      <c r="BM240" s="13"/>
      <c r="BN240" s="13"/>
      <c r="BO240" s="13"/>
      <c r="BP240" s="13"/>
      <c r="BQ240" s="13"/>
      <c r="BR240" s="221"/>
      <c r="BS240" s="221"/>
      <c r="BT240" s="222"/>
      <c r="BU240" s="222"/>
      <c r="BV240" s="223"/>
      <c r="BW240" s="223"/>
      <c r="BX240" s="223"/>
      <c r="BY240" s="223"/>
      <c r="BZ240" s="223"/>
      <c r="CA240" s="228"/>
      <c r="CB240" s="223"/>
      <c r="CC240" s="228"/>
      <c r="CD240" s="223"/>
      <c r="CE240" s="228"/>
      <c r="CF240" s="223"/>
      <c r="CG240" s="228"/>
      <c r="CH240" s="223"/>
      <c r="CI240" s="228"/>
      <c r="CJ240" s="223"/>
      <c r="CK240" s="228"/>
      <c r="CL240" s="223"/>
      <c r="CM240" s="228"/>
      <c r="CN240" s="13"/>
      <c r="CO240" s="13"/>
      <c r="CP240" s="13"/>
      <c r="CQ240" s="13"/>
    </row>
    <row r="241" spans="1:95" ht="13.5" customHeight="1" x14ac:dyDescent="0.2">
      <c r="A241" s="13"/>
      <c r="B241" s="666" t="s">
        <v>435</v>
      </c>
      <c r="C241" s="677">
        <f>IF(C239&gt;61,1,IF(ISBLANK(C239),0,IF('GUIA DE APLICAÇÃO'!H890&gt;1,1,IF('GUIA DE APLICAÇÃO'!H890&lt;0,0,'GUIA DE APLICAÇÃO'!H890))))</f>
        <v>0</v>
      </c>
      <c r="D241" s="122"/>
      <c r="E241" s="394"/>
      <c r="F241" s="389">
        <v>62</v>
      </c>
      <c r="G241" s="389">
        <v>1</v>
      </c>
      <c r="H241" s="118"/>
      <c r="I241" s="226"/>
      <c r="J241" s="174"/>
      <c r="K241" s="13"/>
      <c r="L241" s="13"/>
      <c r="M241" s="13"/>
      <c r="N241" s="13"/>
      <c r="O241" s="13"/>
      <c r="P241" s="13"/>
      <c r="Q241" s="13"/>
      <c r="R241" s="13"/>
      <c r="S241" s="13"/>
      <c r="T241" s="13"/>
      <c r="U241" s="13"/>
      <c r="V241" s="13"/>
      <c r="W241" s="174"/>
      <c r="X241" s="174"/>
      <c r="AA241" s="13"/>
      <c r="AB241" s="13"/>
      <c r="AH241" s="13"/>
      <c r="AM241" s="187"/>
      <c r="AN241" s="176"/>
      <c r="AO241" s="13"/>
      <c r="AP241" s="176"/>
      <c r="AQ241" s="13"/>
      <c r="AR241" s="13"/>
      <c r="AS241" s="13"/>
      <c r="AT241" s="13"/>
      <c r="AU241" s="13"/>
      <c r="AV241" s="13"/>
      <c r="AW241" s="13"/>
      <c r="AX241" s="13"/>
      <c r="AY241" s="13"/>
      <c r="AZ241" s="13"/>
      <c r="BA241" s="13"/>
      <c r="BB241" s="13"/>
      <c r="BC241" s="13"/>
      <c r="BD241" s="13"/>
      <c r="BE241" s="13"/>
      <c r="BF241" s="13"/>
      <c r="BG241" s="13"/>
      <c r="BH241" s="13"/>
      <c r="BI241" s="13"/>
      <c r="BJ241" s="13"/>
      <c r="BK241" s="13"/>
      <c r="BL241" s="13"/>
      <c r="BM241" s="13"/>
      <c r="BN241" s="13"/>
      <c r="BO241" s="13"/>
      <c r="BP241" s="13"/>
      <c r="BQ241" s="13"/>
      <c r="BR241" s="229"/>
      <c r="BS241" s="229"/>
      <c r="BT241" s="230"/>
      <c r="BU241" s="231"/>
      <c r="BV241" s="1526"/>
      <c r="BW241" s="232"/>
      <c r="BX241" s="1526"/>
      <c r="BY241" s="232"/>
      <c r="BZ241" s="1526"/>
      <c r="CA241" s="232"/>
      <c r="CB241" s="1526"/>
      <c r="CC241" s="232"/>
      <c r="CD241" s="1526"/>
      <c r="CE241" s="232"/>
      <c r="CF241" s="1526"/>
      <c r="CG241" s="232"/>
      <c r="CH241" s="1526"/>
      <c r="CI241" s="232"/>
      <c r="CJ241" s="1526"/>
      <c r="CK241" s="232"/>
      <c r="CL241" s="1526"/>
      <c r="CM241" s="232"/>
      <c r="CN241" s="13"/>
      <c r="CO241" s="13"/>
      <c r="CP241" s="13"/>
      <c r="CQ241" s="13"/>
    </row>
    <row r="242" spans="1:95" ht="14.25" customHeight="1" x14ac:dyDescent="0.2">
      <c r="A242" s="13"/>
      <c r="B242" s="13"/>
      <c r="C242" s="13"/>
      <c r="D242" s="13"/>
      <c r="E242" s="13"/>
      <c r="F242" s="13"/>
      <c r="G242" s="13"/>
      <c r="H242" s="13"/>
      <c r="I242" s="694"/>
      <c r="J242" s="174"/>
      <c r="K242" s="13"/>
      <c r="L242" s="13"/>
      <c r="M242" s="13"/>
      <c r="N242" s="13"/>
      <c r="O242" s="13"/>
      <c r="P242" s="13"/>
      <c r="Q242" s="13"/>
      <c r="R242" s="13"/>
      <c r="S242" s="13"/>
      <c r="T242" s="13"/>
      <c r="U242" s="13"/>
      <c r="V242" s="13"/>
      <c r="W242" s="174"/>
      <c r="X242" s="13"/>
      <c r="AA242" s="13"/>
      <c r="AB242" s="13"/>
      <c r="AC242" s="210"/>
      <c r="AD242" s="211"/>
      <c r="AE242" s="211"/>
      <c r="AF242" s="211"/>
      <c r="AG242" s="224"/>
      <c r="AH242" s="13"/>
      <c r="AM242" s="187"/>
      <c r="AN242" s="176"/>
      <c r="AO242" s="13"/>
      <c r="AP242" s="176"/>
      <c r="AQ242" s="13"/>
      <c r="AR242" s="13"/>
      <c r="AS242" s="233"/>
      <c r="AT242" s="211"/>
      <c r="AU242" s="211"/>
      <c r="AV242" s="234"/>
      <c r="AW242" s="235"/>
      <c r="AX242" s="13"/>
      <c r="AY242" s="13"/>
      <c r="AZ242" s="13"/>
      <c r="BA242" s="13"/>
      <c r="BB242" s="13"/>
      <c r="BC242" s="13"/>
      <c r="BD242" s="13"/>
      <c r="BE242" s="13"/>
      <c r="BF242" s="13"/>
      <c r="BG242" s="13"/>
      <c r="BH242" s="13"/>
      <c r="BI242" s="13"/>
      <c r="BJ242" s="13"/>
      <c r="BK242" s="13"/>
      <c r="BL242" s="13"/>
      <c r="BM242" s="13"/>
      <c r="BN242" s="13"/>
      <c r="BO242" s="13"/>
      <c r="BP242" s="13"/>
      <c r="BQ242" s="13"/>
      <c r="BR242" s="229"/>
      <c r="BS242" s="229"/>
      <c r="BT242" s="230"/>
      <c r="BU242" s="231"/>
      <c r="BV242" s="1526"/>
      <c r="BW242" s="232"/>
      <c r="BX242" s="1526"/>
      <c r="BY242" s="232"/>
      <c r="BZ242" s="1526"/>
      <c r="CA242" s="232"/>
      <c r="CB242" s="1526"/>
      <c r="CC242" s="232"/>
      <c r="CD242" s="1526"/>
      <c r="CE242" s="232"/>
      <c r="CF242" s="1526"/>
      <c r="CG242" s="232"/>
      <c r="CH242" s="1526"/>
      <c r="CI242" s="232"/>
      <c r="CJ242" s="1526"/>
      <c r="CK242" s="232"/>
      <c r="CL242" s="1526"/>
      <c r="CM242" s="232"/>
      <c r="CN242" s="13"/>
      <c r="CO242" s="13"/>
      <c r="CP242" s="13"/>
      <c r="CQ242" s="13"/>
    </row>
    <row r="243" spans="1:95" ht="15.75" customHeight="1" x14ac:dyDescent="0.2">
      <c r="A243" s="13"/>
      <c r="B243" s="1825" t="s">
        <v>457</v>
      </c>
      <c r="C243" s="1825"/>
      <c r="D243" s="667">
        <f>AVERAGE(C241,C192,C184)</f>
        <v>0</v>
      </c>
      <c r="E243" s="13"/>
      <c r="F243" s="13"/>
      <c r="G243" s="13"/>
      <c r="H243" s="13"/>
      <c r="I243" s="694"/>
      <c r="J243" s="236"/>
      <c r="K243" s="13"/>
      <c r="L243" s="13"/>
      <c r="M243" s="13"/>
      <c r="N243" s="13"/>
      <c r="O243" s="13"/>
      <c r="P243" s="13"/>
      <c r="Q243" s="13"/>
      <c r="R243" s="13"/>
      <c r="S243" s="13"/>
      <c r="T243" s="13"/>
      <c r="U243" s="13"/>
      <c r="V243" s="13"/>
      <c r="W243" s="174"/>
      <c r="X243" s="13"/>
      <c r="Y243" s="13"/>
      <c r="Z243" s="13"/>
      <c r="AA243" s="13"/>
      <c r="AB243" s="13"/>
      <c r="AC243" s="13"/>
      <c r="AD243" s="13"/>
      <c r="AE243" s="13"/>
      <c r="AF243" s="13"/>
      <c r="AG243" s="174"/>
      <c r="AH243" s="13"/>
      <c r="AM243" s="187"/>
      <c r="AN243" s="176"/>
      <c r="AO243" s="13"/>
      <c r="AP243" s="13"/>
      <c r="AQ243" s="13"/>
      <c r="AR243" s="13"/>
      <c r="AS243" s="13"/>
      <c r="AT243" s="13"/>
      <c r="AU243" s="13"/>
      <c r="AV243" s="13"/>
      <c r="AW243" s="13"/>
      <c r="AX243" s="13"/>
      <c r="AY243" s="13"/>
      <c r="AZ243" s="13"/>
      <c r="BA243" s="13"/>
      <c r="BB243" s="13"/>
      <c r="BC243" s="13"/>
      <c r="BD243" s="13"/>
      <c r="BE243" s="13"/>
      <c r="BF243" s="13"/>
      <c r="BG243" s="13"/>
      <c r="BH243" s="13"/>
      <c r="BI243" s="13"/>
      <c r="BJ243" s="13"/>
      <c r="BK243" s="13"/>
      <c r="BL243" s="13"/>
      <c r="BM243" s="13"/>
      <c r="BN243" s="13"/>
      <c r="BO243" s="13"/>
      <c r="BP243" s="13"/>
      <c r="BQ243" s="13"/>
      <c r="BR243" s="229"/>
      <c r="BS243" s="229"/>
      <c r="BT243" s="230"/>
      <c r="BU243" s="231"/>
      <c r="BV243" s="1526"/>
      <c r="BW243" s="232"/>
      <c r="BX243" s="1526"/>
      <c r="BY243" s="232"/>
      <c r="BZ243" s="1526"/>
      <c r="CA243" s="232"/>
      <c r="CB243" s="1526"/>
      <c r="CC243" s="232"/>
      <c r="CD243" s="1526"/>
      <c r="CE243" s="232"/>
      <c r="CF243" s="1526"/>
      <c r="CG243" s="232"/>
      <c r="CH243" s="1526"/>
      <c r="CI243" s="232"/>
      <c r="CJ243" s="1526"/>
      <c r="CK243" s="232"/>
      <c r="CL243" s="1526"/>
      <c r="CM243" s="232"/>
      <c r="CN243" s="13"/>
      <c r="CO243" s="13"/>
      <c r="CP243" s="13"/>
      <c r="CQ243" s="13"/>
    </row>
    <row r="244" spans="1:95" ht="15" customHeight="1" x14ac:dyDescent="0.2">
      <c r="A244" s="13"/>
      <c r="B244" s="206" t="s">
        <v>458</v>
      </c>
      <c r="C244" s="38"/>
      <c r="D244" s="38"/>
      <c r="E244" s="13"/>
      <c r="F244" s="13"/>
      <c r="G244" s="13"/>
      <c r="H244" s="13"/>
      <c r="I244" s="694"/>
      <c r="J244" s="237"/>
      <c r="K244" s="13"/>
      <c r="L244" s="13"/>
      <c r="M244" s="13"/>
      <c r="N244" s="13"/>
      <c r="O244" s="13"/>
      <c r="P244" s="13"/>
      <c r="Q244" s="13"/>
      <c r="R244" s="13"/>
      <c r="S244" s="13"/>
      <c r="T244" s="13"/>
      <c r="U244" s="13"/>
      <c r="V244" s="13"/>
      <c r="W244" s="174"/>
      <c r="X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c r="BG244" s="13"/>
      <c r="BH244" s="13"/>
      <c r="BI244" s="13"/>
      <c r="BJ244" s="13"/>
      <c r="BK244" s="13"/>
      <c r="BL244" s="13"/>
      <c r="BM244" s="13"/>
      <c r="BN244" s="13"/>
      <c r="BO244" s="13"/>
      <c r="BP244" s="13"/>
      <c r="BQ244" s="13"/>
      <c r="BR244" s="229"/>
      <c r="BS244" s="229"/>
      <c r="BT244" s="230"/>
      <c r="BU244" s="231"/>
      <c r="BV244" s="1526"/>
      <c r="BW244" s="232"/>
      <c r="BX244" s="1526"/>
      <c r="BY244" s="232"/>
      <c r="BZ244" s="1526"/>
      <c r="CA244" s="232"/>
      <c r="CB244" s="1526"/>
      <c r="CC244" s="232"/>
      <c r="CD244" s="1526"/>
      <c r="CE244" s="232"/>
      <c r="CF244" s="1526"/>
      <c r="CG244" s="232"/>
      <c r="CH244" s="1526"/>
      <c r="CI244" s="232"/>
      <c r="CJ244" s="1526"/>
      <c r="CK244" s="232"/>
      <c r="CL244" s="1526"/>
      <c r="CM244" s="232"/>
      <c r="CN244" s="13"/>
      <c r="CO244" s="13"/>
      <c r="CP244" s="13"/>
      <c r="CQ244" s="13"/>
    </row>
    <row r="245" spans="1:95" ht="13.5" customHeight="1" x14ac:dyDescent="0.2">
      <c r="A245" s="13"/>
      <c r="B245" s="204" t="s">
        <v>459</v>
      </c>
      <c r="C245" s="237"/>
      <c r="D245" s="237"/>
      <c r="E245" s="13"/>
      <c r="F245" s="13"/>
      <c r="G245" s="13"/>
      <c r="H245" s="13"/>
      <c r="I245" s="694"/>
      <c r="J245" s="174"/>
      <c r="K245" s="13"/>
      <c r="L245" s="13"/>
      <c r="M245" s="13"/>
      <c r="N245" s="13"/>
      <c r="O245" s="13"/>
      <c r="P245" s="13"/>
      <c r="Q245" s="13"/>
      <c r="R245" s="13"/>
      <c r="S245" s="13"/>
      <c r="T245" s="13"/>
      <c r="U245" s="13"/>
      <c r="V245" s="13"/>
      <c r="W245" s="174"/>
      <c r="X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c r="BG245" s="13"/>
      <c r="BH245" s="13"/>
      <c r="BI245" s="13"/>
      <c r="BJ245" s="13"/>
      <c r="BK245" s="13"/>
      <c r="BL245" s="13"/>
      <c r="BM245" s="13"/>
      <c r="BN245" s="13"/>
      <c r="BO245" s="13"/>
      <c r="BP245" s="13"/>
      <c r="BQ245" s="13"/>
      <c r="BR245" s="229"/>
      <c r="BS245" s="229"/>
      <c r="BT245" s="230"/>
      <c r="BU245" s="231"/>
      <c r="BV245" s="1526"/>
      <c r="BW245" s="232"/>
      <c r="BX245" s="1526"/>
      <c r="BY245" s="232"/>
      <c r="BZ245" s="1526"/>
      <c r="CA245" s="232"/>
      <c r="CB245" s="1526"/>
      <c r="CC245" s="232"/>
      <c r="CD245" s="1526"/>
      <c r="CE245" s="232"/>
      <c r="CF245" s="1526"/>
      <c r="CG245" s="232"/>
      <c r="CH245" s="1526"/>
      <c r="CI245" s="232"/>
      <c r="CJ245" s="1526"/>
      <c r="CK245" s="232"/>
      <c r="CL245" s="1526"/>
      <c r="CM245" s="232"/>
      <c r="CN245" s="13"/>
      <c r="CO245" s="13"/>
      <c r="CP245" s="13"/>
      <c r="CQ245" s="13"/>
    </row>
    <row r="246" spans="1:95" ht="16.5" customHeight="1" x14ac:dyDescent="0.25">
      <c r="A246" s="13"/>
      <c r="B246" s="158"/>
      <c r="C246" s="5"/>
      <c r="D246" s="139"/>
      <c r="E246" s="139"/>
      <c r="F246" s="139"/>
      <c r="G246" s="139"/>
      <c r="H246" s="139"/>
      <c r="I246" s="139"/>
      <c r="J246" s="5"/>
      <c r="K246" s="5"/>
      <c r="L246" s="5"/>
      <c r="M246" s="5"/>
      <c r="N246" s="5"/>
      <c r="O246" s="5"/>
      <c r="P246" s="5"/>
      <c r="Q246" s="5"/>
      <c r="R246" s="5"/>
      <c r="S246" s="5"/>
      <c r="T246" s="5"/>
      <c r="U246" s="5"/>
      <c r="V246" s="5"/>
      <c r="W246" s="13"/>
      <c r="X246" s="13"/>
      <c r="Y246" s="13"/>
      <c r="Z246" s="238"/>
      <c r="AA246" s="238"/>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c r="BG246" s="13"/>
      <c r="BH246" s="13"/>
      <c r="BI246" s="13"/>
      <c r="BJ246" s="13"/>
      <c r="BK246" s="13"/>
      <c r="BL246" s="13"/>
      <c r="BM246" s="13"/>
      <c r="BN246" s="13"/>
      <c r="BO246" s="13"/>
      <c r="BP246" s="13"/>
      <c r="BQ246" s="13"/>
      <c r="BR246" s="13"/>
      <c r="BS246" s="13"/>
      <c r="BT246" s="13"/>
      <c r="BU246" s="13"/>
      <c r="BV246" s="13"/>
      <c r="BW246" s="13"/>
      <c r="BX246" s="13"/>
      <c r="BY246" s="13"/>
      <c r="BZ246" s="13"/>
      <c r="CA246" s="13"/>
      <c r="CB246" s="13"/>
      <c r="CC246" s="13"/>
      <c r="CD246" s="13"/>
      <c r="CE246" s="13"/>
      <c r="CF246" s="13"/>
      <c r="CG246" s="13"/>
      <c r="CH246" s="13"/>
      <c r="CI246" s="13"/>
      <c r="CJ246" s="13"/>
      <c r="CK246" s="13"/>
      <c r="CL246" s="13"/>
      <c r="CM246" s="13"/>
      <c r="CN246" s="13"/>
      <c r="CO246" s="13"/>
      <c r="CP246" s="13"/>
      <c r="CQ246" s="13"/>
    </row>
    <row r="247" spans="1:95" ht="20.25" customHeight="1" x14ac:dyDescent="0.2">
      <c r="A247" s="660">
        <v>13</v>
      </c>
      <c r="B247" s="735" t="s">
        <v>460</v>
      </c>
      <c r="C247" s="736"/>
      <c r="D247" s="736"/>
      <c r="E247" s="736"/>
      <c r="F247" s="736"/>
      <c r="G247" s="736"/>
      <c r="H247" s="737"/>
      <c r="I247" s="145"/>
      <c r="J247" s="145"/>
      <c r="K247" s="38"/>
      <c r="L247" s="38"/>
      <c r="M247" s="38"/>
      <c r="N247" s="38"/>
      <c r="O247" s="38"/>
      <c r="P247" s="38"/>
      <c r="Q247" s="38"/>
      <c r="R247" s="38"/>
      <c r="S247" s="38"/>
      <c r="T247" s="38"/>
      <c r="U247" s="38"/>
      <c r="V247" s="239"/>
      <c r="W247" s="239"/>
      <c r="X247" s="174"/>
      <c r="Y247" s="174"/>
      <c r="Z247" s="174"/>
      <c r="AA247" s="174"/>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c r="BE247" s="13"/>
      <c r="BF247" s="13"/>
      <c r="BG247" s="13"/>
      <c r="BH247" s="13"/>
      <c r="BI247" s="13"/>
      <c r="BJ247" s="13"/>
      <c r="BK247" s="13"/>
      <c r="BL247" s="13"/>
      <c r="BM247" s="13"/>
      <c r="BN247" s="13"/>
      <c r="BO247" s="13"/>
      <c r="BP247" s="13"/>
      <c r="BQ247" s="13"/>
      <c r="BR247" s="13"/>
      <c r="BS247" s="13"/>
      <c r="BT247" s="13"/>
      <c r="BU247" s="13"/>
      <c r="BV247" s="13"/>
      <c r="BW247" s="13"/>
      <c r="BX247" s="13"/>
      <c r="BY247" s="13"/>
      <c r="BZ247" s="13"/>
      <c r="CA247" s="13"/>
      <c r="CB247" s="13"/>
      <c r="CC247" s="13"/>
      <c r="CD247" s="13"/>
      <c r="CE247" s="13"/>
      <c r="CF247" s="13"/>
      <c r="CG247" s="13"/>
      <c r="CH247" s="13"/>
      <c r="CI247" s="13"/>
      <c r="CJ247" s="13"/>
      <c r="CK247" s="13"/>
      <c r="CL247" s="13"/>
      <c r="CM247" s="13"/>
      <c r="CN247" s="13"/>
      <c r="CO247" s="13"/>
      <c r="CP247" s="13"/>
      <c r="CQ247" s="13"/>
    </row>
    <row r="248" spans="1:95" ht="7.5" customHeight="1" x14ac:dyDescent="0.2">
      <c r="A248" s="144"/>
      <c r="B248" s="986"/>
      <c r="C248" s="169"/>
      <c r="D248" s="169"/>
      <c r="E248" s="169"/>
      <c r="F248" s="169"/>
      <c r="G248" s="169"/>
      <c r="H248" s="987"/>
      <c r="I248" s="145"/>
      <c r="J248" s="145"/>
      <c r="K248" s="38"/>
      <c r="L248" s="38"/>
      <c r="M248" s="38"/>
      <c r="N248" s="38"/>
      <c r="O248" s="38"/>
      <c r="P248" s="38"/>
      <c r="Q248" s="38"/>
      <c r="R248" s="38"/>
      <c r="S248" s="38"/>
      <c r="T248" s="38"/>
      <c r="U248" s="38"/>
      <c r="V248" s="38"/>
      <c r="W248" s="239"/>
      <c r="X248" s="38"/>
      <c r="Y248" s="38"/>
      <c r="Z248" s="38"/>
      <c r="AA248" s="38"/>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13"/>
      <c r="BC248" s="13"/>
      <c r="BD248" s="13"/>
      <c r="BE248" s="13"/>
      <c r="BF248" s="13"/>
      <c r="BG248" s="13"/>
      <c r="BH248" s="13"/>
      <c r="BI248" s="13"/>
      <c r="BJ248" s="13"/>
      <c r="BK248" s="13"/>
      <c r="BL248" s="13"/>
      <c r="BM248" s="13"/>
      <c r="BN248" s="13"/>
      <c r="BO248" s="13"/>
      <c r="BP248" s="13"/>
      <c r="BQ248" s="13"/>
      <c r="BR248" s="13"/>
      <c r="BS248" s="13"/>
      <c r="BT248" s="13"/>
      <c r="BU248" s="13"/>
      <c r="BV248" s="13"/>
      <c r="BW248" s="13"/>
      <c r="BX248" s="13"/>
      <c r="BY248" s="13"/>
      <c r="BZ248" s="13"/>
      <c r="CA248" s="13"/>
      <c r="CB248" s="13"/>
      <c r="CC248" s="13"/>
      <c r="CD248" s="13"/>
      <c r="CE248" s="13"/>
      <c r="CF248" s="13"/>
      <c r="CG248" s="13"/>
      <c r="CH248" s="13"/>
      <c r="CI248" s="13"/>
      <c r="CJ248" s="13"/>
      <c r="CK248" s="13"/>
      <c r="CL248" s="13"/>
      <c r="CM248" s="13"/>
      <c r="CN248" s="13"/>
      <c r="CO248" s="13"/>
      <c r="CP248" s="13"/>
      <c r="CQ248" s="13"/>
    </row>
    <row r="249" spans="1:95" ht="15.75" customHeight="1" x14ac:dyDescent="0.2">
      <c r="A249" s="144"/>
      <c r="B249" s="1832" t="s">
        <v>461</v>
      </c>
      <c r="C249" s="1833"/>
      <c r="D249" s="169"/>
      <c r="E249" s="169"/>
      <c r="F249" s="169"/>
      <c r="G249" s="169"/>
      <c r="H249" s="988"/>
      <c r="I249" s="145"/>
      <c r="J249" s="145"/>
      <c r="K249" s="38"/>
      <c r="L249" s="38"/>
      <c r="M249" s="38"/>
      <c r="N249" s="38"/>
      <c r="O249" s="38"/>
      <c r="P249" s="38"/>
      <c r="Q249" s="38"/>
      <c r="R249" s="38"/>
      <c r="S249" s="38"/>
      <c r="T249" s="38"/>
      <c r="U249" s="38"/>
      <c r="V249" s="38"/>
      <c r="W249" s="239"/>
      <c r="X249" s="38"/>
      <c r="Y249" s="38"/>
      <c r="Z249" s="38"/>
      <c r="AA249" s="38"/>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c r="BD249" s="13"/>
      <c r="BE249" s="13"/>
      <c r="BF249" s="13"/>
      <c r="BG249" s="13"/>
      <c r="BH249" s="13"/>
      <c r="BI249" s="13"/>
      <c r="BJ249" s="13"/>
      <c r="BK249" s="13"/>
      <c r="BL249" s="13"/>
      <c r="BM249" s="13"/>
      <c r="BN249" s="13"/>
      <c r="BO249" s="13"/>
      <c r="BP249" s="13"/>
      <c r="BQ249" s="13"/>
      <c r="BR249" s="13"/>
      <c r="BS249" s="13"/>
      <c r="BT249" s="13"/>
      <c r="BU249" s="13"/>
      <c r="BV249" s="13"/>
      <c r="BW249" s="13"/>
      <c r="BX249" s="13"/>
      <c r="BY249" s="13"/>
      <c r="BZ249" s="13"/>
      <c r="CA249" s="13"/>
      <c r="CB249" s="13"/>
      <c r="CC249" s="13"/>
      <c r="CD249" s="13"/>
      <c r="CE249" s="13"/>
      <c r="CF249" s="13"/>
      <c r="CG249" s="13"/>
      <c r="CH249" s="13"/>
      <c r="CI249" s="13"/>
      <c r="CJ249" s="13"/>
      <c r="CK249" s="13"/>
      <c r="CL249" s="13"/>
      <c r="CM249" s="13"/>
      <c r="CN249" s="13"/>
      <c r="CO249" s="13"/>
      <c r="CP249" s="13"/>
      <c r="CQ249" s="13"/>
    </row>
    <row r="250" spans="1:95" ht="16.5" customHeight="1" x14ac:dyDescent="0.2">
      <c r="A250" s="13"/>
      <c r="B250" s="738" t="s">
        <v>462</v>
      </c>
      <c r="C250" s="1817"/>
      <c r="D250" s="1818"/>
      <c r="E250" s="1818"/>
      <c r="F250" s="1818"/>
      <c r="G250" s="1818"/>
      <c r="H250" s="1819"/>
      <c r="I250" s="38"/>
      <c r="J250" s="38"/>
      <c r="K250" s="38"/>
      <c r="L250" s="38"/>
      <c r="M250" s="38"/>
      <c r="N250" s="38"/>
      <c r="O250" s="38"/>
      <c r="P250" s="38"/>
      <c r="Q250" s="38"/>
      <c r="R250" s="38"/>
      <c r="S250" s="38"/>
      <c r="T250" s="38"/>
      <c r="U250" s="38"/>
      <c r="V250" s="38"/>
      <c r="W250" s="38"/>
      <c r="X250" s="38"/>
      <c r="Y250" s="38"/>
      <c r="Z250" s="38"/>
      <c r="AA250" s="38"/>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c r="BD250" s="13"/>
      <c r="BE250" s="13"/>
      <c r="BF250" s="13"/>
      <c r="BG250" s="13"/>
      <c r="BH250" s="13"/>
      <c r="BI250" s="13"/>
      <c r="BJ250" s="13"/>
      <c r="BK250" s="13"/>
      <c r="BL250" s="13"/>
      <c r="BM250" s="13"/>
      <c r="BN250" s="13"/>
      <c r="BO250" s="13"/>
      <c r="BP250" s="13"/>
      <c r="BQ250" s="13"/>
      <c r="BR250" s="13"/>
      <c r="BS250" s="13"/>
      <c r="BT250" s="13"/>
      <c r="BU250" s="13"/>
      <c r="BV250" s="13"/>
      <c r="BW250" s="13"/>
      <c r="BX250" s="13"/>
      <c r="BY250" s="13"/>
      <c r="BZ250" s="13"/>
      <c r="CA250" s="13"/>
      <c r="CB250" s="13"/>
      <c r="CC250" s="13"/>
      <c r="CD250" s="13"/>
      <c r="CE250" s="13"/>
      <c r="CF250" s="13"/>
      <c r="CG250" s="13"/>
      <c r="CH250" s="13"/>
      <c r="CI250" s="13"/>
      <c r="CJ250" s="13"/>
      <c r="CK250" s="13"/>
      <c r="CL250" s="13"/>
      <c r="CM250" s="13"/>
      <c r="CN250" s="13"/>
      <c r="CO250" s="13"/>
      <c r="CP250" s="13"/>
      <c r="CQ250" s="13"/>
    </row>
    <row r="251" spans="1:95" ht="14.25" customHeight="1" x14ac:dyDescent="0.2">
      <c r="A251" s="13"/>
      <c r="B251" s="989"/>
      <c r="C251" s="38"/>
      <c r="D251" s="38"/>
      <c r="E251" s="38"/>
      <c r="F251" s="38"/>
      <c r="G251" s="38"/>
      <c r="H251" s="993"/>
      <c r="I251" s="38"/>
      <c r="J251" s="38"/>
      <c r="K251" s="38"/>
      <c r="L251" s="38"/>
      <c r="M251" s="38"/>
      <c r="N251" s="38"/>
      <c r="O251" s="38"/>
      <c r="P251" s="38"/>
      <c r="Q251" s="38"/>
      <c r="R251" s="38"/>
      <c r="S251" s="38"/>
      <c r="T251" s="38"/>
      <c r="U251" s="38"/>
      <c r="V251" s="38"/>
      <c r="W251" s="38"/>
      <c r="X251" s="38"/>
      <c r="Y251" s="38"/>
      <c r="Z251" s="38"/>
      <c r="AA251" s="38"/>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3"/>
      <c r="BD251" s="13"/>
      <c r="BE251" s="13"/>
      <c r="BF251" s="13"/>
      <c r="BG251" s="13"/>
      <c r="BH251" s="13"/>
      <c r="BI251" s="13"/>
      <c r="BJ251" s="13"/>
      <c r="BK251" s="13"/>
      <c r="BL251" s="13"/>
      <c r="BM251" s="13"/>
      <c r="BN251" s="13"/>
      <c r="BO251" s="13"/>
      <c r="BP251" s="13"/>
      <c r="BQ251" s="13"/>
      <c r="BR251" s="13"/>
      <c r="BS251" s="13"/>
      <c r="BT251" s="13"/>
      <c r="BU251" s="13"/>
      <c r="BV251" s="13"/>
      <c r="BW251" s="13"/>
      <c r="BX251" s="13"/>
      <c r="BY251" s="13"/>
      <c r="BZ251" s="13"/>
      <c r="CA251" s="13"/>
      <c r="CB251" s="13"/>
      <c r="CC251" s="13"/>
      <c r="CD251" s="13"/>
      <c r="CE251" s="13"/>
      <c r="CF251" s="13"/>
      <c r="CG251" s="13"/>
      <c r="CH251" s="13"/>
      <c r="CI251" s="13"/>
      <c r="CJ251" s="13"/>
      <c r="CK251" s="13"/>
      <c r="CL251" s="13"/>
      <c r="CM251" s="13"/>
      <c r="CN251" s="13"/>
      <c r="CO251" s="13"/>
      <c r="CP251" s="13"/>
      <c r="CQ251" s="13"/>
    </row>
    <row r="252" spans="1:95" ht="16.5" customHeight="1" x14ac:dyDescent="0.25">
      <c r="A252" s="13"/>
      <c r="B252" s="996" t="s">
        <v>463</v>
      </c>
      <c r="C252" s="990"/>
      <c r="D252" s="991"/>
      <c r="E252" s="992"/>
      <c r="F252" s="990" t="s">
        <v>464</v>
      </c>
      <c r="G252" s="990"/>
      <c r="H252" s="994"/>
      <c r="I252" s="694"/>
      <c r="J252" s="13"/>
      <c r="K252" s="13"/>
      <c r="L252" s="13"/>
      <c r="M252" s="13"/>
      <c r="N252" s="13"/>
      <c r="O252" s="13"/>
      <c r="P252" s="13"/>
      <c r="Q252" s="13"/>
      <c r="R252" s="13"/>
      <c r="S252" s="13"/>
      <c r="T252" s="13"/>
      <c r="U252" s="13"/>
      <c r="V252" s="13"/>
      <c r="W252" s="13"/>
      <c r="X252" s="13"/>
      <c r="Y252" s="38"/>
      <c r="Z252" s="38"/>
      <c r="AA252" s="38"/>
      <c r="AM252" s="13"/>
      <c r="AN252" s="13"/>
      <c r="AO252" s="13"/>
      <c r="AP252" s="13"/>
      <c r="AQ252" s="13"/>
      <c r="AR252" s="13"/>
      <c r="AS252" s="13"/>
      <c r="AT252" s="13"/>
      <c r="AU252" s="13"/>
      <c r="AV252" s="13"/>
      <c r="AW252" s="13"/>
      <c r="AX252" s="13"/>
      <c r="AY252" s="13"/>
      <c r="AZ252" s="13"/>
      <c r="BA252" s="13"/>
      <c r="BB252" s="13"/>
      <c r="BC252" s="13"/>
      <c r="BD252" s="13"/>
      <c r="BE252" s="13"/>
      <c r="BF252" s="13"/>
      <c r="BG252" s="13"/>
      <c r="BH252" s="13"/>
      <c r="BI252" s="13"/>
      <c r="BJ252" s="13"/>
      <c r="BK252" s="13"/>
      <c r="BL252" s="13"/>
      <c r="BM252" s="13"/>
      <c r="BN252" s="13"/>
      <c r="BO252" s="13"/>
      <c r="BP252" s="13"/>
      <c r="BQ252" s="13"/>
      <c r="BR252" s="13"/>
      <c r="BS252" s="13"/>
      <c r="BT252" s="13"/>
      <c r="BU252" s="13"/>
      <c r="BV252" s="13"/>
      <c r="BW252" s="13"/>
      <c r="BX252" s="13"/>
      <c r="BY252" s="13"/>
      <c r="BZ252" s="13"/>
      <c r="CA252" s="13"/>
      <c r="CB252" s="13"/>
      <c r="CC252" s="13"/>
      <c r="CD252" s="13"/>
      <c r="CE252" s="13"/>
      <c r="CF252" s="13"/>
      <c r="CG252" s="13"/>
      <c r="CH252" s="13"/>
      <c r="CI252" s="13"/>
      <c r="CJ252" s="13"/>
      <c r="CK252" s="13"/>
      <c r="CL252" s="13"/>
      <c r="CM252" s="13"/>
      <c r="CN252" s="13"/>
      <c r="CO252" s="13"/>
      <c r="CP252" s="13"/>
      <c r="CQ252" s="13"/>
    </row>
    <row r="253" spans="1:95" ht="14.25" customHeight="1" x14ac:dyDescent="0.2">
      <c r="A253" s="13"/>
      <c r="B253" s="93"/>
      <c r="C253" s="746" t="s">
        <v>449</v>
      </c>
      <c r="D253" s="1037" t="s">
        <v>274</v>
      </c>
      <c r="E253" s="1037"/>
      <c r="F253" s="38"/>
      <c r="G253" s="745" t="s">
        <v>465</v>
      </c>
      <c r="H253" s="672" t="s">
        <v>274</v>
      </c>
      <c r="I253" s="694"/>
      <c r="J253" s="13"/>
      <c r="K253" s="13"/>
      <c r="L253" s="13"/>
      <c r="M253" s="13"/>
      <c r="N253" s="13"/>
      <c r="O253" s="13"/>
      <c r="P253" s="13"/>
      <c r="Q253" s="13"/>
      <c r="R253" s="13"/>
      <c r="S253" s="13"/>
      <c r="T253" s="13"/>
      <c r="U253" s="13"/>
      <c r="V253" s="13"/>
      <c r="W253" s="13"/>
      <c r="X253" s="13"/>
      <c r="Y253" s="38"/>
      <c r="Z253" s="38"/>
      <c r="AA253" s="38"/>
      <c r="AM253" s="13"/>
      <c r="AN253" s="13"/>
      <c r="AO253" s="13"/>
      <c r="AP253" s="13"/>
      <c r="AQ253" s="13"/>
      <c r="AR253" s="13"/>
      <c r="AS253" s="13"/>
      <c r="AT253" s="13"/>
      <c r="AU253" s="13"/>
      <c r="AV253" s="13"/>
      <c r="AW253" s="13"/>
      <c r="AX253" s="13"/>
      <c r="AY253" s="13"/>
      <c r="AZ253" s="13"/>
      <c r="BA253" s="13"/>
      <c r="BB253" s="13"/>
      <c r="BC253" s="13"/>
      <c r="BD253" s="13"/>
      <c r="BE253" s="13"/>
      <c r="BF253" s="13"/>
      <c r="BG253" s="13"/>
      <c r="BH253" s="13"/>
      <c r="BI253" s="13"/>
      <c r="BJ253" s="13"/>
      <c r="BK253" s="13"/>
      <c r="BL253" s="13"/>
      <c r="BM253" s="13"/>
      <c r="BN253" s="13"/>
      <c r="BO253" s="13"/>
      <c r="BP253" s="13"/>
      <c r="BQ253" s="13"/>
      <c r="BR253" s="13"/>
      <c r="BS253" s="13"/>
      <c r="BT253" s="13"/>
      <c r="BU253" s="13"/>
      <c r="BV253" s="13"/>
      <c r="BW253" s="13"/>
      <c r="BX253" s="13"/>
      <c r="BY253" s="13"/>
      <c r="BZ253" s="13"/>
      <c r="CA253" s="13"/>
      <c r="CB253" s="13"/>
      <c r="CC253" s="13"/>
      <c r="CD253" s="13"/>
      <c r="CE253" s="13"/>
      <c r="CF253" s="13"/>
      <c r="CG253" s="13"/>
      <c r="CH253" s="13"/>
      <c r="CI253" s="13"/>
      <c r="CJ253" s="13"/>
      <c r="CK253" s="13"/>
      <c r="CL253" s="13"/>
      <c r="CM253" s="13"/>
      <c r="CN253" s="13"/>
      <c r="CO253" s="13"/>
      <c r="CP253" s="13"/>
      <c r="CQ253" s="13"/>
    </row>
    <row r="254" spans="1:95" ht="14.25" customHeight="1" x14ac:dyDescent="0.2">
      <c r="A254" s="13"/>
      <c r="B254" s="670" t="s">
        <v>181</v>
      </c>
      <c r="C254" s="1358"/>
      <c r="D254" s="676" t="str">
        <f>IF(C254&gt;0,'GUIA DE APLICAÇÃO'!B913,"")</f>
        <v/>
      </c>
      <c r="E254" s="1037"/>
      <c r="F254" s="670" t="s">
        <v>181</v>
      </c>
      <c r="G254" s="1360"/>
      <c r="H254" s="676" t="str">
        <f>IF(G254="","",'GUIA DE APLICAÇÃO'!B922)</f>
        <v/>
      </c>
      <c r="I254" s="694"/>
      <c r="J254" s="13"/>
      <c r="K254" s="13"/>
      <c r="L254" s="13"/>
      <c r="M254" s="13"/>
      <c r="N254" s="13"/>
      <c r="O254" s="13"/>
      <c r="P254" s="13"/>
      <c r="Q254" s="13"/>
      <c r="R254" s="13"/>
      <c r="S254" s="13"/>
      <c r="T254" s="13"/>
      <c r="U254" s="13"/>
      <c r="V254" s="13"/>
      <c r="W254" s="13"/>
      <c r="X254" s="13"/>
      <c r="Y254" s="38"/>
      <c r="Z254" s="38"/>
      <c r="AA254" s="38"/>
      <c r="AM254" s="13"/>
      <c r="AN254" s="13"/>
      <c r="AO254" s="13"/>
      <c r="AP254" s="13"/>
      <c r="AQ254" s="13"/>
      <c r="AR254" s="13"/>
      <c r="AS254" s="13"/>
      <c r="AT254" s="13"/>
      <c r="AU254" s="13"/>
      <c r="AV254" s="13"/>
      <c r="AW254" s="13"/>
      <c r="AX254" s="13"/>
      <c r="AY254" s="13"/>
      <c r="AZ254" s="13"/>
      <c r="BA254" s="13"/>
      <c r="BB254" s="13"/>
      <c r="BC254" s="13"/>
      <c r="BD254" s="13"/>
      <c r="BE254" s="13"/>
      <c r="BF254" s="13"/>
      <c r="BG254" s="13"/>
      <c r="BH254" s="13"/>
      <c r="BI254" s="13"/>
      <c r="BJ254" s="13"/>
      <c r="BK254" s="13"/>
      <c r="BL254" s="13"/>
      <c r="BM254" s="13"/>
      <c r="BN254" s="13"/>
      <c r="BO254" s="13"/>
      <c r="BP254" s="13"/>
      <c r="BQ254" s="13"/>
      <c r="BR254" s="13"/>
      <c r="BS254" s="13"/>
      <c r="BT254" s="13"/>
      <c r="BU254" s="13"/>
      <c r="BV254" s="13"/>
      <c r="BW254" s="13"/>
      <c r="BX254" s="13"/>
      <c r="BY254" s="13"/>
      <c r="BZ254" s="13"/>
      <c r="CA254" s="13"/>
      <c r="CB254" s="13"/>
      <c r="CC254" s="13"/>
      <c r="CD254" s="13"/>
      <c r="CE254" s="13"/>
      <c r="CF254" s="13"/>
      <c r="CG254" s="13"/>
      <c r="CH254" s="13"/>
      <c r="CI254" s="13"/>
      <c r="CJ254" s="13"/>
      <c r="CK254" s="13"/>
      <c r="CL254" s="13"/>
      <c r="CM254" s="13"/>
      <c r="CN254" s="13"/>
      <c r="CO254" s="13"/>
      <c r="CP254" s="13"/>
      <c r="CQ254" s="13"/>
    </row>
    <row r="255" spans="1:95" ht="14.25" customHeight="1" x14ac:dyDescent="0.2">
      <c r="A255" s="13"/>
      <c r="B255" s="670" t="s">
        <v>182</v>
      </c>
      <c r="C255" s="1358"/>
      <c r="D255" s="676" t="str">
        <f>IF(C255&gt;0,'GUIA DE APLICAÇÃO'!C913,"")</f>
        <v/>
      </c>
      <c r="E255" s="995"/>
      <c r="F255" s="670" t="s">
        <v>182</v>
      </c>
      <c r="G255" s="1360"/>
      <c r="H255" s="676" t="str">
        <f>IF(G255="","",'GUIA DE APLICAÇÃO'!C922)</f>
        <v/>
      </c>
      <c r="I255" s="694"/>
      <c r="J255" s="13"/>
      <c r="K255" s="13"/>
      <c r="L255" s="13"/>
      <c r="M255" s="13"/>
      <c r="N255" s="13"/>
      <c r="O255" s="13"/>
      <c r="P255" s="13"/>
      <c r="Q255" s="13"/>
      <c r="R255" s="13"/>
      <c r="S255" s="13"/>
      <c r="T255" s="13"/>
      <c r="U255" s="13"/>
      <c r="V255" s="13"/>
      <c r="W255" s="13"/>
      <c r="X255" s="13"/>
      <c r="Y255" s="38"/>
      <c r="Z255" s="38"/>
      <c r="AA255" s="38"/>
      <c r="AM255" s="13"/>
      <c r="AN255" s="13"/>
      <c r="AO255" s="13"/>
      <c r="AP255" s="13"/>
      <c r="AQ255" s="13"/>
      <c r="AR255" s="13"/>
      <c r="AS255" s="13"/>
      <c r="AT255" s="13"/>
      <c r="AU255" s="13"/>
      <c r="AV255" s="13"/>
      <c r="AW255" s="13"/>
      <c r="AX255" s="13"/>
      <c r="AY255" s="13"/>
      <c r="AZ255" s="13"/>
      <c r="BA255" s="13"/>
      <c r="BB255" s="13"/>
      <c r="BC255" s="13"/>
      <c r="BD255" s="13"/>
      <c r="BE255" s="13"/>
      <c r="BF255" s="13"/>
      <c r="BG255" s="13"/>
      <c r="BH255" s="13"/>
      <c r="BI255" s="13"/>
      <c r="BJ255" s="13"/>
      <c r="BK255" s="13"/>
      <c r="BL255" s="13"/>
      <c r="BM255" s="13"/>
      <c r="BN255" s="13"/>
      <c r="BO255" s="13"/>
      <c r="BP255" s="13"/>
      <c r="BQ255" s="13"/>
      <c r="BR255" s="13"/>
      <c r="BS255" s="13"/>
      <c r="BT255" s="13"/>
      <c r="BU255" s="13"/>
      <c r="BV255" s="13"/>
      <c r="BW255" s="13"/>
      <c r="BX255" s="13"/>
      <c r="BY255" s="13"/>
      <c r="BZ255" s="13"/>
      <c r="CA255" s="13"/>
      <c r="CB255" s="13"/>
      <c r="CC255" s="13"/>
      <c r="CD255" s="13"/>
      <c r="CE255" s="13"/>
      <c r="CF255" s="13"/>
      <c r="CG255" s="13"/>
      <c r="CH255" s="13"/>
      <c r="CI255" s="13"/>
      <c r="CJ255" s="13"/>
      <c r="CK255" s="13"/>
      <c r="CL255" s="13"/>
      <c r="CM255" s="13"/>
      <c r="CN255" s="13"/>
      <c r="CO255" s="13"/>
      <c r="CP255" s="13"/>
      <c r="CQ255" s="13"/>
    </row>
    <row r="256" spans="1:95" ht="14.25" customHeight="1" x14ac:dyDescent="0.2">
      <c r="A256" s="13"/>
      <c r="B256" s="999"/>
      <c r="C256" s="998" t="s">
        <v>179</v>
      </c>
      <c r="D256" s="1150">
        <v>1</v>
      </c>
      <c r="E256" s="38"/>
      <c r="F256" s="1767" t="s">
        <v>179</v>
      </c>
      <c r="G256" s="1768"/>
      <c r="H256" s="1151">
        <v>3</v>
      </c>
      <c r="I256" s="38"/>
      <c r="J256" s="38"/>
      <c r="K256" s="13"/>
      <c r="L256" s="13"/>
      <c r="M256" s="13"/>
      <c r="N256" s="13"/>
      <c r="O256" s="13"/>
      <c r="P256" s="13"/>
      <c r="Q256" s="13"/>
      <c r="R256" s="13"/>
      <c r="S256" s="13"/>
      <c r="T256" s="13"/>
      <c r="U256" s="38"/>
      <c r="V256" s="38"/>
      <c r="W256" s="38"/>
      <c r="X256" s="38"/>
      <c r="Y256" s="38"/>
      <c r="Z256" s="38"/>
      <c r="AA256" s="38"/>
      <c r="AM256" s="13"/>
      <c r="AN256" s="13"/>
      <c r="AO256" s="13"/>
      <c r="AP256" s="13"/>
      <c r="AQ256" s="13"/>
      <c r="AR256" s="13"/>
      <c r="AS256" s="13"/>
      <c r="AT256" s="13"/>
      <c r="AU256" s="13"/>
      <c r="AV256" s="13"/>
      <c r="AW256" s="13"/>
      <c r="AX256" s="13"/>
      <c r="AY256" s="13"/>
      <c r="AZ256" s="13"/>
      <c r="BA256" s="13"/>
      <c r="BB256" s="13"/>
      <c r="BC256" s="13"/>
      <c r="BD256" s="13"/>
      <c r="BE256" s="13"/>
      <c r="BF256" s="13"/>
      <c r="BG256" s="13"/>
      <c r="BH256" s="13"/>
      <c r="BI256" s="13"/>
      <c r="BJ256" s="13"/>
      <c r="BK256" s="13"/>
      <c r="BL256" s="13"/>
      <c r="BM256" s="13"/>
      <c r="BN256" s="13"/>
      <c r="BO256" s="13"/>
      <c r="BP256" s="13"/>
      <c r="BQ256" s="13"/>
      <c r="BR256" s="13"/>
      <c r="BS256" s="13"/>
      <c r="BT256" s="13"/>
      <c r="BU256" s="13"/>
      <c r="BV256" s="13"/>
      <c r="BW256" s="13"/>
      <c r="BX256" s="13"/>
      <c r="BY256" s="13"/>
      <c r="BZ256" s="13"/>
      <c r="CA256" s="13"/>
      <c r="CB256" s="13"/>
      <c r="CC256" s="13"/>
      <c r="CD256" s="13"/>
      <c r="CE256" s="13"/>
      <c r="CF256" s="13"/>
      <c r="CG256" s="13"/>
      <c r="CH256" s="13"/>
      <c r="CI256" s="13"/>
      <c r="CJ256" s="13"/>
      <c r="CK256" s="13"/>
      <c r="CL256" s="13"/>
      <c r="CM256" s="13"/>
      <c r="CN256" s="13"/>
      <c r="CO256" s="13"/>
      <c r="CP256" s="13"/>
      <c r="CQ256" s="13"/>
    </row>
    <row r="257" spans="1:95" ht="14.25" customHeight="1" x14ac:dyDescent="0.2">
      <c r="A257" s="13"/>
      <c r="B257" s="996" t="s">
        <v>466</v>
      </c>
      <c r="C257" s="990"/>
      <c r="D257" s="997"/>
      <c r="E257" s="992"/>
      <c r="F257" s="712" t="s">
        <v>467</v>
      </c>
      <c r="G257" s="733"/>
      <c r="H257" s="734"/>
      <c r="I257" s="1037"/>
      <c r="J257" s="1037"/>
      <c r="K257" s="38"/>
      <c r="L257" s="38"/>
      <c r="M257" s="38"/>
      <c r="N257" s="38"/>
      <c r="O257" s="38"/>
      <c r="P257" s="38"/>
      <c r="Q257" s="13"/>
      <c r="R257" s="13"/>
      <c r="S257" s="38"/>
      <c r="T257" s="38"/>
      <c r="U257" s="38"/>
      <c r="V257" s="38"/>
      <c r="W257" s="38"/>
      <c r="X257" s="38"/>
      <c r="Y257" s="38"/>
      <c r="Z257" s="38"/>
      <c r="AA257" s="38"/>
      <c r="AB257" s="38"/>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c r="BA257" s="13"/>
      <c r="BB257" s="13"/>
      <c r="BC257" s="13"/>
      <c r="BD257" s="13"/>
      <c r="BE257" s="13"/>
      <c r="BF257" s="13"/>
      <c r="BG257" s="13"/>
      <c r="BH257" s="13"/>
      <c r="BI257" s="13"/>
      <c r="BJ257" s="13"/>
      <c r="BK257" s="13"/>
      <c r="BL257" s="13"/>
      <c r="BM257" s="13"/>
      <c r="BN257" s="13"/>
      <c r="BO257" s="13"/>
      <c r="BP257" s="13"/>
      <c r="BQ257" s="13"/>
      <c r="BR257" s="13"/>
      <c r="BS257" s="13"/>
      <c r="BT257" s="13"/>
      <c r="BU257" s="13"/>
      <c r="BV257" s="13"/>
      <c r="BW257" s="13"/>
      <c r="BX257" s="13"/>
      <c r="BY257" s="13"/>
      <c r="BZ257" s="13"/>
      <c r="CA257" s="13"/>
      <c r="CB257" s="13"/>
      <c r="CC257" s="13"/>
      <c r="CD257" s="13"/>
      <c r="CE257" s="13"/>
      <c r="CF257" s="13"/>
      <c r="CG257" s="13"/>
      <c r="CH257" s="13"/>
      <c r="CI257" s="13"/>
      <c r="CJ257" s="13"/>
      <c r="CK257" s="13"/>
      <c r="CL257" s="13"/>
      <c r="CM257" s="13"/>
      <c r="CN257" s="13"/>
      <c r="CO257" s="13"/>
      <c r="CP257" s="13"/>
      <c r="CQ257" s="13"/>
    </row>
    <row r="258" spans="1:95" ht="15" customHeight="1" x14ac:dyDescent="0.2">
      <c r="A258" s="13"/>
      <c r="B258" s="207"/>
      <c r="C258" s="746" t="s">
        <v>449</v>
      </c>
      <c r="D258" s="1037" t="s">
        <v>274</v>
      </c>
      <c r="E258" s="1814"/>
      <c r="F258" s="200"/>
      <c r="G258" s="745" t="s">
        <v>468</v>
      </c>
      <c r="H258" s="672" t="s">
        <v>274</v>
      </c>
      <c r="I258" s="694"/>
      <c r="J258" s="13"/>
      <c r="K258" s="243"/>
      <c r="L258" s="114"/>
      <c r="M258" s="38"/>
      <c r="N258" s="13"/>
      <c r="O258" s="13"/>
      <c r="P258" s="13"/>
      <c r="Q258" s="13"/>
      <c r="R258" s="13"/>
      <c r="S258" s="13"/>
      <c r="T258" s="13"/>
      <c r="U258" s="13"/>
      <c r="V258" s="38"/>
      <c r="W258" s="38"/>
      <c r="X258" s="38"/>
      <c r="Y258" s="38"/>
      <c r="Z258" s="38"/>
      <c r="AA258" s="38"/>
      <c r="AK258" s="13"/>
      <c r="AL258" s="240"/>
      <c r="AM258" s="240"/>
      <c r="AN258" s="240"/>
      <c r="AO258" s="13"/>
      <c r="AP258" s="13"/>
      <c r="AQ258" s="13"/>
      <c r="AR258" s="13"/>
      <c r="AS258" s="13"/>
      <c r="AT258" s="13"/>
      <c r="AU258" s="13"/>
      <c r="AV258" s="13"/>
      <c r="AW258" s="13"/>
      <c r="AX258" s="13"/>
      <c r="AY258" s="13"/>
      <c r="AZ258" s="13"/>
      <c r="BA258" s="13"/>
      <c r="BB258" s="13"/>
      <c r="BC258" s="13"/>
      <c r="BD258" s="13"/>
      <c r="BE258" s="13"/>
      <c r="BF258" s="13"/>
      <c r="BG258" s="13"/>
      <c r="BH258" s="13"/>
      <c r="BI258" s="13"/>
      <c r="BJ258" s="13"/>
      <c r="BK258" s="13"/>
      <c r="BL258" s="13"/>
      <c r="BM258" s="13"/>
      <c r="BN258" s="13"/>
      <c r="BO258" s="13"/>
      <c r="BP258" s="13"/>
      <c r="BQ258" s="13"/>
      <c r="BR258" s="13"/>
      <c r="BS258" s="13"/>
      <c r="BT258" s="13"/>
      <c r="BU258" s="13"/>
      <c r="BV258" s="13"/>
      <c r="BW258" s="13"/>
      <c r="BX258" s="13"/>
      <c r="BY258" s="13"/>
      <c r="BZ258" s="13"/>
      <c r="CA258" s="13"/>
      <c r="CB258" s="13"/>
      <c r="CC258" s="13"/>
      <c r="CD258" s="13"/>
      <c r="CE258" s="13"/>
      <c r="CF258" s="13"/>
      <c r="CG258" s="13"/>
      <c r="CH258" s="13"/>
      <c r="CI258" s="13"/>
      <c r="CJ258" s="13"/>
      <c r="CK258" s="13"/>
      <c r="CL258" s="13"/>
      <c r="CM258" s="13"/>
      <c r="CN258" s="13"/>
      <c r="CO258" s="13"/>
      <c r="CP258" s="13"/>
      <c r="CQ258" s="13"/>
    </row>
    <row r="259" spans="1:95" ht="14.25" customHeight="1" x14ac:dyDescent="0.2">
      <c r="A259" s="13"/>
      <c r="B259" s="241" t="s">
        <v>181</v>
      </c>
      <c r="C259" s="1358"/>
      <c r="D259" s="676" t="str">
        <f>IF(C259="","",'GUIA DE APLICAÇÃO'!B931)</f>
        <v/>
      </c>
      <c r="E259" s="1814"/>
      <c r="F259" s="241" t="s">
        <v>181</v>
      </c>
      <c r="G259" s="1359"/>
      <c r="H259" s="676" t="str">
        <f>IF(G259="","",'GUIA DE APLICAÇÃO'!B939)</f>
        <v/>
      </c>
      <c r="I259" s="694"/>
      <c r="J259" s="13"/>
      <c r="K259" s="243"/>
      <c r="N259" s="13"/>
      <c r="O259" s="13"/>
      <c r="P259" s="13"/>
      <c r="Q259" s="13"/>
      <c r="R259" s="13"/>
      <c r="S259" s="13"/>
      <c r="T259" s="13"/>
      <c r="U259" s="13"/>
      <c r="V259" s="38"/>
      <c r="W259" s="38"/>
      <c r="X259" s="38"/>
      <c r="Y259" s="38"/>
      <c r="Z259" s="38"/>
      <c r="AA259" s="38"/>
      <c r="AK259" s="13"/>
      <c r="AL259" s="240"/>
      <c r="AM259" s="240"/>
      <c r="AN259" s="13"/>
      <c r="AO259" s="13"/>
      <c r="AP259" s="13"/>
      <c r="AQ259" s="13"/>
      <c r="AR259" s="13"/>
      <c r="AS259" s="13"/>
      <c r="AT259" s="13"/>
      <c r="AU259" s="13"/>
      <c r="AV259" s="13"/>
      <c r="AW259" s="13"/>
      <c r="AX259" s="13"/>
      <c r="AY259" s="13"/>
      <c r="AZ259" s="13"/>
      <c r="BA259" s="13"/>
      <c r="BB259" s="13"/>
      <c r="BC259" s="13"/>
      <c r="BD259" s="13"/>
      <c r="BE259" s="13"/>
      <c r="BF259" s="13"/>
      <c r="BG259" s="13"/>
      <c r="BH259" s="13"/>
      <c r="BI259" s="13"/>
      <c r="BJ259" s="13"/>
      <c r="BK259" s="13"/>
      <c r="BL259" s="13"/>
      <c r="BM259" s="13"/>
      <c r="BN259" s="13"/>
      <c r="BO259" s="13"/>
      <c r="BP259" s="13"/>
      <c r="BQ259" s="13"/>
      <c r="BR259" s="13"/>
      <c r="BS259" s="13"/>
      <c r="BT259" s="13"/>
      <c r="BU259" s="13"/>
      <c r="BV259" s="13"/>
      <c r="BW259" s="13"/>
      <c r="BX259" s="13"/>
      <c r="BY259" s="13"/>
      <c r="BZ259" s="13"/>
      <c r="CA259" s="13"/>
      <c r="CB259" s="13"/>
      <c r="CC259" s="13"/>
      <c r="CD259" s="13"/>
      <c r="CE259" s="13"/>
      <c r="CF259" s="13"/>
      <c r="CG259" s="13"/>
      <c r="CH259" s="13"/>
      <c r="CI259" s="13"/>
      <c r="CJ259" s="13"/>
      <c r="CK259" s="13"/>
      <c r="CL259" s="13"/>
      <c r="CM259" s="13"/>
      <c r="CN259" s="13"/>
      <c r="CO259" s="13"/>
      <c r="CP259" s="13"/>
      <c r="CQ259" s="13"/>
    </row>
    <row r="260" spans="1:95" ht="13.5" customHeight="1" x14ac:dyDescent="0.2">
      <c r="A260" s="13"/>
      <c r="B260" s="241" t="s">
        <v>182</v>
      </c>
      <c r="C260" s="1358"/>
      <c r="D260" s="676" t="str">
        <f>IF(C260="","",'GUIA DE APLICAÇÃO'!C931)</f>
        <v/>
      </c>
      <c r="E260" s="995"/>
      <c r="F260" s="241" t="s">
        <v>182</v>
      </c>
      <c r="G260" s="1359"/>
      <c r="H260" s="676" t="str">
        <f>IF(G260="","",'GUIA DE APLICAÇÃO'!C939)</f>
        <v/>
      </c>
      <c r="I260" s="694"/>
      <c r="J260" s="13"/>
      <c r="K260" s="243"/>
      <c r="L260" s="13"/>
      <c r="M260" s="13"/>
      <c r="N260" s="13"/>
      <c r="O260" s="13"/>
      <c r="P260" s="13"/>
      <c r="Q260" s="13"/>
      <c r="R260" s="13"/>
      <c r="S260" s="13"/>
      <c r="T260" s="13"/>
      <c r="U260" s="13"/>
      <c r="V260" s="38"/>
      <c r="W260" s="38"/>
      <c r="X260" s="38"/>
      <c r="Y260" s="38"/>
      <c r="Z260" s="38"/>
      <c r="AA260" s="38"/>
      <c r="AK260" s="13"/>
      <c r="AL260" s="240"/>
      <c r="AM260" s="240"/>
      <c r="AN260" s="13"/>
      <c r="AO260" s="13"/>
      <c r="AP260" s="13"/>
      <c r="AQ260" s="13"/>
      <c r="AR260" s="13"/>
      <c r="AS260" s="13"/>
      <c r="AT260" s="13"/>
      <c r="AU260" s="13"/>
      <c r="AV260" s="13"/>
      <c r="AW260" s="13"/>
      <c r="AX260" s="13"/>
      <c r="AY260" s="13"/>
      <c r="AZ260" s="13"/>
      <c r="BA260" s="13"/>
      <c r="BB260" s="13"/>
      <c r="BC260" s="13"/>
      <c r="BD260" s="13"/>
      <c r="BE260" s="13"/>
      <c r="BF260" s="13"/>
      <c r="BG260" s="13"/>
      <c r="BH260" s="13"/>
      <c r="BI260" s="13"/>
      <c r="BJ260" s="13"/>
      <c r="BK260" s="13"/>
      <c r="BL260" s="13"/>
      <c r="BM260" s="13"/>
      <c r="BN260" s="13"/>
      <c r="BO260" s="13"/>
      <c r="BP260" s="13"/>
      <c r="BQ260" s="13"/>
      <c r="BR260" s="13"/>
      <c r="BS260" s="13"/>
      <c r="BT260" s="13"/>
      <c r="BU260" s="13"/>
      <c r="BV260" s="13"/>
      <c r="BW260" s="13"/>
      <c r="BX260" s="13"/>
      <c r="BY260" s="13"/>
      <c r="BZ260" s="13"/>
      <c r="CA260" s="13"/>
      <c r="CB260" s="13"/>
      <c r="CC260" s="13"/>
      <c r="CD260" s="13"/>
      <c r="CE260" s="13"/>
      <c r="CF260" s="13"/>
      <c r="CG260" s="13"/>
      <c r="CH260" s="13"/>
      <c r="CI260" s="13"/>
      <c r="CJ260" s="13"/>
      <c r="CK260" s="13"/>
      <c r="CL260" s="13"/>
      <c r="CM260" s="13"/>
      <c r="CN260" s="13"/>
      <c r="CO260" s="13"/>
      <c r="CP260" s="13"/>
      <c r="CQ260" s="13"/>
    </row>
    <row r="261" spans="1:95" ht="16.5" customHeight="1" x14ac:dyDescent="0.2">
      <c r="A261" s="13"/>
      <c r="B261" s="999"/>
      <c r="C261" s="1000" t="s">
        <v>179</v>
      </c>
      <c r="D261" s="1152">
        <v>4</v>
      </c>
      <c r="E261" s="1037"/>
      <c r="F261" s="1767" t="s">
        <v>179</v>
      </c>
      <c r="G261" s="1768"/>
      <c r="H261" s="1151">
        <v>2</v>
      </c>
      <c r="I261" s="694"/>
      <c r="J261" s="1037"/>
      <c r="K261" s="38"/>
      <c r="L261" s="13"/>
      <c r="M261" s="13"/>
      <c r="N261" s="13"/>
      <c r="O261" s="13"/>
      <c r="P261" s="13"/>
      <c r="Q261" s="13"/>
      <c r="R261" s="13"/>
      <c r="S261" s="13"/>
      <c r="T261" s="13"/>
      <c r="U261" s="38"/>
      <c r="V261" s="38"/>
      <c r="W261" s="38"/>
      <c r="X261" s="38"/>
      <c r="Y261" s="38"/>
      <c r="Z261" s="38"/>
      <c r="AA261" s="38"/>
      <c r="AK261" s="13"/>
      <c r="AL261" s="13"/>
      <c r="AM261" s="13"/>
      <c r="AN261" s="13"/>
      <c r="AO261" s="13"/>
      <c r="AP261" s="13"/>
      <c r="AQ261" s="13"/>
      <c r="AR261" s="13"/>
      <c r="AS261" s="13"/>
      <c r="AT261" s="13"/>
      <c r="AU261" s="13"/>
      <c r="AV261" s="13"/>
      <c r="AW261" s="13"/>
      <c r="AX261" s="13"/>
      <c r="AY261" s="13"/>
      <c r="AZ261" s="13"/>
      <c r="BA261" s="13"/>
      <c r="BB261" s="13"/>
      <c r="BC261" s="13"/>
      <c r="BD261" s="13"/>
      <c r="BE261" s="13"/>
      <c r="BF261" s="13"/>
      <c r="BG261" s="13"/>
      <c r="BH261" s="13"/>
      <c r="BI261" s="13"/>
      <c r="BJ261" s="13"/>
      <c r="BK261" s="13"/>
      <c r="BL261" s="13"/>
      <c r="BM261" s="13"/>
      <c r="BN261" s="13"/>
      <c r="BO261" s="13"/>
      <c r="BP261" s="13"/>
      <c r="BQ261" s="13"/>
      <c r="BR261" s="13"/>
      <c r="BS261" s="13"/>
      <c r="BT261" s="13"/>
      <c r="BU261" s="13"/>
      <c r="BV261" s="13"/>
      <c r="BW261" s="13"/>
      <c r="BX261" s="13"/>
      <c r="BY261" s="13"/>
      <c r="BZ261" s="13"/>
      <c r="CA261" s="13"/>
      <c r="CB261" s="13"/>
      <c r="CC261" s="13"/>
      <c r="CD261" s="13"/>
      <c r="CE261" s="13"/>
      <c r="CF261" s="13"/>
      <c r="CG261" s="13"/>
      <c r="CH261" s="13"/>
      <c r="CI261" s="13"/>
      <c r="CJ261" s="13"/>
      <c r="CK261" s="13"/>
      <c r="CL261" s="13"/>
      <c r="CM261" s="13"/>
      <c r="CN261" s="13"/>
      <c r="CO261" s="13"/>
      <c r="CP261" s="13"/>
      <c r="CQ261" s="13"/>
    </row>
    <row r="262" spans="1:95" ht="16.5" customHeight="1" x14ac:dyDescent="0.2">
      <c r="A262" s="13"/>
      <c r="B262" s="1757" t="s">
        <v>469</v>
      </c>
      <c r="C262" s="671" t="s">
        <v>181</v>
      </c>
      <c r="D262" s="676">
        <f>+'1 QUESTIONÁRIO'!J295/100</f>
        <v>0</v>
      </c>
      <c r="H262" s="1002"/>
      <c r="I262" s="694"/>
      <c r="J262" s="13"/>
      <c r="K262" s="38"/>
      <c r="L262" s="13"/>
      <c r="M262" s="13"/>
      <c r="N262" s="13"/>
      <c r="O262" s="13"/>
      <c r="P262" s="13"/>
      <c r="Q262" s="13"/>
      <c r="R262" s="13"/>
      <c r="S262" s="13"/>
      <c r="T262" s="38"/>
      <c r="U262" s="38"/>
      <c r="V262" s="38"/>
      <c r="W262" s="38"/>
      <c r="X262" s="38"/>
      <c r="Y262" s="38"/>
      <c r="Z262" s="38"/>
      <c r="AA262" s="38"/>
      <c r="AI262" s="13"/>
      <c r="AJ262" s="240"/>
      <c r="AK262" s="240"/>
      <c r="AL262" s="13"/>
      <c r="AM262" s="13"/>
      <c r="AN262" s="13"/>
      <c r="AO262" s="13"/>
      <c r="AP262" s="13"/>
      <c r="AQ262" s="13"/>
      <c r="AR262" s="13"/>
      <c r="AS262" s="13"/>
      <c r="AT262" s="13"/>
      <c r="AU262" s="13"/>
      <c r="AV262" s="13"/>
      <c r="AW262" s="13"/>
      <c r="AX262" s="13"/>
      <c r="AY262" s="13"/>
      <c r="AZ262" s="13"/>
      <c r="BA262" s="13"/>
      <c r="BB262" s="13"/>
      <c r="BC262" s="13"/>
      <c r="BD262" s="13"/>
      <c r="BE262" s="13"/>
      <c r="BF262" s="13"/>
      <c r="BG262" s="13"/>
      <c r="BH262" s="13"/>
      <c r="BI262" s="13"/>
      <c r="BJ262" s="13"/>
      <c r="BK262" s="13"/>
      <c r="BL262" s="13"/>
      <c r="BM262" s="13"/>
      <c r="BN262" s="13"/>
      <c r="BO262" s="13"/>
      <c r="BP262" s="13"/>
      <c r="BQ262" s="13"/>
      <c r="BR262" s="13"/>
      <c r="BS262" s="13"/>
      <c r="BT262" s="13"/>
      <c r="BU262" s="13"/>
      <c r="BV262" s="13"/>
      <c r="BW262" s="13"/>
      <c r="BX262" s="13"/>
      <c r="BY262" s="13"/>
      <c r="BZ262" s="13"/>
      <c r="CA262" s="13"/>
      <c r="CB262" s="13"/>
      <c r="CC262" s="13"/>
      <c r="CD262" s="13"/>
      <c r="CE262" s="13"/>
      <c r="CF262" s="13"/>
      <c r="CG262" s="13"/>
      <c r="CH262" s="13"/>
      <c r="CI262" s="13"/>
      <c r="CJ262" s="13"/>
      <c r="CK262" s="13"/>
      <c r="CL262" s="13"/>
      <c r="CM262" s="13"/>
      <c r="CN262" s="13"/>
      <c r="CO262" s="13"/>
      <c r="CP262" s="13"/>
      <c r="CQ262" s="13"/>
    </row>
    <row r="263" spans="1:95" ht="16.5" customHeight="1" x14ac:dyDescent="0.2">
      <c r="A263" s="13"/>
      <c r="B263" s="1757"/>
      <c r="C263" s="671" t="s">
        <v>182</v>
      </c>
      <c r="D263" s="676">
        <f>+'1 QUESTIONÁRIO'!J296/100</f>
        <v>0</v>
      </c>
      <c r="E263" s="573"/>
      <c r="H263" s="1002"/>
      <c r="I263" s="694"/>
      <c r="J263" s="13"/>
      <c r="K263" s="38"/>
      <c r="L263" s="13"/>
      <c r="M263" s="13"/>
      <c r="N263" s="13"/>
      <c r="O263" s="13"/>
      <c r="P263" s="13"/>
      <c r="Q263" s="13"/>
      <c r="R263" s="13"/>
      <c r="S263" s="13"/>
      <c r="T263" s="38"/>
      <c r="U263" s="38"/>
      <c r="V263" s="38"/>
      <c r="W263" s="38"/>
      <c r="X263" s="38"/>
      <c r="Y263" s="38"/>
      <c r="Z263" s="38"/>
      <c r="AA263" s="38"/>
      <c r="AI263" s="13"/>
      <c r="AJ263" s="240"/>
      <c r="AK263" s="240"/>
      <c r="AL263" s="13"/>
      <c r="AM263" s="13"/>
      <c r="AN263" s="13"/>
      <c r="AO263" s="13"/>
      <c r="AP263" s="13"/>
      <c r="AQ263" s="13"/>
      <c r="AR263" s="13"/>
      <c r="AS263" s="13"/>
      <c r="AT263" s="13"/>
      <c r="AU263" s="13"/>
      <c r="AV263" s="13"/>
      <c r="AW263" s="13"/>
      <c r="AX263" s="13"/>
      <c r="AY263" s="13"/>
      <c r="AZ263" s="13"/>
      <c r="BA263" s="13"/>
      <c r="BB263" s="13"/>
      <c r="BC263" s="13"/>
      <c r="BD263" s="13"/>
      <c r="BE263" s="13"/>
      <c r="BF263" s="13"/>
      <c r="BG263" s="13"/>
      <c r="BH263" s="13"/>
      <c r="BI263" s="13"/>
      <c r="BJ263" s="13"/>
      <c r="BK263" s="13"/>
      <c r="BL263" s="13"/>
      <c r="BM263" s="13"/>
      <c r="BN263" s="13"/>
      <c r="BO263" s="13"/>
      <c r="BP263" s="13"/>
      <c r="BQ263" s="13"/>
      <c r="BR263" s="13"/>
      <c r="BS263" s="13"/>
      <c r="BT263" s="13"/>
      <c r="BU263" s="13"/>
      <c r="BV263" s="13"/>
      <c r="BW263" s="13"/>
      <c r="BX263" s="13"/>
      <c r="BY263" s="13"/>
      <c r="BZ263" s="13"/>
      <c r="CA263" s="13"/>
      <c r="CB263" s="13"/>
      <c r="CC263" s="13"/>
      <c r="CD263" s="13"/>
      <c r="CE263" s="13"/>
      <c r="CF263" s="13"/>
      <c r="CG263" s="13"/>
      <c r="CH263" s="13"/>
      <c r="CI263" s="13"/>
      <c r="CJ263" s="13"/>
      <c r="CK263" s="13"/>
      <c r="CL263" s="13"/>
      <c r="CM263" s="13"/>
      <c r="CN263" s="13"/>
      <c r="CO263" s="13"/>
      <c r="CP263" s="13"/>
      <c r="CQ263" s="13"/>
    </row>
    <row r="264" spans="1:95" ht="16.5" customHeight="1" x14ac:dyDescent="0.2">
      <c r="A264" s="13"/>
      <c r="B264" s="1001"/>
      <c r="C264" s="1000" t="s">
        <v>179</v>
      </c>
      <c r="D264" s="1151">
        <v>4</v>
      </c>
      <c r="H264" s="1002"/>
      <c r="I264" s="694"/>
      <c r="J264" s="13"/>
      <c r="K264" s="38"/>
      <c r="L264" s="13"/>
      <c r="M264" s="13"/>
      <c r="N264" s="13"/>
      <c r="O264" s="13"/>
      <c r="P264" s="13"/>
      <c r="Q264" s="13"/>
      <c r="R264" s="13"/>
      <c r="S264" s="13"/>
      <c r="T264" s="38"/>
      <c r="U264" s="38"/>
      <c r="V264" s="38"/>
      <c r="W264" s="38"/>
      <c r="X264" s="38"/>
      <c r="Y264" s="38"/>
      <c r="Z264" s="38"/>
      <c r="AA264" s="38"/>
      <c r="AI264" s="13"/>
      <c r="AJ264" s="240"/>
      <c r="AK264" s="240"/>
      <c r="AL264" s="13"/>
      <c r="AM264" s="13"/>
      <c r="AN264" s="13"/>
      <c r="AO264" s="13"/>
      <c r="AP264" s="13"/>
      <c r="AQ264" s="13"/>
      <c r="AR264" s="13"/>
      <c r="AS264" s="13"/>
      <c r="AT264" s="13"/>
      <c r="AU264" s="13"/>
      <c r="AV264" s="13"/>
      <c r="AW264" s="13"/>
      <c r="AX264" s="13"/>
      <c r="AY264" s="13"/>
      <c r="AZ264" s="13"/>
      <c r="BA264" s="13"/>
      <c r="BB264" s="13"/>
      <c r="BC264" s="13"/>
      <c r="BD264" s="13"/>
      <c r="BE264" s="13"/>
      <c r="BF264" s="13"/>
      <c r="BG264" s="13"/>
      <c r="BH264" s="13"/>
      <c r="BI264" s="13"/>
      <c r="BJ264" s="13"/>
      <c r="BK264" s="13"/>
      <c r="BL264" s="13"/>
      <c r="BM264" s="13"/>
      <c r="BN264" s="13"/>
      <c r="BO264" s="13"/>
      <c r="BP264" s="13"/>
      <c r="BQ264" s="13"/>
      <c r="BR264" s="13"/>
      <c r="BS264" s="13"/>
      <c r="BT264" s="13"/>
      <c r="BU264" s="13"/>
      <c r="BV264" s="13"/>
      <c r="BW264" s="13"/>
      <c r="BX264" s="13"/>
      <c r="BY264" s="13"/>
      <c r="BZ264" s="13"/>
      <c r="CA264" s="13"/>
      <c r="CB264" s="13"/>
      <c r="CC264" s="13"/>
      <c r="CD264" s="13"/>
      <c r="CE264" s="13"/>
      <c r="CF264" s="13"/>
      <c r="CG264" s="13"/>
      <c r="CH264" s="13"/>
      <c r="CI264" s="13"/>
      <c r="CJ264" s="13"/>
      <c r="CK264" s="13"/>
      <c r="CL264" s="13"/>
      <c r="CM264" s="13"/>
      <c r="CN264" s="13"/>
      <c r="CO264" s="13"/>
      <c r="CP264" s="13"/>
      <c r="CQ264" s="13"/>
    </row>
    <row r="265" spans="1:95" ht="16.5" customHeight="1" x14ac:dyDescent="0.2">
      <c r="A265" s="13"/>
      <c r="B265" s="1784" t="s">
        <v>470</v>
      </c>
      <c r="C265" s="1785"/>
      <c r="D265" s="1786"/>
      <c r="E265" s="17" t="s">
        <v>181</v>
      </c>
      <c r="F265" s="627">
        <f>+'GUIA DE APLICAÇÃO'!L943</f>
        <v>0</v>
      </c>
      <c r="G265" s="90"/>
      <c r="H265" s="1003"/>
      <c r="I265" s="694"/>
      <c r="J265" s="13"/>
      <c r="K265" s="38"/>
      <c r="L265" s="13"/>
      <c r="M265" s="13"/>
      <c r="N265" s="13"/>
      <c r="O265" s="13"/>
      <c r="P265" s="13"/>
      <c r="Q265" s="13"/>
      <c r="R265" s="13"/>
      <c r="S265" s="13"/>
      <c r="T265" s="38"/>
      <c r="U265" s="38"/>
      <c r="V265" s="38"/>
      <c r="W265" s="38"/>
      <c r="X265" s="38"/>
      <c r="Y265" s="38"/>
      <c r="Z265" s="38"/>
      <c r="AA265" s="38"/>
      <c r="AI265" s="13"/>
      <c r="AJ265" s="240"/>
      <c r="AK265" s="240"/>
      <c r="AL265" s="13"/>
      <c r="AM265" s="13"/>
      <c r="AN265" s="13"/>
      <c r="AO265" s="13"/>
      <c r="AP265" s="13"/>
      <c r="AQ265" s="13"/>
      <c r="AR265" s="13"/>
      <c r="AS265" s="13"/>
      <c r="AT265" s="13"/>
      <c r="AU265" s="13"/>
      <c r="AV265" s="13"/>
      <c r="AW265" s="13"/>
      <c r="AX265" s="13"/>
      <c r="AY265" s="13"/>
      <c r="AZ265" s="13"/>
      <c r="BA265" s="13"/>
      <c r="BB265" s="13"/>
      <c r="BC265" s="13"/>
      <c r="BD265" s="13"/>
      <c r="BE265" s="13"/>
      <c r="BF265" s="13"/>
      <c r="BG265" s="13"/>
      <c r="BH265" s="13"/>
      <c r="BI265" s="13"/>
      <c r="BJ265" s="13"/>
      <c r="BK265" s="13"/>
      <c r="BL265" s="13"/>
      <c r="BM265" s="13"/>
      <c r="BN265" s="13"/>
      <c r="BO265" s="13"/>
      <c r="BP265" s="13"/>
      <c r="BQ265" s="13"/>
      <c r="BR265" s="13"/>
      <c r="BS265" s="13"/>
      <c r="BT265" s="13"/>
      <c r="BU265" s="13"/>
      <c r="BV265" s="13"/>
      <c r="BW265" s="13"/>
      <c r="BX265" s="13"/>
      <c r="BY265" s="13"/>
      <c r="BZ265" s="13"/>
      <c r="CA265" s="13"/>
      <c r="CB265" s="13"/>
      <c r="CC265" s="13"/>
      <c r="CD265" s="13"/>
      <c r="CE265" s="13"/>
      <c r="CF265" s="13"/>
      <c r="CG265" s="13"/>
      <c r="CH265" s="13"/>
      <c r="CI265" s="13"/>
      <c r="CJ265" s="13"/>
      <c r="CK265" s="13"/>
      <c r="CL265" s="13"/>
      <c r="CM265" s="13"/>
      <c r="CN265" s="13"/>
      <c r="CO265" s="13"/>
      <c r="CP265" s="13"/>
      <c r="CQ265" s="13"/>
    </row>
    <row r="266" spans="1:95" ht="16.5" customHeight="1" x14ac:dyDescent="0.2">
      <c r="A266" s="13"/>
      <c r="B266" s="1787"/>
      <c r="C266" s="1788"/>
      <c r="D266" s="1789"/>
      <c r="E266" s="17" t="s">
        <v>182</v>
      </c>
      <c r="F266" s="627">
        <f>+'GUIA DE APLICAÇÃO'!L944</f>
        <v>0</v>
      </c>
      <c r="G266" s="38"/>
      <c r="H266" s="1002"/>
      <c r="I266" s="694"/>
      <c r="J266" s="38"/>
      <c r="K266" s="38"/>
      <c r="L266" s="13"/>
      <c r="M266" s="13"/>
      <c r="N266" s="13"/>
      <c r="O266" s="13"/>
      <c r="P266" s="13"/>
      <c r="Q266" s="13"/>
      <c r="R266" s="13"/>
      <c r="S266" s="13"/>
      <c r="T266" s="38"/>
      <c r="U266" s="38"/>
      <c r="V266" s="38"/>
      <c r="W266" s="38"/>
      <c r="X266" s="38"/>
      <c r="Y266" s="38"/>
      <c r="Z266" s="38"/>
      <c r="AA266" s="38"/>
      <c r="AI266" s="13"/>
      <c r="AJ266" s="13"/>
      <c r="AK266" s="13"/>
      <c r="AL266" s="13"/>
      <c r="AM266" s="13"/>
      <c r="AN266" s="13"/>
      <c r="AO266" s="13"/>
      <c r="AP266" s="13"/>
      <c r="AQ266" s="13"/>
      <c r="AR266" s="13"/>
      <c r="AS266" s="13"/>
      <c r="AT266" s="13"/>
      <c r="AU266" s="13"/>
      <c r="AV266" s="13"/>
      <c r="AW266" s="13"/>
      <c r="AX266" s="13"/>
      <c r="AY266" s="13"/>
      <c r="AZ266" s="13"/>
      <c r="BA266" s="13"/>
      <c r="BB266" s="13"/>
      <c r="BC266" s="13"/>
      <c r="BD266" s="13"/>
      <c r="BE266" s="13"/>
      <c r="BF266" s="13"/>
      <c r="BG266" s="13"/>
      <c r="BH266" s="13"/>
      <c r="BI266" s="13"/>
      <c r="BJ266" s="13"/>
      <c r="BK266" s="13"/>
      <c r="BL266" s="13"/>
      <c r="BM266" s="13"/>
      <c r="BN266" s="13"/>
      <c r="BO266" s="13"/>
      <c r="BP266" s="13"/>
      <c r="BQ266" s="13"/>
      <c r="BR266" s="13"/>
      <c r="BS266" s="13"/>
      <c r="BT266" s="13"/>
      <c r="BU266" s="13"/>
      <c r="BV266" s="13"/>
      <c r="BW266" s="13"/>
      <c r="BX266" s="13"/>
      <c r="BY266" s="13"/>
      <c r="BZ266" s="13"/>
      <c r="CA266" s="13"/>
      <c r="CB266" s="13"/>
      <c r="CC266" s="13"/>
      <c r="CD266" s="13"/>
      <c r="CE266" s="13"/>
      <c r="CF266" s="13"/>
      <c r="CG266" s="13"/>
      <c r="CH266" s="13"/>
      <c r="CI266" s="13"/>
      <c r="CJ266" s="13"/>
      <c r="CK266" s="13"/>
      <c r="CL266" s="13"/>
      <c r="CM266" s="13"/>
      <c r="CN266" s="13"/>
      <c r="CO266" s="13"/>
      <c r="CP266" s="13"/>
      <c r="CQ266" s="13"/>
    </row>
    <row r="267" spans="1:95" ht="16.5" customHeight="1" x14ac:dyDescent="0.2">
      <c r="A267" s="13"/>
      <c r="B267" s="1004"/>
      <c r="C267" s="674"/>
      <c r="D267" s="674"/>
      <c r="E267" s="675"/>
      <c r="F267" s="139"/>
      <c r="G267" s="38"/>
      <c r="H267" s="1002"/>
      <c r="I267" s="694"/>
      <c r="J267" s="38"/>
      <c r="K267" s="38"/>
      <c r="L267" s="13"/>
      <c r="M267" s="13"/>
      <c r="N267" s="13"/>
      <c r="O267" s="13"/>
      <c r="P267" s="13"/>
      <c r="Q267" s="13"/>
      <c r="R267" s="13"/>
      <c r="S267" s="13"/>
      <c r="T267" s="38"/>
      <c r="U267" s="38"/>
      <c r="V267" s="38"/>
      <c r="W267" s="38"/>
      <c r="X267" s="38"/>
      <c r="Y267" s="38"/>
      <c r="Z267" s="38"/>
      <c r="AA267" s="38"/>
      <c r="AI267" s="13"/>
      <c r="AJ267" s="13"/>
      <c r="AK267" s="13"/>
      <c r="AL267" s="13"/>
      <c r="AM267" s="13"/>
      <c r="AN267" s="13"/>
      <c r="AO267" s="13"/>
      <c r="AP267" s="13"/>
      <c r="AQ267" s="13"/>
      <c r="AR267" s="13"/>
      <c r="AS267" s="13"/>
      <c r="AT267" s="13"/>
      <c r="AU267" s="13"/>
      <c r="AV267" s="13"/>
      <c r="AW267" s="13"/>
      <c r="AX267" s="13"/>
      <c r="AY267" s="13"/>
      <c r="AZ267" s="13"/>
      <c r="BA267" s="13"/>
      <c r="BB267" s="13"/>
      <c r="BC267" s="13"/>
      <c r="BD267" s="13"/>
      <c r="BE267" s="13"/>
      <c r="BF267" s="13"/>
      <c r="BG267" s="13"/>
      <c r="BH267" s="13"/>
      <c r="BI267" s="13"/>
      <c r="BJ267" s="13"/>
      <c r="BK267" s="13"/>
      <c r="BL267" s="13"/>
      <c r="BM267" s="13"/>
      <c r="BN267" s="13"/>
      <c r="BO267" s="13"/>
      <c r="BP267" s="13"/>
      <c r="BQ267" s="13"/>
      <c r="BR267" s="13"/>
      <c r="BS267" s="13"/>
      <c r="BT267" s="13"/>
      <c r="BU267" s="13"/>
      <c r="BV267" s="13"/>
      <c r="BW267" s="13"/>
      <c r="BX267" s="13"/>
      <c r="BY267" s="13"/>
      <c r="BZ267" s="13"/>
      <c r="CA267" s="13"/>
      <c r="CB267" s="13"/>
      <c r="CC267" s="13"/>
      <c r="CD267" s="13"/>
      <c r="CE267" s="13"/>
      <c r="CF267" s="13"/>
      <c r="CG267" s="13"/>
      <c r="CH267" s="13"/>
      <c r="CI267" s="13"/>
      <c r="CJ267" s="13"/>
      <c r="CK267" s="13"/>
      <c r="CL267" s="13"/>
      <c r="CM267" s="13"/>
      <c r="CN267" s="13"/>
      <c r="CO267" s="13"/>
      <c r="CP267" s="13"/>
      <c r="CQ267" s="13"/>
    </row>
    <row r="268" spans="1:95" ht="21" customHeight="1" x14ac:dyDescent="0.2">
      <c r="A268" s="660"/>
      <c r="B268" s="1009" t="s">
        <v>471</v>
      </c>
      <c r="C268" s="1012"/>
      <c r="D268" s="1012"/>
      <c r="E268" s="1010"/>
      <c r="F268" s="1011"/>
      <c r="G268" s="145"/>
      <c r="H268" s="1005"/>
      <c r="I268" s="145"/>
      <c r="J268" s="145"/>
      <c r="K268" s="5"/>
      <c r="L268" s="5"/>
      <c r="M268" s="5"/>
      <c r="N268" s="5"/>
      <c r="O268" s="5"/>
      <c r="P268" s="5"/>
      <c r="Q268" s="5"/>
      <c r="R268" s="5"/>
      <c r="S268" s="5"/>
      <c r="T268" s="5"/>
      <c r="U268" s="5"/>
      <c r="V268" s="5"/>
      <c r="W268" s="13"/>
      <c r="X268" s="13"/>
      <c r="AB268" s="93"/>
      <c r="AC268" s="38"/>
      <c r="AI268" s="13"/>
      <c r="AJ268" s="13"/>
      <c r="AK268" s="13"/>
      <c r="AL268" s="13"/>
      <c r="AM268" s="13"/>
      <c r="AN268" s="13"/>
      <c r="AO268" s="13"/>
      <c r="AP268" s="13"/>
      <c r="AQ268" s="13"/>
      <c r="AR268" s="13"/>
      <c r="AS268" s="13"/>
      <c r="AT268" s="13"/>
      <c r="AU268" s="13"/>
      <c r="AV268" s="13"/>
      <c r="AW268" s="13"/>
      <c r="AX268" s="13"/>
      <c r="AY268" s="13"/>
      <c r="AZ268" s="13"/>
      <c r="BA268" s="13"/>
      <c r="BB268" s="13"/>
      <c r="BC268" s="13"/>
      <c r="BD268" s="13"/>
      <c r="BE268" s="13"/>
      <c r="BF268" s="13"/>
      <c r="BG268" s="13"/>
      <c r="BH268" s="13"/>
      <c r="BI268" s="13"/>
      <c r="BJ268" s="13"/>
      <c r="BK268" s="13"/>
      <c r="BL268" s="13"/>
      <c r="BM268" s="13"/>
      <c r="BN268" s="13"/>
      <c r="BO268" s="13"/>
      <c r="BP268" s="13"/>
      <c r="BQ268" s="13"/>
      <c r="BR268" s="13"/>
      <c r="BS268" s="13"/>
      <c r="BT268" s="13"/>
      <c r="BU268" s="13"/>
      <c r="BV268" s="13"/>
      <c r="BW268" s="13"/>
      <c r="BX268" s="13"/>
      <c r="BY268" s="13"/>
      <c r="BZ268" s="13"/>
      <c r="CA268" s="13"/>
      <c r="CB268" s="13"/>
      <c r="CC268" s="13"/>
      <c r="CD268" s="13"/>
      <c r="CE268" s="13"/>
      <c r="CF268" s="13"/>
      <c r="CG268" s="13"/>
      <c r="CH268" s="13"/>
      <c r="CI268" s="13"/>
      <c r="CJ268" s="13"/>
      <c r="CK268" s="13"/>
      <c r="CL268" s="13"/>
      <c r="CM268" s="13"/>
      <c r="CN268" s="13"/>
      <c r="CO268" s="13"/>
      <c r="CP268" s="13"/>
      <c r="CQ268" s="13"/>
    </row>
    <row r="269" spans="1:95" ht="13.5" customHeight="1" x14ac:dyDescent="0.2">
      <c r="A269" s="13"/>
      <c r="B269" s="738" t="s">
        <v>472</v>
      </c>
      <c r="C269" s="1817"/>
      <c r="D269" s="1818"/>
      <c r="E269" s="1818"/>
      <c r="F269" s="1818"/>
      <c r="G269" s="1818"/>
      <c r="H269" s="1819"/>
      <c r="I269" s="38"/>
      <c r="J269" s="38"/>
      <c r="K269" s="5"/>
      <c r="L269" s="5"/>
      <c r="M269" s="5"/>
      <c r="N269" s="5"/>
      <c r="O269" s="5"/>
      <c r="P269" s="5"/>
      <c r="Q269" s="5"/>
      <c r="R269" s="5"/>
      <c r="S269" s="5"/>
      <c r="T269" s="5"/>
      <c r="U269" s="5"/>
      <c r="V269" s="5"/>
      <c r="W269" s="13"/>
      <c r="X269" s="13"/>
      <c r="Y269" s="531"/>
      <c r="Z269" s="531"/>
      <c r="AA269" s="531"/>
      <c r="AB269" s="93"/>
      <c r="AC269" s="38"/>
      <c r="AI269" s="13"/>
      <c r="AJ269" s="13"/>
      <c r="AK269" s="13"/>
      <c r="AL269" s="13"/>
      <c r="AM269" s="13"/>
      <c r="AN269" s="13"/>
      <c r="AO269" s="13"/>
      <c r="AP269" s="13"/>
      <c r="AQ269" s="13"/>
      <c r="AR269" s="13"/>
      <c r="AS269" s="13"/>
      <c r="AT269" s="13"/>
      <c r="AU269" s="13"/>
      <c r="AV269" s="13"/>
      <c r="AW269" s="13"/>
      <c r="AX269" s="13"/>
      <c r="AY269" s="13"/>
      <c r="AZ269" s="13"/>
      <c r="BA269" s="13"/>
      <c r="BB269" s="13"/>
      <c r="BC269" s="13"/>
      <c r="BD269" s="13"/>
      <c r="BE269" s="13"/>
      <c r="BF269" s="13"/>
      <c r="BG269" s="13"/>
      <c r="BH269" s="13"/>
      <c r="BI269" s="13"/>
      <c r="BJ269" s="13"/>
      <c r="BK269" s="13"/>
      <c r="BL269" s="13"/>
      <c r="BM269" s="13"/>
      <c r="BN269" s="13"/>
      <c r="BO269" s="13"/>
      <c r="BP269" s="13"/>
      <c r="BQ269" s="13"/>
      <c r="BR269" s="13"/>
      <c r="BS269" s="13"/>
      <c r="BT269" s="13"/>
      <c r="BU269" s="13"/>
      <c r="BV269" s="13"/>
      <c r="BW269" s="13"/>
      <c r="BX269" s="13"/>
      <c r="BY269" s="13"/>
      <c r="BZ269" s="13"/>
      <c r="CA269" s="13"/>
      <c r="CB269" s="13"/>
      <c r="CC269" s="13"/>
      <c r="CD269" s="13"/>
      <c r="CE269" s="13"/>
      <c r="CF269" s="13"/>
      <c r="CG269" s="13"/>
      <c r="CH269" s="13"/>
      <c r="CI269" s="13"/>
      <c r="CJ269" s="13"/>
      <c r="CK269" s="13"/>
      <c r="CL269" s="13"/>
      <c r="CM269" s="13"/>
      <c r="CN269" s="13"/>
      <c r="CO269" s="13"/>
      <c r="CP269" s="13"/>
      <c r="CQ269" s="13"/>
    </row>
    <row r="270" spans="1:95" ht="14.25" customHeight="1" x14ac:dyDescent="0.2">
      <c r="A270" s="13"/>
      <c r="B270" s="1006"/>
      <c r="C270" s="38"/>
      <c r="D270" s="38"/>
      <c r="E270" s="38"/>
      <c r="F270" s="38"/>
      <c r="G270" s="38"/>
      <c r="H270" s="993"/>
      <c r="I270" s="38"/>
      <c r="J270" s="38"/>
      <c r="K270" s="5"/>
      <c r="L270" s="5"/>
      <c r="M270" s="5"/>
      <c r="N270" s="5"/>
      <c r="O270" s="5"/>
      <c r="P270" s="5"/>
      <c r="Q270" s="5"/>
      <c r="R270" s="5"/>
      <c r="S270" s="5"/>
      <c r="T270" s="5"/>
      <c r="U270" s="5"/>
      <c r="V270" s="5"/>
      <c r="W270" s="13"/>
      <c r="X270" s="13"/>
      <c r="Y270" s="13"/>
      <c r="Z270" s="13"/>
      <c r="AA270" s="13"/>
      <c r="AB270" s="38"/>
      <c r="AC270" s="38"/>
      <c r="AI270" s="13"/>
      <c r="AJ270" s="13"/>
      <c r="AK270" s="13"/>
      <c r="AL270" s="13"/>
      <c r="AM270" s="13"/>
      <c r="AN270" s="13"/>
      <c r="AO270" s="13"/>
      <c r="AP270" s="13"/>
      <c r="AQ270" s="13"/>
      <c r="AR270" s="13"/>
      <c r="AS270" s="13"/>
      <c r="AT270" s="13"/>
      <c r="AU270" s="13"/>
      <c r="AV270" s="13"/>
      <c r="AW270" s="13"/>
      <c r="AX270" s="13"/>
      <c r="AY270" s="13"/>
      <c r="AZ270" s="13"/>
      <c r="BA270" s="13"/>
      <c r="BB270" s="13"/>
      <c r="BC270" s="13"/>
      <c r="BD270" s="13"/>
      <c r="BE270" s="13"/>
      <c r="BF270" s="13"/>
      <c r="BG270" s="13"/>
      <c r="BH270" s="13"/>
      <c r="BI270" s="13"/>
      <c r="BJ270" s="13"/>
      <c r="BK270" s="13"/>
      <c r="BL270" s="13"/>
      <c r="BM270" s="13"/>
      <c r="BN270" s="13"/>
      <c r="BO270" s="13"/>
      <c r="BP270" s="13"/>
      <c r="BQ270" s="13"/>
      <c r="BR270" s="13"/>
      <c r="BS270" s="13"/>
      <c r="BT270" s="13"/>
      <c r="BU270" s="13"/>
      <c r="BV270" s="13"/>
      <c r="BW270" s="13"/>
      <c r="BX270" s="13"/>
      <c r="BY270" s="13"/>
      <c r="BZ270" s="13"/>
      <c r="CA270" s="13"/>
      <c r="CB270" s="13"/>
      <c r="CC270" s="13"/>
      <c r="CD270" s="13"/>
      <c r="CE270" s="13"/>
      <c r="CF270" s="13"/>
      <c r="CG270" s="13"/>
      <c r="CH270" s="13"/>
      <c r="CI270" s="13"/>
      <c r="CJ270" s="13"/>
      <c r="CK270" s="13"/>
      <c r="CL270" s="13"/>
      <c r="CM270" s="13"/>
      <c r="CN270" s="13"/>
      <c r="CO270" s="13"/>
      <c r="CP270" s="13"/>
      <c r="CQ270" s="13"/>
    </row>
    <row r="271" spans="1:95" ht="16.5" customHeight="1" x14ac:dyDescent="0.2">
      <c r="A271" s="13"/>
      <c r="B271" s="996" t="s">
        <v>463</v>
      </c>
      <c r="C271" s="746" t="s">
        <v>449</v>
      </c>
      <c r="D271" s="1037" t="s">
        <v>274</v>
      </c>
      <c r="E271" s="200"/>
      <c r="F271" s="177"/>
      <c r="G271" s="38"/>
      <c r="H271" s="38"/>
      <c r="I271" s="101"/>
      <c r="J271" s="38"/>
      <c r="K271" s="5"/>
      <c r="L271" s="5"/>
      <c r="M271" s="5"/>
      <c r="N271" s="5"/>
      <c r="O271" s="5"/>
      <c r="P271" s="5"/>
      <c r="Q271" s="5"/>
      <c r="R271" s="5"/>
      <c r="S271" s="5"/>
      <c r="T271" s="5"/>
      <c r="U271" s="5"/>
      <c r="V271" s="5"/>
      <c r="W271" s="13"/>
      <c r="X271" s="13"/>
      <c r="AA271" s="13"/>
      <c r="AF271" s="13"/>
      <c r="AI271" s="13"/>
      <c r="AM271" s="13"/>
      <c r="AN271" s="13"/>
      <c r="AO271" s="13"/>
      <c r="AP271" s="13"/>
      <c r="AQ271" s="13"/>
      <c r="AR271" s="13"/>
      <c r="AS271" s="13"/>
      <c r="AT271" s="13"/>
      <c r="AU271" s="13"/>
      <c r="AV271" s="13"/>
      <c r="AW271" s="13"/>
      <c r="AX271" s="13"/>
      <c r="AY271" s="13"/>
      <c r="AZ271" s="13"/>
      <c r="BA271" s="13"/>
      <c r="BB271" s="13"/>
      <c r="BC271" s="13"/>
      <c r="BD271" s="13"/>
      <c r="BE271" s="13"/>
      <c r="BF271" s="13"/>
      <c r="BG271" s="13"/>
      <c r="BH271" s="13"/>
      <c r="BI271" s="13"/>
      <c r="BJ271" s="13"/>
      <c r="BK271" s="13"/>
      <c r="BL271" s="13"/>
      <c r="BM271" s="13"/>
      <c r="BN271" s="13"/>
      <c r="BO271" s="13"/>
      <c r="BP271" s="13"/>
      <c r="BQ271" s="13"/>
      <c r="BR271" s="13"/>
      <c r="BS271" s="13"/>
      <c r="BT271" s="13"/>
      <c r="BU271" s="13"/>
      <c r="BV271" s="13"/>
      <c r="BW271" s="13"/>
      <c r="BX271" s="13"/>
      <c r="BY271" s="13"/>
      <c r="BZ271" s="13"/>
      <c r="CA271" s="13"/>
      <c r="CB271" s="13"/>
      <c r="CC271" s="13"/>
      <c r="CD271" s="13"/>
      <c r="CE271" s="13"/>
      <c r="CF271" s="13"/>
      <c r="CG271" s="13"/>
      <c r="CH271" s="13"/>
      <c r="CI271" s="13"/>
      <c r="CJ271" s="13"/>
      <c r="CK271" s="13"/>
      <c r="CL271" s="13"/>
      <c r="CM271" s="13"/>
      <c r="CN271" s="13"/>
      <c r="CO271" s="13"/>
      <c r="CP271" s="13"/>
      <c r="CQ271" s="13"/>
    </row>
    <row r="272" spans="1:95" ht="16.5" customHeight="1" x14ac:dyDescent="0.2">
      <c r="A272" s="13"/>
      <c r="B272" s="659" t="s">
        <v>473</v>
      </c>
      <c r="C272" s="1363"/>
      <c r="D272" s="676" t="str">
        <f>IF(C272&gt;0,'GUIA DE APLICAÇÃO'!B956,"")</f>
        <v/>
      </c>
      <c r="E272" s="200"/>
      <c r="F272" s="177"/>
      <c r="G272" s="38"/>
      <c r="H272" s="1002"/>
      <c r="I272" s="694"/>
      <c r="J272" s="38"/>
      <c r="K272" s="5"/>
      <c r="L272" s="5"/>
      <c r="M272" s="5"/>
      <c r="N272" s="5"/>
      <c r="O272" s="5"/>
      <c r="P272" s="5"/>
      <c r="Q272" s="5"/>
      <c r="R272" s="5"/>
      <c r="S272" s="5"/>
      <c r="T272" s="5"/>
      <c r="U272" s="5"/>
      <c r="V272" s="5"/>
      <c r="W272" s="13"/>
      <c r="X272" s="13"/>
      <c r="AA272" s="13"/>
      <c r="AF272" s="13"/>
      <c r="AI272" s="13"/>
      <c r="AM272" s="13"/>
      <c r="AN272" s="13"/>
      <c r="AO272" s="13"/>
      <c r="AP272" s="13"/>
      <c r="AQ272" s="13"/>
      <c r="AR272" s="13"/>
      <c r="AS272" s="13"/>
      <c r="AT272" s="13"/>
      <c r="AU272" s="13"/>
      <c r="AV272" s="13"/>
      <c r="AW272" s="13"/>
      <c r="AX272" s="13"/>
      <c r="AY272" s="13"/>
      <c r="AZ272" s="13"/>
      <c r="BA272" s="13"/>
      <c r="BB272" s="13"/>
      <c r="BC272" s="13"/>
      <c r="BD272" s="13"/>
      <c r="BE272" s="13"/>
      <c r="BF272" s="13"/>
      <c r="BG272" s="13"/>
      <c r="BH272" s="13"/>
      <c r="BI272" s="13"/>
      <c r="BJ272" s="13"/>
      <c r="BK272" s="13"/>
      <c r="BL272" s="13"/>
      <c r="BM272" s="13"/>
      <c r="BN272" s="13"/>
      <c r="BO272" s="13"/>
      <c r="BP272" s="13"/>
      <c r="BQ272" s="13"/>
      <c r="BR272" s="13"/>
      <c r="BS272" s="13"/>
      <c r="BT272" s="13"/>
      <c r="BU272" s="13"/>
      <c r="BV272" s="13"/>
      <c r="BW272" s="13"/>
      <c r="BX272" s="13"/>
      <c r="BY272" s="13"/>
      <c r="BZ272" s="13"/>
      <c r="CA272" s="13"/>
      <c r="CB272" s="13"/>
      <c r="CC272" s="13"/>
      <c r="CD272" s="13"/>
      <c r="CE272" s="13"/>
      <c r="CF272" s="13"/>
      <c r="CG272" s="13"/>
      <c r="CH272" s="13"/>
      <c r="CI272" s="13"/>
      <c r="CJ272" s="13"/>
      <c r="CK272" s="13"/>
      <c r="CL272" s="13"/>
      <c r="CM272" s="13"/>
      <c r="CN272" s="13"/>
      <c r="CO272" s="13"/>
      <c r="CP272" s="13"/>
      <c r="CQ272" s="13"/>
    </row>
    <row r="273" spans="1:95" ht="16.5" customHeight="1" x14ac:dyDescent="0.2">
      <c r="A273" s="13"/>
      <c r="B273" s="1007"/>
      <c r="C273" s="998" t="s">
        <v>179</v>
      </c>
      <c r="D273" s="1150">
        <v>1</v>
      </c>
      <c r="E273" s="38"/>
      <c r="F273" s="38"/>
      <c r="G273" s="38"/>
      <c r="H273" s="1002"/>
      <c r="I273" s="38"/>
      <c r="J273" s="38"/>
      <c r="K273" s="5"/>
      <c r="L273" s="5"/>
      <c r="M273" s="5"/>
      <c r="N273" s="5"/>
      <c r="O273" s="5"/>
      <c r="P273" s="5"/>
      <c r="Q273" s="5"/>
      <c r="R273" s="5"/>
      <c r="S273" s="5"/>
      <c r="T273" s="5"/>
      <c r="U273" s="5"/>
      <c r="V273" s="5"/>
      <c r="W273" s="13"/>
      <c r="X273" s="13"/>
      <c r="Y273" s="13"/>
      <c r="Z273" s="13"/>
      <c r="AA273" s="13"/>
      <c r="AB273" s="13"/>
      <c r="AC273" s="13"/>
      <c r="AD273" s="13"/>
      <c r="AE273" s="13"/>
      <c r="AF273" s="13"/>
      <c r="AG273" s="13"/>
      <c r="AH273" s="13"/>
      <c r="AI273" s="13"/>
      <c r="AM273" s="13"/>
      <c r="AN273" s="13"/>
      <c r="AO273" s="13"/>
      <c r="AP273" s="13"/>
      <c r="AQ273" s="13"/>
      <c r="AR273" s="13"/>
      <c r="AS273" s="13"/>
      <c r="AT273" s="13"/>
      <c r="AU273" s="13"/>
      <c r="AV273" s="13"/>
      <c r="AW273" s="13"/>
      <c r="AX273" s="13"/>
      <c r="AY273" s="13"/>
      <c r="AZ273" s="13"/>
      <c r="BA273" s="13"/>
      <c r="BB273" s="13"/>
      <c r="BC273" s="13"/>
      <c r="BD273" s="13"/>
      <c r="BE273" s="13"/>
      <c r="BF273" s="13"/>
      <c r="BG273" s="13"/>
      <c r="BH273" s="13"/>
      <c r="BI273" s="13"/>
      <c r="BJ273" s="13"/>
      <c r="BK273" s="13"/>
      <c r="BL273" s="13"/>
      <c r="BM273" s="13"/>
      <c r="BN273" s="13"/>
      <c r="BO273" s="13"/>
      <c r="BP273" s="13"/>
      <c r="BQ273" s="13"/>
      <c r="BR273" s="13"/>
      <c r="BS273" s="13"/>
      <c r="BT273" s="13"/>
      <c r="BU273" s="13"/>
      <c r="BV273" s="13"/>
      <c r="BW273" s="13"/>
      <c r="BX273" s="13"/>
      <c r="BY273" s="13"/>
      <c r="BZ273" s="13"/>
      <c r="CA273" s="13"/>
      <c r="CB273" s="13"/>
      <c r="CC273" s="13"/>
      <c r="CD273" s="13"/>
      <c r="CE273" s="13"/>
      <c r="CF273" s="13"/>
      <c r="CG273" s="13"/>
      <c r="CH273" s="13"/>
      <c r="CI273" s="13"/>
      <c r="CJ273" s="13"/>
      <c r="CK273" s="13"/>
      <c r="CL273" s="13"/>
      <c r="CM273" s="13"/>
      <c r="CN273" s="13"/>
      <c r="CO273" s="13"/>
      <c r="CP273" s="13"/>
      <c r="CQ273" s="13"/>
    </row>
    <row r="274" spans="1:95" ht="16.5" customHeight="1" x14ac:dyDescent="0.2">
      <c r="A274" s="13"/>
      <c r="B274" s="996" t="s">
        <v>464</v>
      </c>
      <c r="C274" s="573"/>
      <c r="D274" s="997"/>
      <c r="E274" s="992"/>
      <c r="F274" s="712" t="s">
        <v>467</v>
      </c>
      <c r="G274" s="997"/>
      <c r="H274" s="1008"/>
      <c r="I274" s="38"/>
      <c r="J274" s="38"/>
      <c r="K274" s="5"/>
      <c r="L274" s="5"/>
      <c r="M274" s="5"/>
      <c r="N274" s="5"/>
      <c r="O274" s="5"/>
      <c r="P274" s="5"/>
      <c r="Q274" s="5"/>
      <c r="R274" s="5"/>
      <c r="S274" s="5"/>
      <c r="T274" s="5"/>
      <c r="U274" s="5"/>
      <c r="V274" s="5"/>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c r="AY274" s="13"/>
      <c r="AZ274" s="13"/>
      <c r="BA274" s="13"/>
      <c r="BB274" s="13"/>
      <c r="BC274" s="13"/>
      <c r="BD274" s="13"/>
      <c r="BE274" s="13"/>
      <c r="BF274" s="13"/>
      <c r="BG274" s="13"/>
      <c r="BH274" s="13"/>
      <c r="BI274" s="13"/>
      <c r="BJ274" s="13"/>
      <c r="BK274" s="13"/>
      <c r="BL274" s="13"/>
      <c r="BM274" s="13"/>
      <c r="BN274" s="13"/>
      <c r="BO274" s="13"/>
      <c r="BP274" s="13"/>
      <c r="BQ274" s="13"/>
      <c r="BR274" s="13"/>
      <c r="BS274" s="13"/>
      <c r="BT274" s="13"/>
      <c r="BU274" s="13"/>
      <c r="BV274" s="13"/>
      <c r="BW274" s="13"/>
      <c r="BX274" s="13"/>
      <c r="BY274" s="13"/>
      <c r="BZ274" s="13"/>
      <c r="CA274" s="13"/>
      <c r="CB274" s="13"/>
      <c r="CC274" s="13"/>
      <c r="CD274" s="13"/>
      <c r="CE274" s="13"/>
      <c r="CF274" s="13"/>
      <c r="CG274" s="13"/>
      <c r="CH274" s="13"/>
      <c r="CI274" s="13"/>
      <c r="CJ274" s="13"/>
      <c r="CK274" s="13"/>
      <c r="CL274" s="13"/>
      <c r="CM274" s="13"/>
      <c r="CN274" s="13"/>
      <c r="CO274" s="13"/>
      <c r="CP274" s="13"/>
      <c r="CQ274" s="13"/>
    </row>
    <row r="275" spans="1:95" ht="16.5" customHeight="1" x14ac:dyDescent="0.2">
      <c r="A275" s="13"/>
      <c r="B275" s="217"/>
      <c r="C275" s="745" t="s">
        <v>465</v>
      </c>
      <c r="D275" s="1037" t="s">
        <v>274</v>
      </c>
      <c r="E275" s="200"/>
      <c r="G275" s="745" t="s">
        <v>474</v>
      </c>
      <c r="H275" s="679" t="s">
        <v>274</v>
      </c>
      <c r="I275" s="38"/>
      <c r="J275" s="38"/>
      <c r="K275" s="5"/>
      <c r="L275" s="5"/>
      <c r="M275" s="5"/>
      <c r="N275" s="5"/>
      <c r="O275" s="5"/>
      <c r="P275" s="5"/>
      <c r="Q275" s="5"/>
      <c r="R275" s="5"/>
      <c r="S275" s="5"/>
      <c r="T275" s="5"/>
      <c r="U275" s="5"/>
      <c r="V275" s="5"/>
      <c r="W275" s="13"/>
      <c r="X275" s="13"/>
      <c r="AA275" s="13"/>
      <c r="AB275" s="13"/>
      <c r="AC275" s="13"/>
      <c r="AH275" s="13"/>
      <c r="AI275" s="13"/>
      <c r="AJ275" s="13"/>
      <c r="AM275" s="13"/>
      <c r="AN275" s="13"/>
      <c r="AO275" s="13"/>
      <c r="AP275" s="13"/>
      <c r="AQ275" s="13"/>
      <c r="AR275" s="13"/>
      <c r="AS275" s="13"/>
      <c r="AT275" s="13"/>
      <c r="AU275" s="13"/>
      <c r="AV275" s="13"/>
      <c r="AW275" s="13"/>
      <c r="AX275" s="13"/>
      <c r="AY275" s="13"/>
      <c r="AZ275" s="13"/>
      <c r="BA275" s="13"/>
      <c r="BB275" s="13"/>
      <c r="BC275" s="13"/>
      <c r="BD275" s="13"/>
      <c r="BE275" s="13"/>
      <c r="BF275" s="13"/>
      <c r="BG275" s="13"/>
      <c r="BH275" s="13"/>
      <c r="BI275" s="13"/>
      <c r="BJ275" s="13"/>
      <c r="BK275" s="13"/>
      <c r="BL275" s="13"/>
      <c r="BM275" s="13"/>
      <c r="BN275" s="13"/>
      <c r="BO275" s="13"/>
      <c r="BP275" s="13"/>
      <c r="BQ275" s="13"/>
      <c r="BR275" s="13"/>
      <c r="BS275" s="13"/>
      <c r="BT275" s="13"/>
      <c r="BU275" s="13"/>
      <c r="BV275" s="13"/>
      <c r="BW275" s="13"/>
      <c r="BX275" s="13"/>
      <c r="BY275" s="13"/>
      <c r="BZ275" s="13"/>
      <c r="CA275" s="13"/>
      <c r="CB275" s="13"/>
      <c r="CC275" s="13"/>
      <c r="CD275" s="13"/>
      <c r="CE275" s="13"/>
      <c r="CF275" s="13"/>
      <c r="CG275" s="13"/>
      <c r="CH275" s="13"/>
      <c r="CI275" s="13"/>
      <c r="CJ275" s="13"/>
      <c r="CK275" s="13"/>
      <c r="CL275" s="13"/>
      <c r="CM275" s="13"/>
      <c r="CN275" s="13"/>
      <c r="CO275" s="13"/>
      <c r="CP275" s="13"/>
      <c r="CQ275" s="13"/>
    </row>
    <row r="276" spans="1:95" ht="16.5" customHeight="1" x14ac:dyDescent="0.2">
      <c r="A276" s="13"/>
      <c r="B276" s="659" t="s">
        <v>473</v>
      </c>
      <c r="C276" s="1362"/>
      <c r="D276" s="676" t="str">
        <f>IF(C276="","",'GUIA DE APLICAÇÃO'!B962)</f>
        <v/>
      </c>
      <c r="E276" s="1153"/>
      <c r="F276" s="659" t="s">
        <v>473</v>
      </c>
      <c r="G276" s="1361"/>
      <c r="H276" s="676" t="str">
        <f>IF(G276="","",'GUIA DE APLICAÇÃO'!B970)</f>
        <v/>
      </c>
      <c r="I276" s="38"/>
      <c r="J276" s="38"/>
      <c r="K276" s="5"/>
      <c r="L276" s="5"/>
      <c r="M276" s="5"/>
      <c r="N276" s="5"/>
      <c r="O276" s="5"/>
      <c r="P276" s="5"/>
      <c r="Q276" s="5"/>
      <c r="R276" s="5"/>
      <c r="S276" s="5"/>
      <c r="T276" s="5"/>
      <c r="U276" s="5"/>
      <c r="V276" s="5"/>
      <c r="W276" s="13"/>
      <c r="X276" s="13"/>
      <c r="AA276" s="13"/>
      <c r="AB276" s="13"/>
      <c r="AC276" s="13"/>
      <c r="AH276" s="13"/>
      <c r="AI276" s="13"/>
      <c r="AJ276" s="13"/>
      <c r="AM276" s="13"/>
      <c r="AN276" s="13"/>
      <c r="AO276" s="13"/>
      <c r="AP276" s="13"/>
      <c r="AQ276" s="13"/>
      <c r="AR276" s="13"/>
      <c r="AS276" s="13"/>
      <c r="AT276" s="13"/>
      <c r="AU276" s="13"/>
      <c r="AV276" s="13"/>
      <c r="AW276" s="13"/>
      <c r="AX276" s="13"/>
      <c r="AY276" s="13"/>
      <c r="AZ276" s="13"/>
      <c r="BA276" s="13"/>
      <c r="BB276" s="13"/>
      <c r="BC276" s="13"/>
      <c r="BD276" s="13"/>
      <c r="BE276" s="13"/>
      <c r="BF276" s="13"/>
      <c r="BG276" s="13"/>
      <c r="BH276" s="13"/>
      <c r="BI276" s="13"/>
      <c r="BJ276" s="13"/>
      <c r="BK276" s="13"/>
      <c r="BL276" s="13"/>
      <c r="BM276" s="13"/>
      <c r="BN276" s="13"/>
      <c r="BO276" s="13"/>
      <c r="BP276" s="13"/>
      <c r="BQ276" s="13"/>
      <c r="BR276" s="13"/>
      <c r="BS276" s="13"/>
      <c r="BT276" s="13"/>
      <c r="BU276" s="13"/>
      <c r="BV276" s="13"/>
      <c r="BW276" s="13"/>
      <c r="BX276" s="13"/>
      <c r="BY276" s="13"/>
      <c r="BZ276" s="13"/>
      <c r="CA276" s="13"/>
      <c r="CB276" s="13"/>
      <c r="CC276" s="13"/>
      <c r="CD276" s="13"/>
      <c r="CE276" s="13"/>
      <c r="CF276" s="13"/>
      <c r="CG276" s="13"/>
      <c r="CH276" s="13"/>
      <c r="CI276" s="13"/>
      <c r="CJ276" s="13"/>
      <c r="CK276" s="13"/>
      <c r="CL276" s="13"/>
      <c r="CM276" s="13"/>
      <c r="CN276" s="13"/>
      <c r="CO276" s="13"/>
      <c r="CP276" s="13"/>
      <c r="CQ276" s="13"/>
    </row>
    <row r="277" spans="1:95" ht="16.5" customHeight="1" x14ac:dyDescent="0.2">
      <c r="A277" s="13"/>
      <c r="B277" s="1154"/>
      <c r="C277" s="998" t="s">
        <v>179</v>
      </c>
      <c r="D277" s="1150">
        <v>1</v>
      </c>
      <c r="E277" s="38"/>
      <c r="F277" s="1767" t="s">
        <v>179</v>
      </c>
      <c r="G277" s="1768"/>
      <c r="H277" s="1150">
        <v>1</v>
      </c>
      <c r="I277" s="38"/>
      <c r="J277" s="38"/>
      <c r="K277" s="5"/>
      <c r="L277" s="5"/>
      <c r="M277" s="5"/>
      <c r="N277" s="5"/>
      <c r="O277" s="5"/>
      <c r="P277" s="5"/>
      <c r="Q277" s="5"/>
      <c r="R277" s="5"/>
      <c r="S277" s="5"/>
      <c r="T277" s="5"/>
      <c r="U277" s="5"/>
      <c r="V277" s="5"/>
      <c r="W277" s="13"/>
      <c r="X277" s="13"/>
      <c r="AB277" s="13"/>
      <c r="AC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c r="BG277" s="13"/>
      <c r="BH277" s="13"/>
      <c r="BI277" s="13"/>
      <c r="BJ277" s="13"/>
      <c r="BK277" s="13"/>
      <c r="BL277" s="13"/>
      <c r="BM277" s="13"/>
      <c r="BN277" s="13"/>
      <c r="BO277" s="13"/>
      <c r="BP277" s="13"/>
      <c r="BQ277" s="13"/>
      <c r="BR277" s="13"/>
      <c r="BS277" s="13"/>
      <c r="BT277" s="13"/>
      <c r="BU277" s="13"/>
      <c r="BV277" s="13"/>
      <c r="BW277" s="13"/>
      <c r="BX277" s="13"/>
      <c r="BY277" s="13"/>
      <c r="BZ277" s="13"/>
      <c r="CA277" s="13"/>
      <c r="CB277" s="13"/>
      <c r="CC277" s="13"/>
      <c r="CD277" s="13"/>
      <c r="CE277" s="13"/>
      <c r="CF277" s="13"/>
      <c r="CG277" s="13"/>
      <c r="CH277" s="13"/>
      <c r="CI277" s="13"/>
      <c r="CJ277" s="13"/>
      <c r="CK277" s="13"/>
      <c r="CL277" s="13"/>
      <c r="CM277" s="13"/>
      <c r="CN277" s="13"/>
      <c r="CO277" s="13"/>
      <c r="CP277" s="13"/>
      <c r="CQ277" s="13"/>
    </row>
    <row r="278" spans="1:95" ht="16.5" customHeight="1" x14ac:dyDescent="0.2">
      <c r="A278" s="13"/>
      <c r="B278" s="1758" t="s">
        <v>475</v>
      </c>
      <c r="C278" s="1759"/>
      <c r="D278" s="1760"/>
      <c r="E278" s="678" t="str">
        <f>IF(AND(C272&gt;0),AVERAGE(D272,D276,H276),"")</f>
        <v/>
      </c>
      <c r="F278" s="38"/>
      <c r="G278" s="38"/>
      <c r="H278" s="1159"/>
      <c r="I278" s="38"/>
      <c r="J278" s="38"/>
      <c r="K278" s="5"/>
      <c r="L278" s="5"/>
      <c r="M278" s="5"/>
      <c r="N278" s="5"/>
      <c r="O278" s="5"/>
      <c r="P278" s="5"/>
      <c r="Q278" s="5"/>
      <c r="R278" s="5"/>
      <c r="S278" s="5"/>
      <c r="T278" s="5"/>
      <c r="U278" s="5"/>
      <c r="V278" s="5"/>
      <c r="W278" s="13"/>
      <c r="X278" s="13"/>
      <c r="AB278" s="13"/>
      <c r="AC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c r="BE278" s="13"/>
      <c r="BF278" s="13"/>
      <c r="BG278" s="13"/>
      <c r="BH278" s="13"/>
      <c r="BI278" s="13"/>
      <c r="BJ278" s="13"/>
      <c r="BK278" s="13"/>
      <c r="BL278" s="13"/>
      <c r="BM278" s="13"/>
      <c r="BN278" s="13"/>
      <c r="BO278" s="13"/>
      <c r="BP278" s="13"/>
      <c r="BQ278" s="13"/>
      <c r="BR278" s="13"/>
      <c r="BS278" s="13"/>
      <c r="BT278" s="13"/>
      <c r="BU278" s="13"/>
      <c r="BV278" s="13"/>
      <c r="BW278" s="13"/>
      <c r="BX278" s="13"/>
      <c r="BY278" s="13"/>
      <c r="BZ278" s="13"/>
      <c r="CA278" s="13"/>
      <c r="CB278" s="13"/>
      <c r="CC278" s="13"/>
      <c r="CD278" s="13"/>
      <c r="CE278" s="13"/>
      <c r="CF278" s="13"/>
      <c r="CG278" s="13"/>
      <c r="CH278" s="13"/>
      <c r="CI278" s="13"/>
      <c r="CJ278" s="13"/>
      <c r="CK278" s="13"/>
      <c r="CL278" s="13"/>
      <c r="CM278" s="13"/>
      <c r="CN278" s="13"/>
      <c r="CO278" s="13"/>
      <c r="CP278" s="13"/>
      <c r="CQ278" s="13"/>
    </row>
    <row r="279" spans="1:95" ht="16.5" customHeight="1" x14ac:dyDescent="0.2">
      <c r="A279" s="13"/>
      <c r="B279" s="1155"/>
      <c r="C279" s="38"/>
      <c r="D279" s="38"/>
      <c r="E279" s="38"/>
      <c r="F279" s="38"/>
      <c r="G279" s="38"/>
      <c r="H279" s="1002"/>
      <c r="I279" s="38"/>
      <c r="J279" s="38"/>
      <c r="K279" s="5"/>
      <c r="L279" s="5"/>
      <c r="M279" s="5"/>
      <c r="N279" s="5"/>
      <c r="O279" s="5"/>
      <c r="P279" s="5"/>
      <c r="Q279" s="5"/>
      <c r="R279" s="5"/>
      <c r="S279" s="5"/>
      <c r="T279" s="5"/>
      <c r="U279" s="5"/>
      <c r="V279" s="5"/>
      <c r="W279" s="13"/>
      <c r="X279" s="13"/>
      <c r="AB279" s="13"/>
      <c r="AC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c r="BE279" s="13"/>
      <c r="BF279" s="13"/>
      <c r="BG279" s="13"/>
      <c r="BH279" s="13"/>
      <c r="BI279" s="13"/>
      <c r="BJ279" s="13"/>
      <c r="BK279" s="13"/>
      <c r="BL279" s="13"/>
      <c r="BM279" s="13"/>
      <c r="BN279" s="13"/>
      <c r="BO279" s="13"/>
      <c r="BP279" s="13"/>
      <c r="BQ279" s="13"/>
      <c r="BR279" s="13"/>
      <c r="BS279" s="13"/>
      <c r="BT279" s="13"/>
      <c r="BU279" s="13"/>
      <c r="BV279" s="13"/>
      <c r="BW279" s="13"/>
      <c r="BX279" s="13"/>
      <c r="BY279" s="13"/>
      <c r="BZ279" s="13"/>
      <c r="CA279" s="13"/>
      <c r="CB279" s="13"/>
      <c r="CC279" s="13"/>
      <c r="CD279" s="13"/>
      <c r="CE279" s="13"/>
      <c r="CF279" s="13"/>
      <c r="CG279" s="13"/>
      <c r="CH279" s="13"/>
      <c r="CI279" s="13"/>
      <c r="CJ279" s="13"/>
      <c r="CK279" s="13"/>
      <c r="CL279" s="13"/>
      <c r="CM279" s="13"/>
      <c r="CN279" s="13"/>
      <c r="CO279" s="13"/>
      <c r="CP279" s="13"/>
      <c r="CQ279" s="13"/>
    </row>
    <row r="280" spans="1:95" ht="16.5" customHeight="1" x14ac:dyDescent="0.2">
      <c r="A280" s="13"/>
      <c r="B280" s="1758" t="s">
        <v>476</v>
      </c>
      <c r="C280" s="1759"/>
      <c r="D280" s="1760"/>
      <c r="E280" s="678">
        <f>IF(E278="",'GUIA DE APLICAÇÃO'!F949,((('GUIA DE APLICAÇÃO'!F949*2)+E278)/3))</f>
        <v>0</v>
      </c>
      <c r="F280" s="1156"/>
      <c r="G280" s="1157"/>
      <c r="H280" s="1158"/>
      <c r="I280" s="38"/>
      <c r="J280" s="38"/>
      <c r="K280" s="5"/>
      <c r="L280" s="5"/>
      <c r="M280" s="5"/>
      <c r="N280" s="5"/>
      <c r="O280" s="5"/>
      <c r="P280" s="5"/>
      <c r="Q280" s="5"/>
      <c r="R280" s="5"/>
      <c r="S280" s="5"/>
      <c r="T280" s="5"/>
      <c r="U280" s="5"/>
      <c r="V280" s="5"/>
      <c r="W280" s="13"/>
      <c r="X280" s="13"/>
      <c r="AB280" s="13"/>
      <c r="AC280" s="13"/>
      <c r="AH280" s="13"/>
      <c r="AI280" s="13"/>
      <c r="AJ280" s="13"/>
      <c r="AK280" s="13"/>
      <c r="AL280" s="13"/>
      <c r="AM280" s="13"/>
      <c r="AN280" s="13"/>
      <c r="AO280" s="13"/>
      <c r="AP280" s="13"/>
      <c r="AQ280" s="13"/>
      <c r="AR280" s="13"/>
      <c r="AS280" s="13"/>
      <c r="AT280" s="13"/>
      <c r="AU280" s="13"/>
      <c r="AV280" s="13"/>
      <c r="AW280" s="13"/>
      <c r="AX280" s="13"/>
      <c r="AY280" s="13"/>
      <c r="AZ280" s="13"/>
      <c r="BA280" s="13"/>
      <c r="BB280" s="13"/>
      <c r="BC280" s="13"/>
      <c r="BD280" s="13"/>
      <c r="BE280" s="13"/>
      <c r="BF280" s="13"/>
      <c r="BG280" s="13"/>
      <c r="BH280" s="13"/>
      <c r="BI280" s="13"/>
      <c r="BJ280" s="13"/>
      <c r="BK280" s="13"/>
      <c r="BL280" s="13"/>
      <c r="BM280" s="13"/>
      <c r="BN280" s="13"/>
      <c r="BO280" s="13"/>
      <c r="BP280" s="13"/>
      <c r="BQ280" s="13"/>
      <c r="BR280" s="13"/>
      <c r="BS280" s="13"/>
      <c r="BT280" s="13"/>
      <c r="BU280" s="13"/>
      <c r="BV280" s="13"/>
      <c r="BW280" s="13"/>
      <c r="BX280" s="13"/>
      <c r="BY280" s="13"/>
      <c r="BZ280" s="13"/>
      <c r="CA280" s="13"/>
      <c r="CB280" s="13"/>
      <c r="CC280" s="13"/>
      <c r="CD280" s="13"/>
      <c r="CE280" s="13"/>
      <c r="CF280" s="13"/>
      <c r="CG280" s="13"/>
      <c r="CH280" s="13"/>
      <c r="CI280" s="13"/>
      <c r="CJ280" s="13"/>
      <c r="CK280" s="13"/>
      <c r="CL280" s="13"/>
      <c r="CM280" s="13"/>
      <c r="CN280" s="13"/>
      <c r="CO280" s="13"/>
      <c r="CP280" s="13"/>
      <c r="CQ280" s="13"/>
    </row>
    <row r="281" spans="1:95" ht="14.25" customHeight="1" x14ac:dyDescent="0.2">
      <c r="A281" s="13"/>
      <c r="B281" s="50"/>
      <c r="C281" s="38"/>
      <c r="D281" s="38"/>
      <c r="E281" s="38"/>
      <c r="F281" s="38"/>
      <c r="G281" s="38"/>
      <c r="H281" s="38"/>
      <c r="I281" s="38"/>
      <c r="J281" s="38"/>
      <c r="K281" s="5"/>
      <c r="L281" s="5"/>
      <c r="M281" s="5"/>
      <c r="N281" s="5"/>
      <c r="O281" s="5"/>
      <c r="P281" s="5"/>
      <c r="Q281" s="5"/>
      <c r="R281" s="5"/>
      <c r="S281" s="5"/>
      <c r="T281" s="5"/>
      <c r="U281" s="5"/>
      <c r="V281" s="5"/>
      <c r="W281" s="13"/>
      <c r="X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c r="BE281" s="13"/>
      <c r="BF281" s="13"/>
      <c r="BG281" s="13"/>
      <c r="BH281" s="13"/>
      <c r="BI281" s="13"/>
      <c r="BJ281" s="13"/>
      <c r="BK281" s="13"/>
      <c r="BL281" s="13"/>
      <c r="BM281" s="13"/>
      <c r="BN281" s="13"/>
      <c r="BO281" s="13"/>
      <c r="BP281" s="13"/>
      <c r="BQ281" s="13"/>
      <c r="BR281" s="13"/>
      <c r="BS281" s="13"/>
      <c r="BT281" s="13"/>
      <c r="BU281" s="13"/>
      <c r="BV281" s="13"/>
      <c r="BW281" s="13"/>
      <c r="BX281" s="13"/>
      <c r="BY281" s="13"/>
      <c r="BZ281" s="13"/>
      <c r="CA281" s="13"/>
      <c r="CB281" s="13"/>
      <c r="CC281" s="13"/>
      <c r="CD281" s="13"/>
      <c r="CE281" s="13"/>
      <c r="CF281" s="13"/>
      <c r="CG281" s="13"/>
      <c r="CH281" s="13"/>
      <c r="CI281" s="13"/>
      <c r="CJ281" s="13"/>
      <c r="CK281" s="13"/>
      <c r="CL281" s="13"/>
      <c r="CM281" s="13"/>
      <c r="CN281" s="13"/>
      <c r="CO281" s="13"/>
      <c r="CP281" s="13"/>
      <c r="CQ281" s="13"/>
    </row>
    <row r="282" spans="1:95" ht="12.75" customHeight="1" x14ac:dyDescent="0.2">
      <c r="A282" s="13"/>
      <c r="B282" s="50"/>
      <c r="C282" s="38"/>
      <c r="D282" s="38"/>
      <c r="E282" s="38"/>
      <c r="F282" s="38"/>
      <c r="G282" s="38"/>
      <c r="H282" s="38"/>
      <c r="I282" s="38"/>
      <c r="J282" s="38"/>
      <c r="K282" s="5"/>
      <c r="L282" s="5"/>
      <c r="M282" s="5"/>
      <c r="N282" s="5"/>
      <c r="O282" s="5"/>
      <c r="P282" s="5"/>
      <c r="Q282" s="5"/>
      <c r="R282" s="5"/>
      <c r="S282" s="5"/>
      <c r="T282" s="5"/>
      <c r="U282" s="5"/>
      <c r="V282" s="5"/>
      <c r="W282" s="13"/>
      <c r="X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c r="AY282" s="13"/>
      <c r="AZ282" s="13"/>
      <c r="BA282" s="13"/>
      <c r="BB282" s="13"/>
      <c r="BC282" s="13"/>
      <c r="BD282" s="13"/>
      <c r="BE282" s="13"/>
      <c r="BF282" s="13"/>
      <c r="BG282" s="13"/>
      <c r="BH282" s="13"/>
      <c r="BI282" s="13"/>
      <c r="BJ282" s="13"/>
      <c r="BK282" s="13"/>
      <c r="BL282" s="13"/>
      <c r="BM282" s="13"/>
      <c r="BN282" s="13"/>
      <c r="BO282" s="13"/>
      <c r="BP282" s="13"/>
      <c r="BQ282" s="13"/>
      <c r="BR282" s="13"/>
      <c r="BS282" s="13"/>
      <c r="BT282" s="13"/>
      <c r="BU282" s="13"/>
      <c r="BV282" s="13"/>
      <c r="BW282" s="13"/>
      <c r="BX282" s="13"/>
      <c r="BY282" s="13"/>
      <c r="BZ282" s="13"/>
      <c r="CA282" s="13"/>
      <c r="CB282" s="13"/>
      <c r="CC282" s="13"/>
      <c r="CD282" s="13"/>
      <c r="CE282" s="13"/>
      <c r="CF282" s="13"/>
      <c r="CG282" s="13"/>
      <c r="CH282" s="13"/>
      <c r="CI282" s="13"/>
      <c r="CJ282" s="13"/>
      <c r="CK282" s="13"/>
      <c r="CL282" s="13"/>
      <c r="CM282" s="13"/>
      <c r="CN282" s="13"/>
      <c r="CO282" s="13"/>
      <c r="CP282" s="13"/>
      <c r="CQ282" s="13"/>
    </row>
    <row r="283" spans="1:95" ht="20.25" customHeight="1" x14ac:dyDescent="0.2">
      <c r="A283" s="660">
        <v>14</v>
      </c>
      <c r="B283" s="703" t="s">
        <v>477</v>
      </c>
      <c r="C283" s="607"/>
      <c r="D283" s="607"/>
      <c r="E283" s="607"/>
      <c r="F283" s="607"/>
      <c r="G283" s="607"/>
      <c r="H283" s="527"/>
      <c r="I283" s="101"/>
      <c r="J283" s="145"/>
      <c r="K283" s="145"/>
      <c r="L283" s="145"/>
      <c r="M283" s="145"/>
      <c r="N283" s="145"/>
      <c r="O283" s="145"/>
      <c r="P283" s="145"/>
      <c r="Q283" s="145"/>
      <c r="R283" s="145"/>
      <c r="S283" s="145"/>
      <c r="T283" s="145"/>
      <c r="U283" s="137"/>
      <c r="V283" s="137"/>
      <c r="W283" s="38"/>
      <c r="X283" s="38"/>
      <c r="Y283" s="38"/>
      <c r="Z283" s="38"/>
      <c r="AA283" s="38"/>
      <c r="AB283" s="38"/>
      <c r="AC283" s="38"/>
      <c r="AD283" s="38"/>
      <c r="AE283" s="38"/>
      <c r="AF283" s="38"/>
      <c r="AG283" s="13"/>
      <c r="AH283" s="13"/>
      <c r="AI283" s="13"/>
      <c r="AJ283" s="13"/>
      <c r="AK283" s="13"/>
      <c r="AL283" s="13"/>
      <c r="AM283" s="13"/>
      <c r="AN283" s="13"/>
      <c r="AO283" s="13"/>
      <c r="AP283" s="13"/>
      <c r="AQ283" s="13"/>
      <c r="AR283" s="13"/>
      <c r="AS283" s="13"/>
      <c r="AT283" s="13"/>
      <c r="AU283" s="13"/>
      <c r="AV283" s="13"/>
      <c r="AW283" s="13"/>
      <c r="AX283" s="13"/>
      <c r="AY283" s="13"/>
      <c r="AZ283" s="13"/>
      <c r="BA283" s="13"/>
      <c r="BB283" s="13"/>
      <c r="BC283" s="13"/>
      <c r="BD283" s="13"/>
      <c r="BE283" s="13"/>
      <c r="BF283" s="13"/>
      <c r="BG283" s="13"/>
      <c r="BH283" s="13"/>
      <c r="BI283" s="13"/>
      <c r="BJ283" s="13"/>
      <c r="BK283" s="13"/>
      <c r="BL283" s="13"/>
      <c r="BM283" s="13"/>
      <c r="BN283" s="13"/>
      <c r="BO283" s="13"/>
      <c r="BP283" s="13"/>
      <c r="BQ283" s="13"/>
      <c r="BR283" s="13"/>
      <c r="BS283" s="13"/>
      <c r="BT283" s="13"/>
      <c r="BU283" s="13"/>
      <c r="BV283" s="13"/>
      <c r="BW283" s="13"/>
      <c r="BX283" s="13"/>
      <c r="BY283" s="13"/>
      <c r="BZ283" s="13"/>
      <c r="CA283" s="13"/>
      <c r="CB283" s="13"/>
      <c r="CC283" s="13"/>
      <c r="CD283" s="13"/>
      <c r="CE283" s="13"/>
      <c r="CF283" s="13"/>
      <c r="CG283" s="13"/>
      <c r="CH283" s="13"/>
      <c r="CI283" s="13"/>
      <c r="CJ283" s="13"/>
      <c r="CK283" s="13"/>
      <c r="CL283" s="13"/>
      <c r="CM283" s="13"/>
      <c r="CN283" s="13"/>
      <c r="CO283" s="13"/>
      <c r="CP283" s="13"/>
      <c r="CQ283" s="13"/>
    </row>
    <row r="284" spans="1:95" ht="16.5" customHeight="1" x14ac:dyDescent="0.2">
      <c r="A284" s="13"/>
      <c r="B284" s="93"/>
      <c r="C284" s="38"/>
      <c r="D284" s="38"/>
      <c r="E284" s="1769" t="s">
        <v>478</v>
      </c>
      <c r="F284" s="1770"/>
      <c r="G284" s="1770"/>
      <c r="H284" s="1771"/>
      <c r="I284" s="694"/>
      <c r="J284" s="38"/>
      <c r="K284" s="38"/>
      <c r="L284" s="38"/>
      <c r="M284" s="38"/>
      <c r="N284" s="38"/>
      <c r="O284" s="38"/>
      <c r="P284" s="38"/>
      <c r="Q284" s="38"/>
      <c r="R284" s="38"/>
      <c r="S284" s="38"/>
      <c r="T284" s="38"/>
      <c r="U284" s="38"/>
      <c r="V284" s="38"/>
      <c r="W284" s="38"/>
      <c r="X284" s="38"/>
      <c r="Y284" s="38"/>
      <c r="Z284" s="38"/>
      <c r="AA284" s="38"/>
      <c r="AB284" s="38"/>
      <c r="AC284" s="38"/>
      <c r="AD284" s="38"/>
      <c r="AE284" s="38"/>
      <c r="AF284" s="13"/>
      <c r="AG284" s="13"/>
      <c r="AH284" s="13"/>
      <c r="AI284" s="13"/>
      <c r="AJ284" s="13"/>
      <c r="AK284" s="245"/>
      <c r="AL284" s="38"/>
      <c r="AM284" s="13"/>
      <c r="AN284" s="13"/>
      <c r="AO284" s="38"/>
      <c r="AP284" s="38"/>
      <c r="AQ284" s="38"/>
      <c r="AR284" s="38"/>
      <c r="AS284" s="38"/>
      <c r="AT284" s="38"/>
      <c r="AU284" s="38"/>
      <c r="AV284" s="38"/>
      <c r="AW284" s="38"/>
      <c r="AX284" s="38"/>
      <c r="AY284" s="38"/>
      <c r="AZ284" s="38"/>
      <c r="BA284" s="38"/>
      <c r="BB284" s="38"/>
      <c r="BC284" s="38"/>
      <c r="BD284" s="38"/>
      <c r="BE284" s="38"/>
      <c r="BF284" s="38"/>
      <c r="BG284" s="38"/>
      <c r="BH284" s="38"/>
      <c r="BI284" s="38"/>
      <c r="BJ284" s="38"/>
      <c r="BK284" s="38"/>
      <c r="BL284" s="38"/>
      <c r="BM284" s="38"/>
      <c r="BN284" s="38"/>
      <c r="BO284" s="13"/>
      <c r="BP284" s="13"/>
      <c r="BQ284" s="13"/>
      <c r="BR284" s="13"/>
      <c r="BS284" s="13"/>
      <c r="BT284" s="13"/>
      <c r="BU284" s="13"/>
      <c r="BV284" s="13"/>
      <c r="BW284" s="13"/>
      <c r="BX284" s="13"/>
      <c r="BY284" s="13"/>
      <c r="BZ284" s="13"/>
      <c r="CA284" s="13"/>
      <c r="CB284" s="13"/>
      <c r="CC284" s="13"/>
      <c r="CD284" s="13"/>
      <c r="CE284" s="13"/>
      <c r="CF284" s="13"/>
      <c r="CG284" s="13"/>
      <c r="CH284" s="13"/>
      <c r="CI284" s="13"/>
      <c r="CJ284" s="13"/>
      <c r="CK284" s="13"/>
      <c r="CL284" s="13"/>
      <c r="CM284" s="13"/>
      <c r="CN284" s="13"/>
      <c r="CO284" s="13"/>
      <c r="CP284" s="13"/>
      <c r="CQ284" s="13"/>
    </row>
    <row r="285" spans="1:95" ht="18.75" customHeight="1" x14ac:dyDescent="0.2">
      <c r="A285" s="13"/>
      <c r="B285" s="1765" t="s">
        <v>479</v>
      </c>
      <c r="C285" s="1766"/>
      <c r="D285" s="1241"/>
      <c r="E285" s="421"/>
      <c r="F285" s="421"/>
      <c r="G285" s="421"/>
      <c r="H285" s="424"/>
      <c r="I285" s="38"/>
      <c r="J285" s="38"/>
      <c r="K285" s="38"/>
      <c r="L285" s="38"/>
      <c r="M285" s="38"/>
      <c r="N285" s="38"/>
      <c r="O285" s="38"/>
      <c r="P285" s="38"/>
      <c r="Q285" s="38"/>
      <c r="R285" s="38"/>
      <c r="S285" s="38"/>
      <c r="T285" s="38"/>
      <c r="U285" s="38"/>
      <c r="V285" s="38"/>
      <c r="W285" s="38"/>
      <c r="X285" s="38"/>
      <c r="AI285" s="13"/>
      <c r="AJ285" s="13"/>
      <c r="AK285" s="245"/>
      <c r="AL285" s="38"/>
      <c r="AM285" s="13"/>
      <c r="AN285" s="13"/>
      <c r="AO285" s="38"/>
      <c r="AP285" s="38"/>
      <c r="AQ285" s="38"/>
      <c r="AR285" s="38"/>
      <c r="AS285" s="38"/>
      <c r="AT285" s="38"/>
      <c r="AU285" s="38"/>
      <c r="AV285" s="38"/>
      <c r="AW285" s="38"/>
      <c r="AX285" s="38"/>
      <c r="AY285" s="38"/>
      <c r="AZ285" s="38"/>
      <c r="BA285" s="38"/>
      <c r="BB285" s="38"/>
      <c r="BC285" s="38"/>
      <c r="BD285" s="38"/>
      <c r="BR285" s="186"/>
      <c r="BS285" s="186"/>
      <c r="BT285" s="186"/>
      <c r="BU285" s="186"/>
      <c r="BV285" s="186"/>
      <c r="BW285" s="186"/>
      <c r="BX285" s="186"/>
      <c r="BY285" s="186"/>
      <c r="BZ285" s="186"/>
      <c r="CA285" s="186"/>
      <c r="CB285" s="186"/>
      <c r="CC285" s="186"/>
      <c r="CD285" s="186"/>
      <c r="CE285" s="186"/>
      <c r="CF285" s="186"/>
      <c r="CG285" s="186"/>
      <c r="CH285" s="186"/>
      <c r="CI285" s="186"/>
      <c r="CJ285" s="113"/>
      <c r="CK285" s="13"/>
      <c r="CL285" s="13"/>
      <c r="CM285" s="13"/>
      <c r="CN285" s="13"/>
      <c r="CO285" s="13"/>
      <c r="CP285" s="13"/>
      <c r="CQ285" s="13"/>
    </row>
    <row r="286" spans="1:95" ht="18.75" customHeight="1" x14ac:dyDescent="0.2">
      <c r="A286" s="13"/>
      <c r="B286" s="1732" t="s">
        <v>480</v>
      </c>
      <c r="C286" s="1733"/>
      <c r="D286" s="417"/>
      <c r="E286" s="418"/>
      <c r="F286" s="418"/>
      <c r="G286" s="418"/>
      <c r="H286" s="426"/>
      <c r="I286" s="38"/>
      <c r="J286" s="38"/>
      <c r="K286" s="38"/>
      <c r="L286" s="38"/>
      <c r="M286" s="38"/>
      <c r="N286" s="38"/>
      <c r="O286" s="38"/>
      <c r="P286" s="38"/>
      <c r="Q286" s="38"/>
      <c r="R286" s="38"/>
      <c r="S286" s="38"/>
      <c r="T286" s="38"/>
      <c r="U286" s="38"/>
      <c r="V286" s="38"/>
      <c r="W286" s="38"/>
      <c r="X286" s="38"/>
      <c r="AI286" s="13"/>
      <c r="AJ286" s="13"/>
      <c r="AK286" s="245"/>
      <c r="AL286" s="38"/>
      <c r="AM286" s="13"/>
      <c r="AN286" s="13"/>
      <c r="AO286" s="38"/>
      <c r="AP286" s="38"/>
      <c r="AQ286" s="38"/>
      <c r="AR286" s="38"/>
      <c r="AS286" s="38"/>
      <c r="AT286" s="38"/>
      <c r="AU286" s="38"/>
      <c r="AV286" s="38"/>
      <c r="AW286" s="38"/>
      <c r="AX286" s="38"/>
      <c r="AY286" s="38"/>
      <c r="AZ286" s="38"/>
      <c r="BA286" s="38"/>
      <c r="BB286" s="38"/>
      <c r="BC286" s="38"/>
      <c r="BD286" s="38"/>
      <c r="BR286" s="38"/>
      <c r="BS286" s="38"/>
      <c r="BT286" s="38"/>
      <c r="BU286" s="38"/>
      <c r="BV286" s="38"/>
      <c r="BW286" s="38"/>
      <c r="BX286" s="38"/>
      <c r="BY286" s="38"/>
      <c r="BZ286" s="38"/>
      <c r="CA286" s="38"/>
      <c r="CB286" s="38"/>
      <c r="CC286" s="38"/>
      <c r="CD286" s="38"/>
      <c r="CE286" s="38"/>
      <c r="CF286" s="38"/>
      <c r="CG286" s="38"/>
      <c r="CH286" s="38"/>
      <c r="CI286" s="38"/>
      <c r="CJ286" s="94"/>
      <c r="CK286" s="13"/>
      <c r="CL286" s="13"/>
      <c r="CM286" s="13"/>
      <c r="CN286" s="13"/>
      <c r="CO286" s="13"/>
      <c r="CP286" s="13"/>
      <c r="CQ286" s="13"/>
    </row>
    <row r="287" spans="1:95" ht="18.75" customHeight="1" x14ac:dyDescent="0.2">
      <c r="A287" s="13"/>
      <c r="B287" s="1732" t="s">
        <v>481</v>
      </c>
      <c r="C287" s="1733"/>
      <c r="D287" s="1233"/>
      <c r="E287" s="1259"/>
      <c r="F287" s="1259"/>
      <c r="G287" s="1259"/>
      <c r="H287" s="1234"/>
      <c r="I287" s="38"/>
      <c r="J287" s="38"/>
      <c r="K287" s="38"/>
      <c r="L287" s="38"/>
      <c r="M287" s="38"/>
      <c r="N287" s="38"/>
      <c r="O287" s="38"/>
      <c r="P287" s="38"/>
      <c r="Q287" s="38"/>
      <c r="R287" s="38"/>
      <c r="S287" s="38"/>
      <c r="T287" s="38"/>
      <c r="U287" s="38"/>
      <c r="V287" s="38"/>
      <c r="W287" s="38"/>
      <c r="X287" s="38"/>
      <c r="AI287" s="13"/>
      <c r="AJ287" s="13"/>
      <c r="AK287" s="245"/>
      <c r="AL287" s="38"/>
      <c r="AM287" s="13"/>
      <c r="AN287" s="13"/>
      <c r="AO287" s="38"/>
      <c r="AP287" s="38"/>
      <c r="AQ287" s="38"/>
      <c r="AR287" s="38"/>
      <c r="AS287" s="38"/>
      <c r="AT287" s="38"/>
      <c r="AU287" s="38"/>
      <c r="AV287" s="38"/>
      <c r="AW287" s="38"/>
      <c r="AX287" s="38"/>
      <c r="AY287" s="38"/>
      <c r="AZ287" s="38"/>
      <c r="BA287" s="38"/>
      <c r="BB287" s="38"/>
      <c r="BC287" s="38"/>
      <c r="BD287" s="38"/>
      <c r="BT287" s="246"/>
      <c r="CJ287" s="94"/>
      <c r="CK287" s="13"/>
      <c r="CL287" s="13"/>
      <c r="CM287" s="13"/>
      <c r="CN287" s="13"/>
      <c r="CO287" s="13"/>
      <c r="CP287" s="13"/>
      <c r="CQ287" s="13"/>
    </row>
    <row r="288" spans="1:95" ht="18" customHeight="1" x14ac:dyDescent="0.2">
      <c r="A288" s="13"/>
      <c r="B288" s="1727" t="s">
        <v>482</v>
      </c>
      <c r="C288" s="1727"/>
      <c r="D288" s="1235"/>
      <c r="E288" s="1236"/>
      <c r="F288" s="1236"/>
      <c r="G288" s="1231"/>
      <c r="H288" s="1237"/>
      <c r="I288" s="38"/>
      <c r="J288" s="38"/>
      <c r="K288" s="38"/>
      <c r="L288" s="38"/>
      <c r="M288" s="38"/>
      <c r="N288" s="38"/>
      <c r="O288" s="38"/>
      <c r="P288" s="38"/>
      <c r="Q288" s="38"/>
      <c r="R288" s="38"/>
      <c r="S288" s="38"/>
      <c r="T288" s="38"/>
      <c r="U288" s="38"/>
      <c r="V288" s="38"/>
      <c r="W288" s="38"/>
      <c r="X288" s="38"/>
      <c r="AI288" s="13"/>
      <c r="AJ288" s="13"/>
      <c r="AK288" s="245"/>
      <c r="AL288" s="38"/>
      <c r="AM288" s="13"/>
      <c r="AN288" s="13"/>
      <c r="AO288" s="38"/>
      <c r="AP288" s="38"/>
      <c r="AQ288" s="38"/>
      <c r="AR288" s="38"/>
      <c r="AS288" s="38"/>
      <c r="AT288" s="38"/>
      <c r="AU288" s="38"/>
      <c r="AV288" s="38"/>
      <c r="AW288" s="38"/>
      <c r="AX288" s="38"/>
      <c r="AY288" s="38"/>
      <c r="AZ288" s="38"/>
      <c r="BA288" s="38"/>
      <c r="BB288" s="38"/>
      <c r="BC288" s="38"/>
      <c r="BD288" s="38"/>
      <c r="BT288" s="246"/>
      <c r="CJ288" s="94"/>
      <c r="CK288" s="13"/>
      <c r="CL288" s="13"/>
      <c r="CM288" s="13"/>
      <c r="CN288" s="13"/>
      <c r="CO288" s="13"/>
      <c r="CP288" s="13"/>
      <c r="CQ288" s="13"/>
    </row>
    <row r="289" spans="1:95" ht="13.5" customHeight="1" x14ac:dyDescent="0.2">
      <c r="A289" s="13"/>
      <c r="B289" s="1826" t="s">
        <v>483</v>
      </c>
      <c r="C289" s="1827"/>
      <c r="D289" s="1238">
        <f>+D288*D287</f>
        <v>0</v>
      </c>
      <c r="E289" s="1239">
        <f>+E288*E287</f>
        <v>0</v>
      </c>
      <c r="F289" s="1239">
        <f>+F288*F287</f>
        <v>0</v>
      </c>
      <c r="G289" s="1239">
        <f>+G288*G287</f>
        <v>0</v>
      </c>
      <c r="H289" s="1240">
        <f>+H288*H287</f>
        <v>0</v>
      </c>
      <c r="I289" s="694"/>
      <c r="J289" s="38"/>
      <c r="K289" s="38"/>
      <c r="L289" s="38"/>
      <c r="M289" s="38"/>
      <c r="N289" s="38"/>
      <c r="O289" s="38"/>
      <c r="P289" s="38"/>
      <c r="Q289" s="38"/>
      <c r="R289" s="38"/>
      <c r="S289" s="38"/>
      <c r="T289" s="38"/>
      <c r="U289" s="38"/>
      <c r="V289" s="38"/>
      <c r="W289" s="38"/>
      <c r="X289" s="38"/>
      <c r="AI289" s="13"/>
      <c r="AJ289" s="13"/>
      <c r="AK289" s="245"/>
      <c r="AL289" s="38"/>
      <c r="AM289" s="13"/>
      <c r="AN289" s="13"/>
      <c r="AO289" s="38"/>
      <c r="AP289" s="38"/>
      <c r="AQ289" s="38"/>
      <c r="AR289" s="38"/>
      <c r="AS289" s="38"/>
      <c r="AT289" s="38"/>
      <c r="AU289" s="38"/>
      <c r="AV289" s="38"/>
      <c r="AW289" s="38"/>
      <c r="AX289" s="38"/>
      <c r="AY289" s="38"/>
      <c r="AZ289" s="38"/>
      <c r="BA289" s="38"/>
      <c r="BB289" s="38"/>
      <c r="BC289" s="38"/>
      <c r="BD289" s="38"/>
      <c r="BT289" s="246"/>
      <c r="CJ289" s="94"/>
      <c r="CK289" s="13"/>
      <c r="CL289" s="13"/>
      <c r="CM289" s="13"/>
      <c r="CN289" s="13"/>
      <c r="CO289" s="13"/>
      <c r="CP289" s="13"/>
      <c r="CQ289" s="13"/>
    </row>
    <row r="290" spans="1:95" ht="16.5" customHeight="1" x14ac:dyDescent="0.2">
      <c r="A290" s="13"/>
      <c r="B290" s="93"/>
      <c r="C290" s="248"/>
      <c r="D290" s="1783" t="s">
        <v>484</v>
      </c>
      <c r="E290" s="1783"/>
      <c r="F290" s="38"/>
      <c r="G290" s="38"/>
      <c r="H290" s="38"/>
      <c r="I290" s="101"/>
      <c r="J290" s="38"/>
      <c r="K290" s="38"/>
      <c r="L290" s="38"/>
      <c r="M290" s="38"/>
      <c r="N290" s="38"/>
      <c r="O290" s="38"/>
      <c r="P290" s="38"/>
      <c r="Q290" s="38"/>
      <c r="R290" s="38"/>
      <c r="S290" s="38"/>
      <c r="T290" s="38"/>
      <c r="U290" s="38"/>
      <c r="V290" s="38"/>
      <c r="W290" s="38"/>
      <c r="X290" s="38"/>
      <c r="AI290" s="13"/>
      <c r="AJ290" s="13"/>
      <c r="AK290" s="245"/>
      <c r="AL290" s="38"/>
      <c r="AM290" s="13"/>
      <c r="AN290" s="13"/>
      <c r="AO290" s="38"/>
      <c r="AP290" s="38"/>
      <c r="AQ290" s="38"/>
      <c r="AR290" s="38"/>
      <c r="AS290" s="38"/>
      <c r="AT290" s="38"/>
      <c r="AU290" s="38"/>
      <c r="AV290" s="38"/>
      <c r="AW290" s="38"/>
      <c r="AX290" s="38"/>
      <c r="AY290" s="38"/>
      <c r="AZ290" s="38"/>
      <c r="BA290" s="38"/>
      <c r="BB290" s="38"/>
      <c r="BC290" s="38"/>
      <c r="BD290" s="38"/>
      <c r="BR290" s="38"/>
      <c r="BS290" s="38"/>
      <c r="BT290" s="38"/>
      <c r="BU290" s="38"/>
      <c r="BV290" s="38"/>
      <c r="BW290" s="38"/>
      <c r="BX290" s="38"/>
      <c r="BY290" s="38"/>
      <c r="BZ290" s="38"/>
      <c r="CA290" s="38"/>
      <c r="CB290" s="38"/>
      <c r="CC290" s="38"/>
      <c r="CD290" s="38"/>
      <c r="CE290" s="38"/>
      <c r="CF290" s="38"/>
      <c r="CG290" s="38"/>
      <c r="CH290" s="38"/>
      <c r="CI290" s="38"/>
      <c r="CJ290" s="94"/>
      <c r="CK290" s="13"/>
      <c r="CL290" s="13"/>
      <c r="CM290" s="13"/>
      <c r="CN290" s="13"/>
      <c r="CO290" s="13"/>
      <c r="CP290" s="13"/>
      <c r="CQ290" s="13"/>
    </row>
    <row r="291" spans="1:95" ht="22.5" customHeight="1" x14ac:dyDescent="0.2">
      <c r="A291" s="13"/>
      <c r="B291" s="1765" t="s">
        <v>485</v>
      </c>
      <c r="C291" s="1766"/>
      <c r="D291" s="1253"/>
      <c r="E291" s="1253"/>
      <c r="F291" s="1253"/>
      <c r="G291" s="1253"/>
      <c r="H291" s="1498"/>
      <c r="I291" s="38"/>
      <c r="J291" s="38"/>
      <c r="K291" s="38"/>
      <c r="L291" s="38"/>
      <c r="M291" s="38"/>
      <c r="N291" s="38"/>
      <c r="O291" s="38"/>
      <c r="P291" s="38"/>
      <c r="Q291" s="38"/>
      <c r="R291" s="38"/>
      <c r="S291" s="38"/>
      <c r="T291" s="38"/>
      <c r="U291" s="38"/>
      <c r="V291" s="38"/>
      <c r="W291" s="38"/>
      <c r="X291" s="38"/>
      <c r="AI291" s="13"/>
      <c r="AJ291" s="13"/>
      <c r="AK291" s="245"/>
      <c r="AL291" s="38"/>
      <c r="AM291" s="13"/>
      <c r="AN291" s="13"/>
      <c r="AO291" s="38"/>
      <c r="AP291" s="38"/>
      <c r="AQ291" s="38"/>
      <c r="AR291" s="38"/>
      <c r="AS291" s="38"/>
      <c r="AT291" s="38"/>
      <c r="AU291" s="38"/>
      <c r="AV291" s="38"/>
      <c r="AW291" s="38"/>
      <c r="AX291" s="38"/>
      <c r="AY291" s="38"/>
      <c r="AZ291" s="38"/>
      <c r="BA291" s="38"/>
      <c r="BB291" s="38"/>
      <c r="BC291" s="38"/>
      <c r="BD291" s="38"/>
      <c r="BR291" s="38"/>
      <c r="BS291" s="38"/>
      <c r="BT291" s="38"/>
      <c r="BU291" s="38"/>
      <c r="BV291" s="38"/>
      <c r="BW291" s="38"/>
      <c r="BX291" s="38"/>
      <c r="BY291" s="38"/>
      <c r="BZ291" s="38"/>
      <c r="CA291" s="38"/>
      <c r="CB291" s="38"/>
      <c r="CC291" s="38"/>
      <c r="CD291" s="38"/>
      <c r="CE291" s="38"/>
      <c r="CF291" s="38"/>
      <c r="CG291" s="38"/>
      <c r="CH291" s="38"/>
      <c r="CI291" s="38"/>
      <c r="CJ291" s="94"/>
      <c r="CK291" s="13"/>
      <c r="CL291" s="13"/>
      <c r="CM291" s="13"/>
      <c r="CN291" s="13"/>
      <c r="CO291" s="13"/>
      <c r="CP291" s="13"/>
      <c r="CQ291" s="13"/>
    </row>
    <row r="292" spans="1:95" ht="17.25" customHeight="1" x14ac:dyDescent="0.2">
      <c r="A292" s="13"/>
      <c r="B292" s="1727" t="s">
        <v>486</v>
      </c>
      <c r="C292" s="1727"/>
      <c r="D292" s="1257"/>
      <c r="E292" s="1257"/>
      <c r="F292" s="1257"/>
      <c r="G292" s="1257"/>
      <c r="H292" s="1499"/>
      <c r="I292" s="38"/>
      <c r="J292" s="38"/>
      <c r="K292" s="38"/>
      <c r="L292" s="38"/>
      <c r="M292" s="38"/>
      <c r="N292" s="38"/>
      <c r="O292" s="38"/>
      <c r="P292" s="38"/>
      <c r="Q292" s="38"/>
      <c r="R292" s="38"/>
      <c r="S292" s="38"/>
      <c r="T292" s="38"/>
      <c r="U292" s="38"/>
      <c r="V292" s="38"/>
      <c r="W292" s="38"/>
      <c r="X292" s="38"/>
      <c r="AI292" s="13"/>
      <c r="AJ292" s="13"/>
      <c r="AK292" s="245"/>
      <c r="AL292" s="38"/>
      <c r="AM292" s="13"/>
      <c r="AN292" s="13"/>
      <c r="AO292" s="38"/>
      <c r="AP292" s="38"/>
      <c r="AQ292" s="38"/>
      <c r="AR292" s="38"/>
      <c r="AS292" s="38"/>
      <c r="AT292" s="38"/>
      <c r="AU292" s="38"/>
      <c r="AV292" s="38"/>
      <c r="AW292" s="38"/>
      <c r="AX292" s="38"/>
      <c r="AY292" s="38"/>
      <c r="AZ292" s="38"/>
      <c r="BA292" s="38"/>
      <c r="BB292" s="38"/>
      <c r="BC292" s="38"/>
      <c r="BD292" s="38"/>
      <c r="BR292" s="38"/>
      <c r="BS292" s="38"/>
      <c r="BT292" s="38"/>
      <c r="BU292" s="38"/>
      <c r="BV292" s="38"/>
      <c r="BW292" s="38"/>
      <c r="BX292" s="38"/>
      <c r="BY292" s="38"/>
      <c r="BZ292" s="38"/>
      <c r="CA292" s="38"/>
      <c r="CB292" s="38"/>
      <c r="CC292" s="38"/>
      <c r="CD292" s="38"/>
      <c r="CE292" s="38"/>
      <c r="CF292" s="38"/>
      <c r="CG292" s="38"/>
      <c r="CH292" s="38"/>
      <c r="CI292" s="38"/>
      <c r="CJ292" s="94"/>
      <c r="CK292" s="13"/>
      <c r="CL292" s="13"/>
      <c r="CM292" s="13"/>
      <c r="CN292" s="13"/>
      <c r="CO292" s="13"/>
      <c r="CP292" s="13"/>
      <c r="CQ292" s="13"/>
    </row>
    <row r="293" spans="1:95" ht="17.25" customHeight="1" x14ac:dyDescent="0.2">
      <c r="A293" s="13"/>
      <c r="B293" s="1727" t="s">
        <v>487</v>
      </c>
      <c r="C293" s="1727"/>
      <c r="D293" s="1258"/>
      <c r="E293" s="1258"/>
      <c r="F293" s="1258"/>
      <c r="G293" s="1258"/>
      <c r="H293" s="1500"/>
      <c r="I293" s="38"/>
      <c r="J293" s="38"/>
      <c r="K293" s="38"/>
      <c r="L293" s="38"/>
      <c r="M293" s="38"/>
      <c r="N293" s="38"/>
      <c r="O293" s="38"/>
      <c r="P293" s="38"/>
      <c r="Q293" s="38"/>
      <c r="R293" s="38"/>
      <c r="S293" s="38"/>
      <c r="T293" s="38"/>
      <c r="U293" s="38"/>
      <c r="V293" s="38"/>
      <c r="W293" s="38"/>
      <c r="X293" s="38"/>
      <c r="AI293" s="13"/>
      <c r="AJ293" s="13"/>
      <c r="AK293" s="245"/>
      <c r="AL293" s="38"/>
      <c r="AM293" s="13"/>
      <c r="AN293" s="13"/>
      <c r="AO293" s="38"/>
      <c r="AP293" s="38"/>
      <c r="AQ293" s="38"/>
      <c r="AR293" s="38"/>
      <c r="AS293" s="38"/>
      <c r="AT293" s="38"/>
      <c r="AU293" s="38"/>
      <c r="AV293" s="38"/>
      <c r="AW293" s="38"/>
      <c r="AX293" s="38"/>
      <c r="AY293" s="38"/>
      <c r="AZ293" s="38"/>
      <c r="BA293" s="38"/>
      <c r="BB293" s="38"/>
      <c r="BC293" s="38"/>
      <c r="BD293" s="38"/>
      <c r="BR293" s="38"/>
      <c r="BS293" s="38"/>
      <c r="BT293" s="38"/>
      <c r="BU293" s="38"/>
      <c r="BV293" s="38"/>
      <c r="BW293" s="38"/>
      <c r="BX293" s="38"/>
      <c r="BY293" s="38"/>
      <c r="BZ293" s="38"/>
      <c r="CA293" s="38"/>
      <c r="CB293" s="38"/>
      <c r="CC293" s="38"/>
      <c r="CD293" s="38"/>
      <c r="CE293" s="38"/>
      <c r="CF293" s="38"/>
      <c r="CG293" s="38"/>
      <c r="CH293" s="38"/>
      <c r="CI293" s="38"/>
      <c r="CJ293" s="94"/>
      <c r="CK293" s="13"/>
      <c r="CL293" s="13"/>
      <c r="CM293" s="13"/>
      <c r="CN293" s="13"/>
      <c r="CO293" s="13"/>
      <c r="CP293" s="13"/>
      <c r="CQ293" s="13"/>
    </row>
    <row r="294" spans="1:95" ht="14.25" customHeight="1" x14ac:dyDescent="0.2">
      <c r="A294" s="13"/>
      <c r="B294" s="1728" t="s">
        <v>488</v>
      </c>
      <c r="C294" s="1729"/>
      <c r="D294" s="1259"/>
      <c r="E294" s="1259"/>
      <c r="F294" s="1259"/>
      <c r="G294" s="1259"/>
      <c r="H294" s="1501"/>
      <c r="I294" s="38"/>
      <c r="J294" s="38"/>
      <c r="K294" s="38"/>
      <c r="L294" s="38"/>
      <c r="M294" s="38"/>
      <c r="N294" s="38"/>
      <c r="O294" s="38"/>
      <c r="P294" s="38"/>
      <c r="Q294" s="38"/>
      <c r="R294" s="38"/>
      <c r="S294" s="38"/>
      <c r="T294" s="38"/>
      <c r="U294" s="38"/>
      <c r="V294" s="38"/>
      <c r="W294" s="38"/>
      <c r="X294" s="38"/>
      <c r="AI294" s="13"/>
      <c r="AJ294" s="13"/>
      <c r="AK294" s="245"/>
      <c r="AL294" s="38"/>
      <c r="AM294" s="13"/>
      <c r="AN294" s="13"/>
      <c r="AO294" s="38"/>
      <c r="AP294" s="38"/>
      <c r="AQ294" s="38"/>
      <c r="AR294" s="38"/>
      <c r="AS294" s="38"/>
      <c r="AT294" s="38"/>
      <c r="AU294" s="38"/>
      <c r="AV294" s="38"/>
      <c r="AW294" s="38"/>
      <c r="AX294" s="38"/>
      <c r="AY294" s="38"/>
      <c r="AZ294" s="38"/>
      <c r="BA294" s="38"/>
      <c r="BB294" s="38"/>
      <c r="BC294" s="38"/>
      <c r="BD294" s="38"/>
      <c r="BR294" s="38"/>
      <c r="BS294" s="38"/>
      <c r="BT294" s="38"/>
      <c r="BU294" s="38"/>
      <c r="BV294" s="38"/>
      <c r="BW294" s="38"/>
      <c r="BX294" s="38"/>
      <c r="BY294" s="38"/>
      <c r="BZ294" s="38"/>
      <c r="CA294" s="38"/>
      <c r="CB294" s="38"/>
      <c r="CC294" s="38"/>
      <c r="CD294" s="38"/>
      <c r="CE294" s="38"/>
      <c r="CF294" s="38"/>
      <c r="CG294" s="38"/>
      <c r="CH294" s="38"/>
      <c r="CI294" s="38"/>
      <c r="CJ294" s="94"/>
      <c r="CK294" s="13"/>
      <c r="CL294" s="13"/>
      <c r="CM294" s="13"/>
      <c r="CN294" s="13"/>
      <c r="CO294" s="13"/>
      <c r="CP294" s="13"/>
      <c r="CQ294" s="13"/>
    </row>
    <row r="295" spans="1:95" ht="15.75" customHeight="1" x14ac:dyDescent="0.35">
      <c r="A295" s="13"/>
      <c r="B295" s="1727" t="s">
        <v>489</v>
      </c>
      <c r="C295" s="1727"/>
      <c r="D295" s="1262"/>
      <c r="E295" s="1260"/>
      <c r="F295" s="1260"/>
      <c r="G295" s="1260"/>
      <c r="H295" s="1502"/>
      <c r="I295" s="38"/>
      <c r="J295" s="38"/>
      <c r="K295" s="38"/>
      <c r="L295" s="38"/>
      <c r="M295" s="38"/>
      <c r="N295" s="38"/>
      <c r="O295" s="38"/>
      <c r="P295" s="38"/>
      <c r="Q295" s="38"/>
      <c r="R295" s="38"/>
      <c r="S295" s="38"/>
      <c r="T295" s="38"/>
      <c r="U295" s="38"/>
      <c r="V295" s="38"/>
      <c r="W295" s="38"/>
      <c r="X295" s="38"/>
      <c r="AI295" s="13"/>
      <c r="AJ295" s="13"/>
      <c r="AK295" s="245"/>
      <c r="AL295" s="38"/>
      <c r="AM295" s="13"/>
      <c r="AN295" s="13"/>
      <c r="AO295" s="38"/>
      <c r="AP295" s="38"/>
      <c r="AQ295" s="38"/>
      <c r="AR295" s="38"/>
      <c r="AS295" s="38"/>
      <c r="AT295" s="38"/>
      <c r="AU295" s="38"/>
      <c r="AV295" s="38"/>
      <c r="AW295" s="38"/>
      <c r="AX295" s="38"/>
      <c r="AY295" s="38"/>
      <c r="AZ295" s="38"/>
      <c r="BA295" s="38"/>
      <c r="BB295" s="38"/>
      <c r="BC295" s="38"/>
      <c r="BD295" s="38"/>
      <c r="BR295" s="38"/>
      <c r="BS295" s="38"/>
      <c r="BT295" s="38"/>
      <c r="BU295" s="38"/>
      <c r="BV295" s="38"/>
      <c r="BW295" s="38"/>
      <c r="BX295" s="38"/>
      <c r="BY295" s="38"/>
      <c r="BZ295" s="38"/>
      <c r="CA295" s="38"/>
      <c r="CB295" s="38"/>
      <c r="CC295" s="38"/>
      <c r="CD295" s="38"/>
      <c r="CE295" s="38"/>
      <c r="CF295" s="38"/>
      <c r="CG295" s="38"/>
      <c r="CH295" s="38"/>
      <c r="CI295" s="38"/>
      <c r="CJ295" s="94"/>
      <c r="CK295" s="13"/>
      <c r="CL295" s="13"/>
      <c r="CM295" s="13"/>
      <c r="CN295" s="13"/>
      <c r="CO295" s="13"/>
      <c r="CP295" s="13"/>
      <c r="CQ295" s="13"/>
    </row>
    <row r="296" spans="1:95" ht="15.75" customHeight="1" x14ac:dyDescent="0.35">
      <c r="A296" s="13"/>
      <c r="B296" s="1727" t="s">
        <v>490</v>
      </c>
      <c r="C296" s="1727"/>
      <c r="D296" s="1261"/>
      <c r="E296" s="1261"/>
      <c r="F296" s="1261"/>
      <c r="G296" s="1261"/>
      <c r="H296" s="1503"/>
      <c r="I296" s="38"/>
      <c r="J296" s="38"/>
      <c r="K296" s="38"/>
      <c r="L296" s="38"/>
      <c r="M296" s="38"/>
      <c r="N296" s="38"/>
      <c r="O296" s="38"/>
      <c r="P296" s="38"/>
      <c r="Q296" s="38"/>
      <c r="R296" s="38"/>
      <c r="S296" s="38"/>
      <c r="T296" s="38"/>
      <c r="U296" s="38"/>
      <c r="V296" s="38"/>
      <c r="W296" s="38"/>
      <c r="X296" s="38"/>
      <c r="AI296" s="13"/>
      <c r="AJ296" s="13"/>
      <c r="AK296" s="245"/>
      <c r="AL296" s="38"/>
      <c r="AM296" s="13"/>
      <c r="AN296" s="13"/>
      <c r="AO296" s="38"/>
      <c r="AP296" s="38"/>
      <c r="AQ296" s="38"/>
      <c r="AR296" s="38"/>
      <c r="AS296" s="38"/>
      <c r="AT296" s="38"/>
      <c r="AU296" s="38"/>
      <c r="AV296" s="38"/>
      <c r="AW296" s="38"/>
      <c r="AX296" s="38"/>
      <c r="AY296" s="38"/>
      <c r="AZ296" s="38"/>
      <c r="BA296" s="38"/>
      <c r="BB296" s="38"/>
      <c r="BC296" s="38"/>
      <c r="BD296" s="38"/>
      <c r="BE296" s="38"/>
      <c r="BF296" s="38"/>
      <c r="BG296" s="38"/>
      <c r="BH296" s="38"/>
      <c r="BI296" s="38"/>
      <c r="BJ296" s="38"/>
      <c r="BK296" s="38"/>
      <c r="BL296" s="38"/>
      <c r="BM296" s="38"/>
      <c r="BN296" s="38"/>
      <c r="BO296" s="38"/>
      <c r="BP296" s="13"/>
      <c r="BQ296" s="13"/>
    </row>
    <row r="297" spans="1:95" ht="14.25" customHeight="1" x14ac:dyDescent="0.2">
      <c r="A297" s="13"/>
      <c r="B297" s="1728" t="s">
        <v>491</v>
      </c>
      <c r="C297" s="1729"/>
      <c r="D297" s="1407" t="str">
        <f>IF(OR(D296=0,D295=0),"",IF(LOG10(D296)*(4-LOG10(D295))&lt;=0,0,IF(OR(LOG10(D296)*(4-LOG10(D295))&gt;0,),(LOG10(D296)*(4-LOG10(D295))),IF((LOG10(D296)*(4-LOG10(D295))&gt;0),(LOG10(D296)*(4-LOG10(D295)))))))</f>
        <v/>
      </c>
      <c r="E297" s="1408" t="str">
        <f>IF(OR(E296=0,E295=0),"",IF(LOG10(E296)*(4-LOG10(E295))&lt;=0,0,IF(OR(LOG10(E296)*(4-LOG10(E295))&gt;0,),(LOG10(E296)*(4-LOG10(E295))),IF((LOG10(E296)*(4-LOG10(E295))&gt;0),(LOG10(E296)*(4-LOG10(E295)))))))</f>
        <v/>
      </c>
      <c r="F297" s="1409" t="str">
        <f>IF(OR(F296=0,F295=0),"",IF(LOG10(F296)*(4-LOG10(F295))&lt;=0,0,IF(OR(LOG10(F296)*(4-LOG10(F295))&gt;0,),(LOG10(F296)*(4-LOG10(F295))),IF((LOG10(F296)*(4-LOG10(F295))&gt;0),(LOG10(F296)*(4-LOG10(F295)))))))</f>
        <v/>
      </c>
      <c r="G297" s="1408" t="str">
        <f>IF(OR(G296=0,G295=0),"",IF(LOG10(G296)*(4-LOG10(G295))&lt;=0,0,IF(OR(LOG10(G296)*(4-LOG10(G295))&gt;0,),(LOG10(G296)*(4-LOG10(G295))),IF((LOG10(G296)*(4-LOG10(G295))&gt;0),(LOG10(G296)*(4-LOG10(G295)))))))</f>
        <v/>
      </c>
      <c r="H297" s="1410" t="str">
        <f>IF(OR(H296=0,H295=0),"",IF(LOG10(H296)*(4-LOG10(H295))&lt;=0,0,IF(OR(LOG10(H296)*(4-LOG10(H295))&gt;0,),(LOG10(H296)*(4-LOG10(H295))),IF((LOG10(H296)*(4-LOG10(H295))&gt;0),(LOG10(H296)*(4-LOG10(H295)))))))</f>
        <v/>
      </c>
      <c r="I297" s="38"/>
      <c r="J297" s="38"/>
      <c r="K297" s="38"/>
      <c r="L297" s="38"/>
      <c r="M297" s="38"/>
      <c r="N297" s="38"/>
      <c r="O297" s="38"/>
      <c r="P297" s="38"/>
      <c r="Q297" s="38"/>
      <c r="R297" s="38"/>
      <c r="S297" s="38"/>
      <c r="T297" s="38"/>
      <c r="U297" s="38"/>
      <c r="V297" s="38"/>
      <c r="W297" s="38"/>
      <c r="X297" s="38"/>
      <c r="AI297" s="13"/>
      <c r="AJ297" s="13"/>
      <c r="AK297" s="245"/>
      <c r="AL297" s="38"/>
      <c r="AM297" s="13"/>
      <c r="AN297" s="13"/>
      <c r="AO297" s="38"/>
      <c r="AP297" s="38"/>
      <c r="AQ297" s="38"/>
      <c r="AR297" s="38"/>
      <c r="AS297" s="38"/>
      <c r="AT297" s="38"/>
      <c r="AU297" s="38"/>
      <c r="AV297" s="38"/>
      <c r="AW297" s="38"/>
      <c r="AX297" s="38"/>
      <c r="AY297" s="38"/>
      <c r="AZ297" s="38"/>
      <c r="BA297" s="38"/>
      <c r="BB297" s="38"/>
      <c r="BC297" s="38"/>
      <c r="BD297" s="38"/>
      <c r="BE297" s="38"/>
      <c r="BF297" s="38"/>
      <c r="BG297" s="38"/>
      <c r="BH297" s="38"/>
      <c r="BI297" s="38"/>
      <c r="BJ297" s="38"/>
      <c r="BK297" s="38"/>
      <c r="BL297" s="38"/>
      <c r="BM297" s="38"/>
      <c r="BN297" s="38"/>
      <c r="BO297" s="38"/>
      <c r="BP297" s="13"/>
      <c r="BQ297" s="13"/>
    </row>
    <row r="298" spans="1:95" ht="14.25" customHeight="1" x14ac:dyDescent="0.2">
      <c r="A298" s="13"/>
      <c r="B298" s="1732" t="s">
        <v>492</v>
      </c>
      <c r="C298" s="1733"/>
      <c r="D298" s="1411" t="str">
        <f>IF(D292&gt;0,(IF(OR('GUIA DE APLICAÇÃO'!C987=0.83,'GUIA DE APLICAÇÃO'!C987&lt;0.83),1,IF(OR(AND(0.83&lt;'GUIA DE APLICAÇÃO'!C987,'GUIA DE APLICAÇÃO'!C987&lt;=1.66)),2,IF('GUIA DE APLICAÇÃO'!C987&gt;1.66,3,"")))),"")</f>
        <v/>
      </c>
      <c r="E298" s="1412" t="str">
        <f>IF(E292&gt;0,(IF(OR('GUIA DE APLICAÇÃO'!D987=0.83,'GUIA DE APLICAÇÃO'!D987&lt;0.83),1,IF(OR(AND(0.83&lt;'GUIA DE APLICAÇÃO'!D987,'GUIA DE APLICAÇÃO'!D987&lt;=1.66)),2,IF('GUIA DE APLICAÇÃO'!D987&gt;1.66,3,"")))),"")</f>
        <v/>
      </c>
      <c r="F298" s="1412" t="str">
        <f>IF(F292&gt;0,(IF(OR('GUIA DE APLICAÇÃO'!E987=0.83,'GUIA DE APLICAÇÃO'!E987&lt;0.83),1,IF(OR(AND(0.83&lt;'GUIA DE APLICAÇÃO'!E987,'GUIA DE APLICAÇÃO'!E987&lt;=1.66)),2,IF('GUIA DE APLICAÇÃO'!E987&gt;1.66,3,"")))),"")</f>
        <v/>
      </c>
      <c r="G298" s="1412" t="str">
        <f>IF(G292&gt;0,(IF(OR('GUIA DE APLICAÇÃO'!F987=0.83,'GUIA DE APLICAÇÃO'!F987&lt;0.83),1,IF(OR(AND(0.83&lt;'GUIA DE APLICAÇÃO'!F987,'GUIA DE APLICAÇÃO'!F987&lt;=1.66)),2,IF('GUIA DE APLICAÇÃO'!F987&gt;1.66,3,"")))),"")</f>
        <v/>
      </c>
      <c r="H298" s="1413" t="str">
        <f>IF(H292&gt;0,(IF(OR('GUIA DE APLICAÇÃO'!G987=0.83,'GUIA DE APLICAÇÃO'!G987&lt;0.83),1,IF(OR(AND(0.83&lt;'GUIA DE APLICAÇÃO'!G987,'GUIA DE APLICAÇÃO'!G987&lt;=1.66)),2,IF('GUIA DE APLICAÇÃO'!G987&gt;1.66,3,"")))),"")</f>
        <v/>
      </c>
      <c r="I298" s="38"/>
      <c r="J298" s="38"/>
      <c r="K298" s="38"/>
      <c r="L298" s="38"/>
      <c r="M298" s="38"/>
      <c r="N298" s="38"/>
      <c r="O298" s="38"/>
      <c r="P298" s="38"/>
      <c r="Q298" s="38"/>
      <c r="R298" s="38"/>
      <c r="S298" s="38"/>
      <c r="T298" s="38"/>
      <c r="U298" s="38"/>
      <c r="V298" s="38"/>
      <c r="W298" s="38"/>
      <c r="X298" s="38"/>
      <c r="AI298" s="13"/>
      <c r="AJ298" s="13"/>
      <c r="AK298" s="245"/>
      <c r="AL298" s="38"/>
      <c r="AM298" s="13"/>
      <c r="AN298" s="13"/>
      <c r="AO298" s="38"/>
      <c r="AP298" s="38"/>
      <c r="AQ298" s="38"/>
      <c r="AR298" s="38"/>
      <c r="AS298" s="38"/>
      <c r="AT298" s="38"/>
      <c r="AU298" s="38"/>
      <c r="AV298" s="38"/>
      <c r="AW298" s="38"/>
      <c r="AX298" s="38"/>
      <c r="AY298" s="38"/>
      <c r="AZ298" s="38"/>
      <c r="BA298" s="38"/>
      <c r="BB298" s="38"/>
      <c r="BC298" s="38"/>
      <c r="BD298" s="38"/>
      <c r="BE298" s="38"/>
      <c r="BF298" s="38"/>
      <c r="BG298" s="38"/>
      <c r="BH298" s="38"/>
      <c r="BI298" s="38"/>
      <c r="BJ298" s="38"/>
      <c r="BK298" s="38"/>
      <c r="BL298" s="38"/>
      <c r="BM298" s="38"/>
      <c r="BN298" s="38"/>
      <c r="BO298" s="38"/>
      <c r="BP298" s="13"/>
      <c r="BQ298" s="13"/>
    </row>
    <row r="299" spans="1:95" ht="13.5" customHeight="1" x14ac:dyDescent="0.2">
      <c r="A299" s="13"/>
      <c r="B299" s="93"/>
      <c r="C299" s="247"/>
      <c r="D299" s="1780" t="s">
        <v>493</v>
      </c>
      <c r="E299" s="1780"/>
      <c r="F299" s="1780"/>
      <c r="G299" s="1780"/>
      <c r="H299" s="1781"/>
      <c r="I299" s="694"/>
      <c r="J299" s="38"/>
      <c r="K299" s="38"/>
      <c r="L299" s="38"/>
      <c r="M299" s="38"/>
      <c r="N299" s="38"/>
      <c r="O299" s="38"/>
      <c r="P299" s="38"/>
      <c r="Q299" s="38"/>
      <c r="R299" s="38"/>
      <c r="S299" s="38"/>
      <c r="T299" s="38"/>
      <c r="U299" s="38"/>
      <c r="V299" s="38"/>
      <c r="W299" s="38"/>
      <c r="X299" s="38"/>
      <c r="AI299" s="13"/>
      <c r="AJ299" s="13"/>
      <c r="AK299" s="245"/>
      <c r="AL299" s="38"/>
      <c r="AM299" s="13"/>
      <c r="AN299" s="13"/>
      <c r="AO299" s="38"/>
      <c r="AP299" s="38"/>
      <c r="AQ299" s="38"/>
      <c r="AR299" s="38"/>
      <c r="AS299" s="38"/>
      <c r="AT299" s="38"/>
      <c r="AU299" s="38"/>
      <c r="AV299" s="38"/>
      <c r="AW299" s="38"/>
      <c r="AX299" s="38"/>
      <c r="AY299" s="38"/>
      <c r="AZ299" s="38"/>
      <c r="BA299" s="38"/>
      <c r="BB299" s="38"/>
      <c r="BC299" s="38"/>
      <c r="BD299" s="38"/>
      <c r="BE299" s="38"/>
      <c r="BF299" s="38"/>
      <c r="BG299" s="38"/>
      <c r="BH299" s="38"/>
      <c r="BI299" s="38"/>
      <c r="BJ299" s="38"/>
      <c r="BK299" s="38"/>
      <c r="BL299" s="38"/>
      <c r="BM299" s="38"/>
      <c r="BN299" s="38"/>
      <c r="BO299" s="38"/>
      <c r="BP299" s="13"/>
      <c r="BQ299" s="13"/>
    </row>
    <row r="300" spans="1:95" ht="27.75" customHeight="1" x14ac:dyDescent="0.2">
      <c r="A300" s="13"/>
      <c r="B300" s="1803" t="s">
        <v>494</v>
      </c>
      <c r="C300" s="1804"/>
      <c r="D300" s="1245"/>
      <c r="E300" s="1246"/>
      <c r="F300" s="1246"/>
      <c r="G300" s="1246"/>
      <c r="H300" s="1247"/>
      <c r="I300" s="694"/>
      <c r="J300" s="38"/>
      <c r="K300" s="38"/>
      <c r="L300" s="38"/>
      <c r="M300" s="38"/>
      <c r="N300" s="38"/>
      <c r="O300" s="38"/>
      <c r="P300" s="38"/>
      <c r="Q300" s="38"/>
      <c r="R300" s="38"/>
      <c r="S300" s="38"/>
      <c r="T300" s="38"/>
      <c r="U300" s="38"/>
      <c r="V300" s="38"/>
      <c r="W300" s="38"/>
      <c r="X300" s="38"/>
      <c r="AI300" s="13"/>
      <c r="AJ300" s="13"/>
      <c r="AK300" s="245"/>
      <c r="AL300" s="38"/>
      <c r="AM300" s="13"/>
      <c r="AN300" s="13"/>
      <c r="AO300" s="38"/>
      <c r="AP300" s="38"/>
      <c r="AQ300" s="38"/>
      <c r="AR300" s="38"/>
      <c r="AS300" s="38"/>
      <c r="AT300" s="38"/>
      <c r="AU300" s="38"/>
      <c r="AV300" s="38"/>
      <c r="AW300" s="38"/>
      <c r="AX300" s="38"/>
      <c r="AY300" s="38"/>
      <c r="AZ300" s="38"/>
      <c r="BA300" s="38"/>
      <c r="BB300" s="38"/>
      <c r="BC300" s="38"/>
      <c r="BD300" s="38"/>
      <c r="BE300" s="38"/>
      <c r="BF300" s="38"/>
      <c r="BG300" s="38"/>
      <c r="BH300" s="38"/>
      <c r="BI300" s="38"/>
      <c r="BJ300" s="38"/>
      <c r="BK300" s="38"/>
      <c r="BL300" s="38"/>
      <c r="BM300" s="38"/>
      <c r="BN300" s="38"/>
      <c r="BO300" s="38"/>
      <c r="BP300" s="13"/>
      <c r="BQ300" s="13"/>
    </row>
    <row r="301" spans="1:95" ht="27" customHeight="1" x14ac:dyDescent="0.2">
      <c r="A301" s="13"/>
      <c r="B301" s="1803" t="s">
        <v>495</v>
      </c>
      <c r="C301" s="1739"/>
      <c r="D301" s="1248"/>
      <c r="E301" s="420"/>
      <c r="F301" s="420"/>
      <c r="G301" s="420"/>
      <c r="H301" s="1228"/>
      <c r="I301" s="694"/>
      <c r="J301" s="38"/>
      <c r="K301" s="38"/>
      <c r="L301" s="38"/>
      <c r="M301" s="38"/>
      <c r="N301" s="38"/>
      <c r="O301" s="38"/>
      <c r="P301" s="38"/>
      <c r="Q301" s="38"/>
      <c r="R301" s="38"/>
      <c r="S301" s="38"/>
      <c r="T301" s="38"/>
      <c r="U301" s="38"/>
      <c r="V301" s="38"/>
      <c r="W301" s="38"/>
      <c r="X301" s="38"/>
      <c r="AI301" s="13"/>
      <c r="AJ301" s="13"/>
      <c r="AK301" s="245"/>
      <c r="AL301" s="38"/>
      <c r="AM301" s="13"/>
      <c r="AN301" s="13"/>
      <c r="AO301" s="38"/>
      <c r="AP301" s="38"/>
      <c r="AQ301" s="38"/>
      <c r="AR301" s="38"/>
      <c r="AS301" s="38"/>
      <c r="AT301" s="38"/>
      <c r="AU301" s="38"/>
      <c r="AV301" s="38"/>
      <c r="AW301" s="38"/>
      <c r="AX301" s="38"/>
      <c r="AY301" s="38"/>
      <c r="AZ301" s="38"/>
      <c r="BA301" s="38"/>
      <c r="BB301" s="38"/>
      <c r="BC301" s="38"/>
      <c r="BD301" s="38"/>
      <c r="BE301" s="38"/>
      <c r="BF301" s="38"/>
      <c r="BG301" s="38"/>
      <c r="BH301" s="38"/>
      <c r="BI301" s="38"/>
      <c r="BJ301" s="38"/>
      <c r="BK301" s="38"/>
      <c r="BL301" s="38"/>
      <c r="BM301" s="38"/>
      <c r="BN301" s="38"/>
      <c r="BO301" s="38"/>
      <c r="BP301" s="13"/>
      <c r="BQ301" s="13"/>
    </row>
    <row r="302" spans="1:95" ht="29.25" customHeight="1" x14ac:dyDescent="0.2">
      <c r="A302" s="13"/>
      <c r="B302" s="1738" t="s">
        <v>496</v>
      </c>
      <c r="C302" s="1739"/>
      <c r="D302" s="1248"/>
      <c r="E302" s="420"/>
      <c r="F302" s="420"/>
      <c r="G302" s="420"/>
      <c r="H302" s="1228"/>
      <c r="I302" s="694"/>
      <c r="J302" s="38"/>
      <c r="K302" s="38"/>
      <c r="L302" s="38"/>
      <c r="M302" s="38"/>
      <c r="N302" s="38"/>
      <c r="O302" s="38"/>
      <c r="P302" s="38"/>
      <c r="Q302" s="38"/>
      <c r="R302" s="38"/>
      <c r="S302" s="38"/>
      <c r="T302" s="38"/>
      <c r="U302" s="38"/>
      <c r="V302" s="38"/>
      <c r="W302" s="38"/>
      <c r="X302" s="38"/>
      <c r="AI302" s="13"/>
      <c r="AJ302" s="13"/>
      <c r="AK302" s="245"/>
      <c r="AL302" s="38"/>
      <c r="AM302" s="13"/>
      <c r="AN302" s="13"/>
      <c r="AO302" s="38"/>
      <c r="AP302" s="38"/>
      <c r="AQ302" s="38"/>
      <c r="AR302" s="38"/>
      <c r="AS302" s="38"/>
      <c r="AT302" s="38"/>
      <c r="AU302" s="38"/>
      <c r="AV302" s="38"/>
      <c r="AW302" s="38"/>
      <c r="AX302" s="38"/>
      <c r="AY302" s="38"/>
      <c r="AZ302" s="38"/>
      <c r="BA302" s="38"/>
      <c r="BB302" s="38"/>
      <c r="BC302" s="38"/>
      <c r="BD302" s="38"/>
      <c r="BE302" s="38"/>
      <c r="BF302" s="38"/>
      <c r="BG302" s="38"/>
      <c r="BH302" s="38"/>
      <c r="BI302" s="38"/>
      <c r="BJ302" s="38"/>
      <c r="BK302" s="38"/>
      <c r="BL302" s="38"/>
      <c r="BM302" s="38"/>
      <c r="BN302" s="38"/>
      <c r="BO302" s="38"/>
      <c r="BP302" s="13"/>
      <c r="BQ302" s="13"/>
    </row>
    <row r="303" spans="1:95" ht="17.25" customHeight="1" x14ac:dyDescent="0.2">
      <c r="A303" s="13"/>
      <c r="B303" s="1734" t="s">
        <v>497</v>
      </c>
      <c r="C303" s="1735"/>
      <c r="D303" s="1414" t="str">
        <f>IF(D288&gt;0,(IF(OR(AND(1&lt;='GUIA DE APLICAÇÃO'!C988,'GUIA DE APLICAÇÃO'!C988&lt;=3)),1,IF(OR(AND(3&lt;'GUIA DE APLICAÇÃO'!C988,'GUIA DE APLICAÇÃO'!C988&lt;=9)),2,IF('GUIA DE APLICAÇÃO'!C988&gt;9,3)))),"")</f>
        <v/>
      </c>
      <c r="E303" s="1415" t="str">
        <f>IF(E288&gt;0,(IF(OR(AND(1&lt;='GUIA DE APLICAÇÃO'!D988,'GUIA DE APLICAÇÃO'!D988&lt;=3)),1,IF(OR(AND(3&lt;'GUIA DE APLICAÇÃO'!D988,'GUIA DE APLICAÇÃO'!D988&lt;=9)),2,IF('GUIA DE APLICAÇÃO'!D988&gt;9,3)))),"")</f>
        <v/>
      </c>
      <c r="F303" s="1415" t="str">
        <f>IF(F288&gt;0,(IF(OR(AND(1&lt;='GUIA DE APLICAÇÃO'!E988,'GUIA DE APLICAÇÃO'!E988&lt;=3)),1,IF(OR(AND(3&lt;'GUIA DE APLICAÇÃO'!E988,'GUIA DE APLICAÇÃO'!E988&lt;=9)),2,IF('GUIA DE APLICAÇÃO'!E988&gt;9,3)))),"")</f>
        <v/>
      </c>
      <c r="G303" s="1415" t="str">
        <f>IF(G288&gt;0,(IF(OR(AND(1&lt;='GUIA DE APLICAÇÃO'!F988,'GUIA DE APLICAÇÃO'!F988&lt;=3)),1,IF(OR(AND(3&lt;'GUIA DE APLICAÇÃO'!F988,'GUIA DE APLICAÇÃO'!F988&lt;=9)),2,IF('GUIA DE APLICAÇÃO'!F988&gt;9,3)))),"")</f>
        <v/>
      </c>
      <c r="H303" s="1416" t="str">
        <f>IF(H288&gt;0,(IF(OR(AND(1&lt;='GUIA DE APLICAÇÃO'!G988,'GUIA DE APLICAÇÃO'!G988&lt;=3)),1,IF(OR(AND(3&lt;'GUIA DE APLICAÇÃO'!G988,'GUIA DE APLICAÇÃO'!G988&lt;=9)),2,IF('GUIA DE APLICAÇÃO'!G988&gt;9,3)))),"")</f>
        <v/>
      </c>
      <c r="I303" s="694"/>
      <c r="J303" s="38"/>
      <c r="K303" s="38"/>
      <c r="L303" s="38"/>
      <c r="M303" s="38"/>
      <c r="N303" s="38"/>
      <c r="O303" s="38"/>
      <c r="P303" s="38"/>
      <c r="Q303" s="38"/>
      <c r="R303" s="38"/>
      <c r="S303" s="38"/>
      <c r="T303" s="38"/>
      <c r="U303" s="38"/>
      <c r="V303" s="38"/>
      <c r="W303" s="38"/>
      <c r="X303" s="38"/>
      <c r="AI303" s="13"/>
      <c r="AJ303" s="13"/>
      <c r="AK303" s="245"/>
      <c r="AL303" s="38"/>
      <c r="AM303" s="13"/>
      <c r="AN303" s="13"/>
      <c r="AO303" s="38"/>
      <c r="AP303" s="38"/>
      <c r="AQ303" s="38"/>
      <c r="AR303" s="38"/>
      <c r="AS303" s="38"/>
      <c r="AT303" s="38"/>
      <c r="AU303" s="38"/>
      <c r="AV303" s="38"/>
      <c r="AW303" s="38"/>
      <c r="AX303" s="38"/>
      <c r="AY303" s="38"/>
      <c r="AZ303" s="38"/>
      <c r="BA303" s="38"/>
      <c r="BB303" s="38"/>
      <c r="BC303" s="38"/>
      <c r="BD303" s="38"/>
      <c r="BE303" s="38"/>
      <c r="BF303" s="38"/>
      <c r="BG303" s="38"/>
      <c r="BH303" s="38"/>
      <c r="BI303" s="38"/>
      <c r="BJ303" s="38"/>
      <c r="BK303" s="38"/>
      <c r="BL303" s="38"/>
      <c r="BM303" s="38"/>
      <c r="BN303" s="38"/>
      <c r="BO303" s="38"/>
      <c r="BP303" s="13"/>
      <c r="BQ303" s="13"/>
    </row>
    <row r="304" spans="1:95" ht="15.75" customHeight="1" x14ac:dyDescent="0.2">
      <c r="A304" s="13"/>
      <c r="B304" s="740"/>
      <c r="C304" s="38"/>
      <c r="D304" s="38"/>
      <c r="E304" s="38"/>
      <c r="F304" s="38"/>
      <c r="G304" s="38"/>
      <c r="H304" s="739"/>
      <c r="I304" s="694"/>
      <c r="J304" s="38"/>
      <c r="K304" s="38"/>
      <c r="L304" s="38"/>
      <c r="M304" s="38"/>
      <c r="N304" s="38"/>
      <c r="O304" s="38"/>
      <c r="P304" s="38"/>
      <c r="Q304" s="38"/>
      <c r="R304" s="38"/>
      <c r="S304" s="38"/>
      <c r="T304" s="38"/>
      <c r="U304" s="38"/>
      <c r="V304" s="38"/>
      <c r="W304" s="38"/>
      <c r="X304" s="38"/>
      <c r="AI304" s="13"/>
      <c r="AJ304" s="13"/>
      <c r="AK304" s="245"/>
      <c r="AL304" s="38"/>
      <c r="AM304" s="13"/>
      <c r="AN304" s="13"/>
      <c r="AO304" s="38"/>
      <c r="AP304" s="38"/>
      <c r="AQ304" s="38"/>
      <c r="AR304" s="38"/>
      <c r="AS304" s="38"/>
      <c r="AT304" s="38"/>
      <c r="AU304" s="38"/>
      <c r="AV304" s="38"/>
      <c r="AW304" s="38"/>
      <c r="AX304" s="38"/>
      <c r="AY304" s="38"/>
      <c r="AZ304" s="38"/>
      <c r="BA304" s="38"/>
      <c r="BB304" s="38"/>
      <c r="BC304" s="38"/>
      <c r="BD304" s="38"/>
      <c r="BE304" s="38"/>
      <c r="BF304" s="38"/>
      <c r="BG304" s="38"/>
      <c r="BH304" s="38"/>
      <c r="BI304" s="38"/>
      <c r="BJ304" s="38"/>
      <c r="BK304" s="38"/>
      <c r="BL304" s="38"/>
      <c r="BM304" s="38"/>
      <c r="BN304" s="38"/>
      <c r="BO304" s="38"/>
      <c r="BP304" s="13"/>
      <c r="BQ304" s="13"/>
    </row>
    <row r="305" spans="1:69" ht="16.5" customHeight="1" x14ac:dyDescent="0.2">
      <c r="A305" s="13"/>
      <c r="B305" s="1736" t="s">
        <v>498</v>
      </c>
      <c r="C305" s="1737"/>
      <c r="D305" s="1417" t="str">
        <f>IF(D288&gt;0,(IF(OR(AND(1&lt;='GUIA DE APLICAÇÃO'!C990,'GUIA DE APLICAÇÃO'!C990&lt;=2)),1,IF(OR(AND(2&lt;'GUIA DE APLICAÇÃO'!C990,'GUIA DE APLICAÇÃO'!C990&lt;=4)),2,IF('GUIA DE APLICAÇÃO'!C990&gt;4,3)))),"")</f>
        <v/>
      </c>
      <c r="E305" s="1418" t="str">
        <f>IF(E288&gt;0,(IF(OR(AND(1&lt;='GUIA DE APLICAÇÃO'!D990,'GUIA DE APLICAÇÃO'!D990&lt;=2)),1,IF(OR(AND(2&lt;'GUIA DE APLICAÇÃO'!D990,'GUIA DE APLICAÇÃO'!D990&lt;=4)),2,IF('GUIA DE APLICAÇÃO'!D990&gt;4,3)))),"")</f>
        <v/>
      </c>
      <c r="F305" s="1418" t="str">
        <f>IF(F288&gt;0,(IF(OR(AND(1&lt;='GUIA DE APLICAÇÃO'!E990,'GUIA DE APLICAÇÃO'!E990&lt;=2)),1,IF(OR(AND(2&lt;'GUIA DE APLICAÇÃO'!E990,'GUIA DE APLICAÇÃO'!E990&lt;=4)),2,IF('GUIA DE APLICAÇÃO'!E990&gt;4,3)))),"")</f>
        <v/>
      </c>
      <c r="G305" s="1418" t="str">
        <f>IF(G288&gt;0,(IF(OR(AND(1&lt;='GUIA DE APLICAÇÃO'!F990,'GUIA DE APLICAÇÃO'!F990&lt;=2)),1,IF(OR(AND(2&lt;'GUIA DE APLICAÇÃO'!F990,'GUIA DE APLICAÇÃO'!F990&lt;=4)),2,IF('GUIA DE APLICAÇÃO'!F990&gt;4,3)))),"")</f>
        <v/>
      </c>
      <c r="H305" s="1419" t="str">
        <f>IF(H288&gt;0,(IF(OR(AND(1&lt;='GUIA DE APLICAÇÃO'!G990,'GUIA DE APLICAÇÃO'!G990&lt;=2)),1,IF(OR(AND(2&lt;'GUIA DE APLICAÇÃO'!G990,'GUIA DE APLICAÇÃO'!G990&lt;=4)),2,IF('GUIA DE APLICAÇÃO'!G990&gt;4,3)))),"")</f>
        <v/>
      </c>
      <c r="I305" s="79"/>
      <c r="J305" s="38"/>
      <c r="K305" s="38"/>
      <c r="L305" s="38"/>
      <c r="M305" s="38"/>
      <c r="N305" s="38"/>
      <c r="O305" s="38"/>
      <c r="P305" s="38"/>
      <c r="Q305" s="38"/>
      <c r="R305" s="38"/>
      <c r="S305" s="38"/>
      <c r="T305" s="38"/>
      <c r="U305" s="38"/>
      <c r="V305" s="38"/>
      <c r="W305" s="38"/>
      <c r="X305" s="38"/>
      <c r="AI305" s="13"/>
      <c r="AJ305" s="13"/>
      <c r="AK305" s="245"/>
      <c r="AL305" s="38"/>
      <c r="AM305" s="13"/>
      <c r="AN305" s="13"/>
      <c r="AO305" s="38"/>
      <c r="AP305" s="38"/>
      <c r="AQ305" s="38"/>
      <c r="AR305" s="38"/>
      <c r="AS305" s="38"/>
      <c r="AT305" s="38"/>
      <c r="AU305" s="38"/>
      <c r="AV305" s="38"/>
      <c r="AW305" s="38"/>
      <c r="AX305" s="38"/>
      <c r="AY305" s="38"/>
      <c r="AZ305" s="38"/>
      <c r="BA305" s="38"/>
      <c r="BB305" s="38"/>
      <c r="BC305" s="38"/>
      <c r="BD305" s="38"/>
      <c r="BE305" s="38"/>
      <c r="BF305" s="38"/>
      <c r="BG305" s="38"/>
      <c r="BH305" s="38"/>
      <c r="BI305" s="38"/>
      <c r="BJ305" s="38"/>
      <c r="BK305" s="38"/>
      <c r="BL305" s="38"/>
      <c r="BM305" s="38"/>
      <c r="BN305" s="38"/>
      <c r="BO305" s="38"/>
      <c r="BP305" s="13"/>
      <c r="BQ305" s="13"/>
    </row>
    <row r="306" spans="1:69" ht="13.5" customHeight="1" x14ac:dyDescent="0.2">
      <c r="A306" s="13"/>
      <c r="B306" s="93"/>
      <c r="C306" s="38"/>
      <c r="D306" s="38"/>
      <c r="E306" s="38"/>
      <c r="F306" s="38"/>
      <c r="G306" s="38"/>
      <c r="H306" s="38"/>
      <c r="I306" s="101"/>
      <c r="J306" s="38"/>
      <c r="K306" s="38"/>
      <c r="L306" s="38"/>
      <c r="M306" s="38"/>
      <c r="N306" s="38"/>
      <c r="O306" s="38"/>
      <c r="P306" s="38"/>
      <c r="Q306" s="38"/>
      <c r="R306" s="38"/>
      <c r="S306" s="38"/>
      <c r="T306" s="38"/>
      <c r="U306" s="38"/>
      <c r="V306" s="38"/>
      <c r="W306" s="38"/>
      <c r="X306" s="38"/>
      <c r="Y306" s="38"/>
      <c r="Z306" s="38"/>
      <c r="AA306" s="38"/>
      <c r="AB306" s="38"/>
      <c r="AC306" s="38"/>
      <c r="AD306" s="38"/>
      <c r="AE306" s="38"/>
      <c r="AF306" s="13"/>
      <c r="AG306" s="13"/>
      <c r="AH306" s="13"/>
      <c r="AI306" s="13"/>
      <c r="AJ306" s="13"/>
      <c r="AK306" s="13"/>
      <c r="AL306" s="38"/>
      <c r="AM306" s="38"/>
      <c r="AN306" s="38"/>
      <c r="AO306" s="38"/>
      <c r="AP306" s="38"/>
      <c r="AQ306" s="38"/>
      <c r="AR306" s="38"/>
      <c r="AS306" s="38"/>
      <c r="AT306" s="38"/>
      <c r="AU306" s="38"/>
      <c r="AV306" s="38"/>
      <c r="AW306" s="38"/>
      <c r="AX306" s="38"/>
      <c r="AY306" s="38"/>
      <c r="AZ306" s="38"/>
      <c r="BA306" s="38"/>
      <c r="BB306" s="38"/>
      <c r="BC306" s="38"/>
      <c r="BD306" s="38"/>
      <c r="BE306" s="38"/>
      <c r="BF306" s="38"/>
      <c r="BG306" s="38"/>
      <c r="BH306" s="38"/>
      <c r="BI306" s="38"/>
      <c r="BJ306" s="38"/>
      <c r="BK306" s="38"/>
      <c r="BL306" s="38"/>
      <c r="BM306" s="38"/>
      <c r="BN306" s="38"/>
      <c r="BO306" s="38"/>
      <c r="BP306" s="13"/>
      <c r="BQ306" s="13"/>
    </row>
    <row r="307" spans="1:69" ht="16.5" customHeight="1" x14ac:dyDescent="0.2">
      <c r="A307" s="13"/>
      <c r="B307" s="1736" t="s">
        <v>499</v>
      </c>
      <c r="C307" s="1743"/>
      <c r="D307" s="1249"/>
      <c r="E307" s="1250"/>
      <c r="F307" s="1250"/>
      <c r="G307" s="1250"/>
      <c r="H307" s="1251"/>
      <c r="I307" s="249"/>
      <c r="J307" s="38"/>
      <c r="K307" s="250"/>
      <c r="L307" s="250"/>
      <c r="M307" s="250"/>
      <c r="N307" s="250"/>
      <c r="O307" s="250"/>
      <c r="P307" s="250"/>
      <c r="Q307" s="250"/>
      <c r="R307" s="250"/>
      <c r="S307" s="250"/>
      <c r="T307" s="250"/>
      <c r="U307" s="137"/>
      <c r="V307" s="137"/>
      <c r="W307" s="38"/>
      <c r="X307" s="38"/>
      <c r="Y307" s="38"/>
      <c r="Z307" s="38"/>
      <c r="AA307" s="38"/>
      <c r="AB307" s="38"/>
      <c r="AC307" s="38"/>
      <c r="AD307" s="38"/>
      <c r="AE307" s="38"/>
      <c r="AF307" s="38"/>
      <c r="AG307" s="38"/>
      <c r="AH307" s="38"/>
      <c r="AI307" s="13"/>
      <c r="AJ307" s="13"/>
      <c r="AK307" s="38"/>
      <c r="AL307" s="38"/>
      <c r="AM307" s="38"/>
      <c r="AN307" s="38"/>
      <c r="AO307" s="38"/>
      <c r="AP307" s="38"/>
      <c r="AQ307" s="38"/>
      <c r="AR307" s="38"/>
      <c r="AS307" s="38"/>
      <c r="AT307" s="38"/>
      <c r="AU307" s="38"/>
      <c r="AV307" s="38"/>
      <c r="AW307" s="38"/>
      <c r="AX307" s="38"/>
      <c r="AY307" s="38"/>
      <c r="AZ307" s="38"/>
      <c r="BA307" s="38"/>
      <c r="BB307" s="38"/>
      <c r="BC307" s="38"/>
      <c r="BD307" s="38"/>
      <c r="BE307" s="38"/>
      <c r="BF307" s="38"/>
      <c r="BG307" s="38"/>
      <c r="BH307" s="38"/>
      <c r="BI307" s="38"/>
      <c r="BJ307" s="38"/>
      <c r="BK307" s="38"/>
      <c r="BL307" s="38"/>
      <c r="BM307" s="38"/>
      <c r="BN307" s="38"/>
      <c r="BO307" s="38"/>
      <c r="BP307" s="13"/>
      <c r="BQ307" s="13"/>
    </row>
    <row r="308" spans="1:69" ht="16.5" customHeight="1" x14ac:dyDescent="0.2">
      <c r="A308" s="13"/>
      <c r="B308" s="1736" t="s">
        <v>500</v>
      </c>
      <c r="C308" s="1743"/>
      <c r="D308" s="1254"/>
      <c r="E308" s="1255"/>
      <c r="F308" s="1255"/>
      <c r="G308" s="1255"/>
      <c r="H308" s="1256"/>
      <c r="I308" s="249"/>
      <c r="J308" s="38"/>
      <c r="K308" s="250"/>
      <c r="L308" s="250"/>
      <c r="M308" s="250"/>
      <c r="N308" s="250"/>
      <c r="O308" s="250"/>
      <c r="P308" s="250"/>
      <c r="Q308" s="250"/>
      <c r="R308" s="250"/>
      <c r="S308" s="250"/>
      <c r="T308" s="250"/>
      <c r="U308" s="137"/>
      <c r="V308" s="137"/>
      <c r="W308" s="38"/>
      <c r="X308" s="38"/>
      <c r="Y308" s="38"/>
      <c r="Z308" s="38"/>
      <c r="AA308" s="38"/>
      <c r="AB308" s="38"/>
      <c r="AC308" s="38"/>
      <c r="AD308" s="38"/>
      <c r="AE308" s="38"/>
      <c r="AF308" s="38"/>
      <c r="AG308" s="38"/>
      <c r="AH308" s="38"/>
      <c r="AI308" s="38"/>
      <c r="AJ308" s="38"/>
      <c r="AK308" s="38"/>
      <c r="AL308" s="38"/>
      <c r="AM308" s="38"/>
      <c r="AN308" s="38"/>
      <c r="AO308" s="38"/>
      <c r="AP308" s="38"/>
      <c r="AQ308" s="38"/>
      <c r="AR308" s="38"/>
      <c r="AS308" s="38"/>
      <c r="AT308" s="38"/>
      <c r="AU308" s="38"/>
      <c r="AV308" s="38"/>
      <c r="AW308" s="38"/>
      <c r="AX308" s="38"/>
      <c r="AY308" s="38"/>
      <c r="AZ308" s="38"/>
      <c r="BA308" s="38"/>
      <c r="BB308" s="38"/>
      <c r="BC308" s="38"/>
      <c r="BD308" s="38"/>
      <c r="BE308" s="38"/>
      <c r="BF308" s="38"/>
      <c r="BG308" s="38"/>
      <c r="BH308" s="38"/>
      <c r="BI308" s="38"/>
      <c r="BJ308" s="38"/>
      <c r="BK308" s="38"/>
      <c r="BL308" s="38"/>
      <c r="BM308" s="38"/>
      <c r="BN308" s="38"/>
      <c r="BO308" s="38"/>
      <c r="BP308" s="13"/>
      <c r="BQ308" s="13"/>
    </row>
    <row r="309" spans="1:69" ht="16.5" customHeight="1" x14ac:dyDescent="0.2">
      <c r="A309" s="13"/>
      <c r="B309" s="1736" t="s">
        <v>501</v>
      </c>
      <c r="C309" s="1743"/>
      <c r="D309" s="446"/>
      <c r="E309" s="447"/>
      <c r="F309" s="447"/>
      <c r="G309" s="447"/>
      <c r="H309" s="448"/>
      <c r="I309" s="249"/>
      <c r="J309" s="249"/>
      <c r="K309" s="250"/>
      <c r="L309" s="250"/>
      <c r="M309" s="250"/>
      <c r="N309" s="250"/>
      <c r="O309" s="250"/>
      <c r="P309" s="250"/>
      <c r="Q309" s="250"/>
      <c r="R309" s="250"/>
      <c r="S309" s="250"/>
      <c r="T309" s="250"/>
      <c r="U309" s="137"/>
      <c r="V309" s="137"/>
      <c r="W309" s="38"/>
      <c r="X309" s="38"/>
      <c r="Y309" s="38"/>
      <c r="Z309" s="38"/>
      <c r="AA309" s="38"/>
      <c r="AB309" s="38"/>
      <c r="AC309" s="38"/>
      <c r="AD309" s="38"/>
      <c r="AE309" s="38"/>
      <c r="AF309" s="38"/>
      <c r="AG309" s="38"/>
      <c r="AH309" s="38"/>
      <c r="AI309" s="38"/>
      <c r="AJ309" s="38"/>
      <c r="AK309" s="38"/>
      <c r="AL309" s="38"/>
      <c r="AM309" s="38"/>
      <c r="AN309" s="38"/>
      <c r="AO309" s="38"/>
      <c r="AP309" s="38"/>
      <c r="AQ309" s="38"/>
      <c r="AR309" s="38"/>
      <c r="AS309" s="38"/>
      <c r="AT309" s="38"/>
      <c r="AU309" s="38"/>
      <c r="AV309" s="38"/>
      <c r="AW309" s="38"/>
      <c r="AX309" s="38"/>
      <c r="AY309" s="38"/>
      <c r="AZ309" s="38"/>
      <c r="BA309" s="38"/>
      <c r="BB309" s="38"/>
      <c r="BC309" s="38"/>
      <c r="BD309" s="38"/>
      <c r="BE309" s="38"/>
      <c r="BF309" s="38"/>
      <c r="BG309" s="38"/>
      <c r="BH309" s="38"/>
      <c r="BI309" s="38"/>
      <c r="BJ309" s="38"/>
      <c r="BK309" s="38"/>
      <c r="BL309" s="38"/>
      <c r="BM309" s="38"/>
      <c r="BN309" s="38"/>
      <c r="BO309" s="38"/>
      <c r="BP309" s="13"/>
      <c r="BQ309" s="13"/>
    </row>
    <row r="310" spans="1:69" ht="15" customHeight="1" x14ac:dyDescent="0.2">
      <c r="A310" s="13"/>
      <c r="B310" s="93"/>
      <c r="C310" s="252"/>
      <c r="D310" s="148"/>
      <c r="E310" s="251"/>
      <c r="F310" s="251"/>
      <c r="G310" s="251"/>
      <c r="H310" s="38"/>
      <c r="I310" s="101"/>
      <c r="J310" s="38"/>
      <c r="K310" s="38"/>
      <c r="L310" s="38"/>
      <c r="M310" s="38"/>
      <c r="N310" s="137"/>
      <c r="O310" s="137"/>
      <c r="P310" s="137"/>
      <c r="Q310" s="137"/>
      <c r="R310" s="137"/>
      <c r="S310" s="137"/>
      <c r="T310" s="38"/>
      <c r="U310" s="137"/>
      <c r="V310" s="137"/>
      <c r="W310" s="38"/>
      <c r="X310" s="38"/>
      <c r="Y310" s="38"/>
      <c r="Z310" s="38"/>
      <c r="AA310" s="38"/>
      <c r="AB310" s="38"/>
      <c r="AC310" s="38"/>
      <c r="AD310" s="38"/>
      <c r="AE310" s="38"/>
      <c r="AF310" s="38"/>
      <c r="AG310" s="38"/>
      <c r="AH310" s="38"/>
      <c r="AI310" s="38"/>
      <c r="AJ310" s="38"/>
      <c r="AK310" s="38"/>
      <c r="AL310" s="38"/>
      <c r="AM310" s="38"/>
      <c r="AN310" s="38"/>
      <c r="AO310" s="38"/>
      <c r="AP310" s="38"/>
      <c r="AQ310" s="38"/>
      <c r="AR310" s="38"/>
      <c r="AS310" s="38"/>
      <c r="AT310" s="38"/>
      <c r="AU310" s="38"/>
      <c r="AV310" s="38"/>
      <c r="AW310" s="38"/>
      <c r="AX310" s="38"/>
      <c r="AY310" s="38"/>
      <c r="AZ310" s="38"/>
      <c r="BA310" s="38"/>
      <c r="BB310" s="38"/>
      <c r="BC310" s="38"/>
      <c r="BD310" s="38"/>
      <c r="BE310" s="38"/>
      <c r="BF310" s="38"/>
      <c r="BG310" s="38"/>
      <c r="BH310" s="38"/>
      <c r="BI310" s="38"/>
      <c r="BJ310" s="38"/>
      <c r="BK310" s="38"/>
      <c r="BL310" s="38"/>
      <c r="BM310" s="38"/>
      <c r="BN310" s="38"/>
      <c r="BO310" s="38"/>
      <c r="BP310" s="13"/>
      <c r="BQ310" s="13"/>
    </row>
    <row r="311" spans="1:69" ht="16.5" customHeight="1" x14ac:dyDescent="0.2">
      <c r="A311" s="13"/>
      <c r="B311" s="290" t="s">
        <v>274</v>
      </c>
      <c r="C311" s="678">
        <f>IF(D287=0,1,'GUIA DE APLICAÇÃO'!D1100)</f>
        <v>1</v>
      </c>
      <c r="D311" s="386" t="s">
        <v>502</v>
      </c>
      <c r="E311" s="143"/>
      <c r="F311" s="143"/>
      <c r="G311" s="121"/>
      <c r="H311" s="121"/>
      <c r="I311" s="101"/>
      <c r="J311" s="38"/>
      <c r="K311" s="38"/>
      <c r="L311" s="38"/>
      <c r="M311" s="38"/>
      <c r="N311" s="38"/>
      <c r="O311" s="38"/>
      <c r="P311" s="38"/>
      <c r="Q311" s="38"/>
      <c r="R311" s="38"/>
      <c r="S311" s="38"/>
      <c r="T311" s="38"/>
      <c r="U311" s="137"/>
      <c r="V311" s="137"/>
      <c r="W311" s="38"/>
      <c r="X311" s="38"/>
      <c r="Y311" s="38"/>
      <c r="Z311" s="38"/>
      <c r="AA311" s="38"/>
      <c r="AB311" s="38"/>
      <c r="AC311" s="38"/>
      <c r="AD311" s="38"/>
      <c r="AE311" s="38"/>
      <c r="AF311" s="38"/>
      <c r="AG311" s="38"/>
      <c r="AH311" s="38"/>
      <c r="AI311" s="38"/>
      <c r="AJ311" s="38"/>
      <c r="AK311" s="38"/>
      <c r="AL311" s="38"/>
      <c r="AM311" s="38"/>
      <c r="AN311" s="38"/>
      <c r="AO311" s="38"/>
      <c r="AP311" s="38"/>
      <c r="AQ311" s="38"/>
      <c r="AR311" s="38"/>
      <c r="AS311" s="38"/>
      <c r="AT311" s="38"/>
      <c r="AU311" s="38"/>
      <c r="AV311" s="38"/>
      <c r="AW311" s="38"/>
      <c r="AX311" s="38"/>
      <c r="AY311" s="38"/>
      <c r="AZ311" s="38"/>
      <c r="BA311" s="38"/>
      <c r="BB311" s="38"/>
      <c r="BC311" s="38"/>
      <c r="BD311" s="38"/>
      <c r="BE311" s="38"/>
      <c r="BF311" s="38"/>
      <c r="BG311" s="38"/>
      <c r="BH311" s="38"/>
      <c r="BI311" s="38"/>
      <c r="BJ311" s="38"/>
      <c r="BK311" s="38"/>
      <c r="BL311" s="38"/>
      <c r="BM311" s="38"/>
      <c r="BN311" s="38"/>
      <c r="BO311" s="38"/>
      <c r="BP311" s="13"/>
      <c r="BQ311" s="13"/>
    </row>
    <row r="312" spans="1:69" ht="12.75" customHeight="1" x14ac:dyDescent="0.35">
      <c r="A312" s="13"/>
      <c r="B312" s="524"/>
      <c r="C312" s="88"/>
      <c r="D312" s="88"/>
      <c r="E312" s="88"/>
      <c r="F312" s="88"/>
      <c r="G312" s="88"/>
      <c r="H312" s="88"/>
      <c r="I312" s="88"/>
      <c r="J312" s="88"/>
      <c r="K312" s="88"/>
      <c r="L312" s="88"/>
      <c r="M312" s="137"/>
      <c r="N312" s="137"/>
      <c r="O312" s="137"/>
      <c r="P312" s="137"/>
      <c r="Q312" s="137"/>
      <c r="R312" s="137"/>
      <c r="S312" s="137"/>
      <c r="T312" s="137"/>
      <c r="U312" s="137"/>
      <c r="V312" s="137"/>
      <c r="W312" s="38"/>
      <c r="X312" s="13"/>
      <c r="Y312" s="13"/>
      <c r="Z312" s="13"/>
      <c r="AA312" s="13"/>
      <c r="AB312" s="13"/>
      <c r="AC312" s="13"/>
      <c r="AD312" s="13"/>
      <c r="AE312" s="13"/>
      <c r="AF312" s="13"/>
      <c r="AG312" s="13"/>
      <c r="AH312" s="13"/>
      <c r="AI312" s="13"/>
      <c r="AJ312" s="13"/>
      <c r="AK312" s="13"/>
      <c r="AL312" s="13"/>
      <c r="AM312" s="13"/>
      <c r="AN312" s="13"/>
      <c r="AO312" s="13"/>
      <c r="AP312" s="13"/>
      <c r="AQ312" s="13"/>
      <c r="AR312" s="13"/>
      <c r="AS312" s="13"/>
      <c r="AT312" s="13"/>
      <c r="AU312" s="13"/>
      <c r="AV312" s="13"/>
      <c r="AW312" s="13"/>
      <c r="AX312" s="13"/>
      <c r="AY312" s="13"/>
      <c r="AZ312" s="13"/>
      <c r="BA312" s="13"/>
      <c r="BB312" s="13"/>
      <c r="BC312" s="13"/>
      <c r="BD312" s="13"/>
      <c r="BE312" s="13"/>
      <c r="BF312" s="13"/>
      <c r="BG312" s="13"/>
      <c r="BH312" s="13"/>
      <c r="BI312" s="13"/>
      <c r="BJ312" s="13"/>
      <c r="BK312" s="13"/>
      <c r="BL312" s="13"/>
      <c r="BM312" s="13"/>
      <c r="BN312" s="13"/>
      <c r="BO312" s="13"/>
      <c r="BP312" s="13"/>
      <c r="BQ312" s="13"/>
    </row>
    <row r="313" spans="1:69" ht="12.75" customHeight="1" x14ac:dyDescent="0.35">
      <c r="A313" s="13"/>
      <c r="B313" s="524"/>
      <c r="C313" s="88"/>
      <c r="D313" s="88"/>
      <c r="E313" s="88"/>
      <c r="F313" s="88"/>
      <c r="G313" s="88"/>
      <c r="H313" s="88"/>
      <c r="I313" s="88"/>
      <c r="J313" s="88"/>
      <c r="K313" s="88"/>
      <c r="L313" s="88"/>
      <c r="M313" s="137"/>
      <c r="N313" s="137"/>
      <c r="O313" s="137"/>
      <c r="P313" s="137"/>
      <c r="Q313" s="137"/>
      <c r="R313" s="137"/>
      <c r="S313" s="137"/>
      <c r="T313" s="137"/>
      <c r="U313" s="137"/>
      <c r="V313" s="137"/>
      <c r="W313" s="38"/>
      <c r="X313" s="13"/>
      <c r="Y313" s="13"/>
      <c r="Z313" s="13"/>
      <c r="AA313" s="13"/>
      <c r="AB313" s="13"/>
      <c r="AC313" s="13"/>
      <c r="AD313" s="13"/>
      <c r="AE313" s="13"/>
      <c r="AF313" s="13"/>
      <c r="AG313" s="13"/>
      <c r="AH313" s="13"/>
      <c r="AI313" s="13"/>
      <c r="AJ313" s="13"/>
      <c r="AK313" s="13"/>
      <c r="AL313" s="13"/>
      <c r="AM313" s="13"/>
      <c r="AN313" s="13"/>
      <c r="AO313" s="13"/>
      <c r="AP313" s="13"/>
      <c r="AQ313" s="13"/>
      <c r="AR313" s="13"/>
      <c r="AS313" s="13"/>
      <c r="AT313" s="13"/>
      <c r="AU313" s="13"/>
      <c r="AV313" s="13"/>
      <c r="AW313" s="13"/>
      <c r="AX313" s="13"/>
      <c r="AY313" s="13"/>
      <c r="AZ313" s="13"/>
      <c r="BA313" s="13"/>
      <c r="BB313" s="13"/>
      <c r="BC313" s="13"/>
      <c r="BD313" s="13"/>
      <c r="BE313" s="13"/>
      <c r="BF313" s="13"/>
      <c r="BG313" s="13"/>
      <c r="BH313" s="13"/>
      <c r="BI313" s="13"/>
      <c r="BJ313" s="13"/>
      <c r="BK313" s="13"/>
      <c r="BL313" s="13"/>
      <c r="BM313" s="13"/>
      <c r="BN313" s="13"/>
      <c r="BO313" s="13"/>
      <c r="BP313" s="13"/>
      <c r="BQ313" s="13"/>
    </row>
    <row r="314" spans="1:69" ht="21" customHeight="1" x14ac:dyDescent="0.2">
      <c r="A314" s="660">
        <v>15</v>
      </c>
      <c r="B314" s="703" t="s">
        <v>503</v>
      </c>
      <c r="C314" s="607"/>
      <c r="D314" s="607"/>
      <c r="E314" s="607"/>
      <c r="F314" s="607"/>
      <c r="G314" s="607"/>
      <c r="H314" s="527"/>
      <c r="I314" s="101"/>
      <c r="J314" s="114"/>
      <c r="K314" s="13"/>
      <c r="L314" s="137"/>
      <c r="M314" s="137"/>
      <c r="N314" s="137"/>
      <c r="O314" s="137"/>
      <c r="P314" s="137"/>
      <c r="Q314" s="253"/>
      <c r="R314" s="1836"/>
      <c r="S314" s="1836"/>
      <c r="T314" s="1836"/>
      <c r="U314" s="1836"/>
      <c r="V314" s="254"/>
      <c r="W314" s="253"/>
      <c r="X314" s="253"/>
      <c r="AA314" s="38"/>
      <c r="AB314" s="38"/>
      <c r="AC314" s="38"/>
      <c r="AI314" s="13"/>
      <c r="AJ314" s="13"/>
      <c r="AK314" s="13"/>
      <c r="AL314" s="13"/>
      <c r="AM314" s="13"/>
      <c r="AN314" s="13"/>
      <c r="AO314" s="13"/>
      <c r="AP314" s="13"/>
      <c r="AQ314" s="13"/>
      <c r="AR314" s="13"/>
      <c r="AS314" s="13"/>
      <c r="AT314" s="13"/>
      <c r="AU314" s="13"/>
      <c r="AV314" s="13"/>
      <c r="AW314" s="13"/>
      <c r="AX314" s="13"/>
      <c r="AY314" s="13"/>
      <c r="AZ314" s="13"/>
      <c r="BA314" s="13"/>
      <c r="BB314" s="13"/>
      <c r="BC314" s="13"/>
      <c r="BD314" s="13"/>
      <c r="BE314" s="13"/>
      <c r="BF314" s="13"/>
      <c r="BG314" s="13"/>
      <c r="BH314" s="13"/>
      <c r="BI314" s="13"/>
      <c r="BJ314" s="13"/>
      <c r="BK314" s="13"/>
      <c r="BL314" s="13"/>
      <c r="BM314" s="13"/>
      <c r="BN314" s="13"/>
      <c r="BO314" s="13"/>
      <c r="BP314" s="13"/>
      <c r="BQ314" s="13"/>
    </row>
    <row r="315" spans="1:69" ht="10.5" customHeight="1" x14ac:dyDescent="0.2">
      <c r="A315" s="13"/>
      <c r="B315" s="255"/>
      <c r="C315" s="138"/>
      <c r="D315" s="256"/>
      <c r="E315" s="256"/>
      <c r="F315" s="256"/>
      <c r="G315" s="257"/>
      <c r="H315" s="258"/>
      <c r="I315" s="101"/>
      <c r="J315" s="13"/>
      <c r="K315" s="13"/>
      <c r="L315" s="137"/>
      <c r="M315" s="137"/>
      <c r="N315" s="137"/>
      <c r="O315" s="137"/>
      <c r="P315" s="137"/>
      <c r="Q315" s="38"/>
      <c r="R315" s="45"/>
      <c r="S315" s="45"/>
      <c r="T315" s="45"/>
      <c r="U315" s="45"/>
      <c r="V315" s="45"/>
      <c r="W315" s="45"/>
      <c r="X315" s="38"/>
      <c r="AA315" s="38"/>
      <c r="AB315" s="38"/>
      <c r="AC315" s="38"/>
      <c r="AI315" s="13"/>
      <c r="AJ315" s="13"/>
      <c r="AK315" s="13"/>
      <c r="AL315" s="13"/>
      <c r="AM315" s="13"/>
      <c r="AN315" s="13"/>
      <c r="AO315" s="13"/>
      <c r="AP315" s="13"/>
      <c r="AQ315" s="13"/>
      <c r="AR315" s="13"/>
      <c r="AS315" s="13"/>
      <c r="AT315" s="13"/>
      <c r="AU315" s="13"/>
      <c r="AV315" s="13"/>
      <c r="AW315" s="13"/>
      <c r="AX315" s="13"/>
      <c r="AY315" s="13"/>
      <c r="AZ315" s="13"/>
      <c r="BA315" s="13"/>
      <c r="BB315" s="13"/>
      <c r="BC315" s="13"/>
      <c r="BD315" s="13"/>
      <c r="BE315" s="13"/>
      <c r="BF315" s="13"/>
      <c r="BG315" s="13"/>
      <c r="BH315" s="13"/>
      <c r="BI315" s="13"/>
      <c r="BJ315" s="13"/>
      <c r="BK315" s="13"/>
      <c r="BL315" s="13"/>
      <c r="BM315" s="13"/>
      <c r="BN315" s="13"/>
      <c r="BO315" s="13"/>
      <c r="BP315" s="13"/>
      <c r="BQ315" s="13"/>
    </row>
    <row r="316" spans="1:69" ht="13.5" customHeight="1" x14ac:dyDescent="0.2">
      <c r="A316" s="13"/>
      <c r="B316" s="259"/>
      <c r="C316" s="260"/>
      <c r="D316" s="1798" t="s">
        <v>36</v>
      </c>
      <c r="E316" s="1725" t="s">
        <v>179</v>
      </c>
      <c r="F316" s="1840" t="s">
        <v>504</v>
      </c>
      <c r="H316" s="258"/>
      <c r="I316" s="101"/>
      <c r="J316" s="13"/>
      <c r="K316" s="13"/>
      <c r="L316" s="137"/>
      <c r="M316" s="137"/>
      <c r="N316" s="137"/>
      <c r="O316" s="137"/>
      <c r="P316" s="137"/>
      <c r="Q316" s="38"/>
      <c r="R316" s="45"/>
      <c r="S316" s="45"/>
      <c r="T316" s="45"/>
      <c r="U316" s="45"/>
      <c r="V316" s="45"/>
      <c r="W316" s="137"/>
      <c r="X316" s="137"/>
      <c r="AA316" s="38"/>
      <c r="AB316" s="38"/>
      <c r="AC316" s="38"/>
      <c r="AI316" s="13"/>
      <c r="AJ316" s="13"/>
      <c r="AK316" s="13"/>
      <c r="AL316" s="13"/>
      <c r="AM316" s="13"/>
      <c r="AN316" s="13"/>
      <c r="AO316" s="13"/>
      <c r="AP316" s="13"/>
      <c r="AQ316" s="13"/>
      <c r="AR316" s="13"/>
      <c r="AS316" s="13"/>
      <c r="AT316" s="13"/>
      <c r="AU316" s="13"/>
      <c r="AV316" s="13"/>
      <c r="AW316" s="13"/>
      <c r="AX316" s="13"/>
      <c r="AY316" s="13"/>
      <c r="AZ316" s="13"/>
      <c r="BA316" s="13"/>
      <c r="BB316" s="13"/>
      <c r="BC316" s="13"/>
      <c r="BD316" s="13"/>
      <c r="BE316" s="13"/>
      <c r="BF316" s="13"/>
      <c r="BG316" s="13"/>
      <c r="BH316" s="13"/>
      <c r="BI316" s="13"/>
      <c r="BJ316" s="13"/>
      <c r="BK316" s="13"/>
      <c r="BL316" s="13"/>
      <c r="BM316" s="13"/>
      <c r="BN316" s="13"/>
      <c r="BO316" s="13"/>
      <c r="BP316" s="13"/>
      <c r="BQ316" s="13"/>
    </row>
    <row r="317" spans="1:69" ht="14.25" customHeight="1" x14ac:dyDescent="0.2">
      <c r="A317" s="13"/>
      <c r="B317" s="741" t="s">
        <v>505</v>
      </c>
      <c r="C317" s="260"/>
      <c r="D317" s="1798"/>
      <c r="E317" s="1725"/>
      <c r="F317" s="1840"/>
      <c r="H317" s="258"/>
      <c r="I317" s="101"/>
      <c r="J317" s="13"/>
      <c r="K317" s="13"/>
      <c r="L317" s="137"/>
      <c r="M317" s="137"/>
      <c r="N317" s="137"/>
      <c r="O317" s="137"/>
      <c r="P317" s="137"/>
      <c r="Q317" s="45"/>
      <c r="R317" s="45"/>
      <c r="S317" s="45"/>
      <c r="T317" s="13"/>
      <c r="U317" s="13"/>
      <c r="V317" s="13"/>
      <c r="W317" s="13"/>
      <c r="X317" s="13"/>
      <c r="AA317" s="45"/>
      <c r="AB317" s="45"/>
      <c r="AC317" s="45"/>
      <c r="AI317" s="13"/>
      <c r="AJ317" s="13"/>
      <c r="AK317" s="13"/>
      <c r="AL317" s="13"/>
      <c r="AM317" s="13"/>
      <c r="AN317" s="13"/>
      <c r="AO317" s="13"/>
      <c r="AP317" s="13"/>
      <c r="AQ317" s="13"/>
      <c r="AR317" s="13"/>
      <c r="AS317" s="13"/>
      <c r="AT317" s="13"/>
      <c r="AU317" s="13"/>
      <c r="AV317" s="13"/>
      <c r="AW317" s="13"/>
      <c r="AX317" s="13"/>
      <c r="AY317" s="13"/>
      <c r="AZ317" s="13"/>
      <c r="BA317" s="13"/>
      <c r="BB317" s="13"/>
      <c r="BC317" s="13"/>
      <c r="BD317" s="13"/>
      <c r="BE317" s="13"/>
      <c r="BF317" s="13"/>
      <c r="BG317" s="13"/>
      <c r="BH317" s="13"/>
      <c r="BI317" s="13"/>
      <c r="BJ317" s="13"/>
      <c r="BK317" s="13"/>
      <c r="BL317" s="13"/>
      <c r="BM317" s="13"/>
      <c r="BN317" s="13"/>
      <c r="BO317" s="13"/>
      <c r="BP317" s="13"/>
      <c r="BQ317" s="13"/>
    </row>
    <row r="318" spans="1:69" ht="16.5" customHeight="1" x14ac:dyDescent="0.2">
      <c r="A318" s="13"/>
      <c r="B318" s="1837" t="s">
        <v>506</v>
      </c>
      <c r="C318" s="551" t="s">
        <v>507</v>
      </c>
      <c r="D318" s="1364"/>
      <c r="E318" s="392">
        <v>1</v>
      </c>
      <c r="F318" s="699" t="str">
        <f>IF(D318&gt;0,D318/'GUIA DE APLICAÇÃO'!$I$1137," ")</f>
        <v xml:space="preserve"> </v>
      </c>
      <c r="H318" s="258"/>
      <c r="I318" s="101"/>
      <c r="J318" s="13"/>
      <c r="K318" s="13"/>
      <c r="L318" s="137"/>
      <c r="M318" s="137"/>
      <c r="N318" s="137"/>
      <c r="O318" s="137"/>
      <c r="P318" s="137"/>
      <c r="Q318" s="45"/>
      <c r="R318" s="45"/>
      <c r="S318" s="45"/>
      <c r="T318" s="13"/>
      <c r="U318" s="13"/>
      <c r="V318" s="13"/>
      <c r="W318" s="13"/>
      <c r="X318" s="13"/>
      <c r="AA318" s="45"/>
      <c r="AB318" s="45"/>
      <c r="AC318" s="45"/>
      <c r="AI318" s="13"/>
      <c r="AJ318" s="13"/>
      <c r="AK318" s="13"/>
      <c r="AL318" s="13"/>
      <c r="AM318" s="13"/>
      <c r="AN318" s="13"/>
      <c r="AO318" s="13"/>
      <c r="AP318" s="13"/>
      <c r="AQ318" s="13"/>
      <c r="AR318" s="13"/>
      <c r="AS318" s="13"/>
      <c r="AT318" s="13"/>
      <c r="AU318" s="13"/>
      <c r="AV318" s="13"/>
      <c r="AW318" s="13"/>
      <c r="AX318" s="13"/>
      <c r="AY318" s="13"/>
      <c r="AZ318" s="13"/>
      <c r="BA318" s="13"/>
      <c r="BB318" s="13"/>
      <c r="BC318" s="13"/>
      <c r="BD318" s="13"/>
      <c r="BE318" s="13"/>
      <c r="BF318" s="13"/>
      <c r="BG318" s="13"/>
      <c r="BH318" s="13"/>
      <c r="BI318" s="13"/>
      <c r="BJ318" s="13"/>
      <c r="BK318" s="13"/>
      <c r="BL318" s="13"/>
      <c r="BM318" s="13"/>
      <c r="BN318" s="13"/>
      <c r="BO318" s="13"/>
      <c r="BP318" s="13"/>
      <c r="BQ318" s="13"/>
    </row>
    <row r="319" spans="1:69" ht="16.5" customHeight="1" x14ac:dyDescent="0.2">
      <c r="A319" s="13"/>
      <c r="B319" s="1838"/>
      <c r="C319" s="551" t="s">
        <v>508</v>
      </c>
      <c r="D319" s="1364"/>
      <c r="E319" s="392">
        <v>0.8</v>
      </c>
      <c r="F319" s="699" t="str">
        <f>IF(D319&gt;0,D319/'GUIA DE APLICAÇÃO'!$I$1137," ")</f>
        <v xml:space="preserve"> </v>
      </c>
      <c r="H319" s="258"/>
      <c r="I319" s="101"/>
      <c r="J319" s="13"/>
      <c r="K319" s="13"/>
      <c r="L319" s="137"/>
      <c r="M319" s="137"/>
      <c r="N319" s="137"/>
      <c r="O319" s="137"/>
      <c r="P319" s="137"/>
      <c r="Q319" s="45"/>
      <c r="R319" s="45"/>
      <c r="S319" s="45"/>
      <c r="T319" s="13"/>
      <c r="U319" s="13"/>
      <c r="V319" s="13"/>
      <c r="W319" s="13"/>
      <c r="X319" s="13"/>
      <c r="AA319" s="45"/>
      <c r="AB319" s="45"/>
      <c r="AC319" s="45"/>
      <c r="AI319" s="13"/>
      <c r="AJ319" s="13"/>
      <c r="AK319" s="13"/>
      <c r="AL319" s="13"/>
      <c r="AM319" s="13"/>
      <c r="AN319" s="13"/>
      <c r="AO319" s="13"/>
      <c r="AP319" s="13"/>
      <c r="AQ319" s="13"/>
      <c r="AR319" s="13"/>
      <c r="AS319" s="13"/>
      <c r="AT319" s="13"/>
      <c r="AU319" s="13"/>
      <c r="AV319" s="13"/>
      <c r="AW319" s="13"/>
      <c r="AX319" s="13"/>
      <c r="AY319" s="13"/>
      <c r="AZ319" s="13"/>
      <c r="BA319" s="13"/>
      <c r="BB319" s="13"/>
      <c r="BC319" s="13"/>
      <c r="BD319" s="13"/>
      <c r="BE319" s="13"/>
      <c r="BF319" s="13"/>
      <c r="BG319" s="13"/>
      <c r="BH319" s="13"/>
      <c r="BI319" s="13"/>
      <c r="BJ319" s="13"/>
      <c r="BK319" s="13"/>
      <c r="BL319" s="13"/>
      <c r="BM319" s="13"/>
      <c r="BN319" s="13"/>
      <c r="BO319" s="13"/>
      <c r="BP319" s="13"/>
      <c r="BQ319" s="13"/>
    </row>
    <row r="320" spans="1:69" ht="16.5" customHeight="1" x14ac:dyDescent="0.2">
      <c r="A320" s="13"/>
      <c r="B320" s="1839"/>
      <c r="C320" s="551" t="s">
        <v>509</v>
      </c>
      <c r="D320" s="1364"/>
      <c r="E320" s="392">
        <v>0.5</v>
      </c>
      <c r="F320" s="700" t="str">
        <f>IF(D320&gt;0,D320/'GUIA DE APLICAÇÃO'!$I$1137," ")</f>
        <v xml:space="preserve"> </v>
      </c>
      <c r="H320" s="258"/>
      <c r="I320" s="101"/>
      <c r="J320" s="13"/>
      <c r="K320" s="13"/>
      <c r="L320" s="137"/>
      <c r="M320" s="137"/>
      <c r="N320" s="137"/>
      <c r="O320" s="137"/>
      <c r="P320" s="137"/>
      <c r="Q320" s="45"/>
      <c r="R320" s="45"/>
      <c r="S320" s="45"/>
      <c r="T320" s="13"/>
      <c r="U320" s="13"/>
      <c r="V320" s="13"/>
      <c r="W320" s="13"/>
      <c r="X320" s="13"/>
      <c r="AA320" s="45"/>
      <c r="AB320" s="45"/>
      <c r="AC320" s="45"/>
      <c r="AI320" s="13"/>
      <c r="AJ320" s="13"/>
      <c r="AK320" s="13"/>
      <c r="AL320" s="13"/>
      <c r="AM320" s="13"/>
      <c r="AN320" s="13"/>
      <c r="AO320" s="13"/>
      <c r="AP320" s="13"/>
      <c r="AQ320" s="13"/>
      <c r="AR320" s="13"/>
      <c r="AS320" s="13"/>
      <c r="AT320" s="13"/>
      <c r="AU320" s="13"/>
      <c r="AV320" s="13"/>
      <c r="AW320" s="13"/>
      <c r="AX320" s="13"/>
      <c r="AY320" s="13"/>
      <c r="AZ320" s="13"/>
      <c r="BA320" s="13"/>
      <c r="BB320" s="13"/>
      <c r="BC320" s="13"/>
      <c r="BD320" s="13"/>
      <c r="BE320" s="13"/>
      <c r="BF320" s="13"/>
      <c r="BG320" s="13"/>
      <c r="BH320" s="13"/>
      <c r="BI320" s="13"/>
      <c r="BJ320" s="13"/>
      <c r="BK320" s="13"/>
      <c r="BL320" s="13"/>
      <c r="BM320" s="13"/>
      <c r="BN320" s="13"/>
      <c r="BO320" s="13"/>
      <c r="BP320" s="13"/>
      <c r="BQ320" s="13"/>
    </row>
    <row r="321" spans="1:69" ht="16.5" customHeight="1" x14ac:dyDescent="0.2">
      <c r="A321" s="13"/>
      <c r="B321" s="259"/>
      <c r="C321" s="38"/>
      <c r="D321" s="1747" t="s">
        <v>510</v>
      </c>
      <c r="E321" s="1725" t="s">
        <v>179</v>
      </c>
      <c r="F321" s="38"/>
      <c r="G321" s="1776" t="s">
        <v>511</v>
      </c>
      <c r="H321" s="1777"/>
      <c r="I321" s="101"/>
      <c r="J321" s="137"/>
      <c r="K321" s="13"/>
      <c r="L321" s="137"/>
      <c r="M321" s="137"/>
      <c r="N321" s="137"/>
      <c r="O321" s="137"/>
      <c r="P321" s="137"/>
      <c r="Q321" s="137"/>
      <c r="R321" s="137"/>
      <c r="S321" s="137"/>
      <c r="T321" s="13"/>
      <c r="U321" s="13"/>
      <c r="V321" s="13"/>
      <c r="W321" s="13"/>
      <c r="X321" s="13"/>
      <c r="AA321" s="45"/>
      <c r="AB321" s="45"/>
      <c r="AC321" s="45"/>
      <c r="AI321" s="13"/>
      <c r="AJ321" s="13"/>
      <c r="AK321" s="13"/>
      <c r="AL321" s="13"/>
      <c r="AM321" s="13"/>
      <c r="AN321" s="13"/>
      <c r="AO321" s="13"/>
      <c r="AP321" s="13"/>
      <c r="AQ321" s="13"/>
      <c r="AR321" s="13"/>
      <c r="AS321" s="13"/>
      <c r="AT321" s="13"/>
      <c r="AU321" s="13"/>
      <c r="AV321" s="13"/>
      <c r="AW321" s="13"/>
      <c r="AX321" s="13"/>
      <c r="AY321" s="13"/>
      <c r="AZ321" s="13"/>
      <c r="BA321" s="13"/>
      <c r="BB321" s="13"/>
      <c r="BC321" s="13"/>
      <c r="BD321" s="13"/>
      <c r="BE321" s="13"/>
      <c r="BF321" s="13"/>
      <c r="BG321" s="13"/>
      <c r="BH321" s="13"/>
      <c r="BI321" s="13"/>
      <c r="BJ321" s="13"/>
      <c r="BK321" s="13"/>
      <c r="BL321" s="13"/>
      <c r="BM321" s="13"/>
      <c r="BN321" s="13"/>
      <c r="BO321" s="13"/>
      <c r="BP321" s="13"/>
      <c r="BQ321" s="13"/>
    </row>
    <row r="322" spans="1:69" ht="16.5" customHeight="1" x14ac:dyDescent="0.2">
      <c r="A322" s="13"/>
      <c r="B322" s="259"/>
      <c r="C322" s="38"/>
      <c r="D322" s="1748"/>
      <c r="E322" s="1725"/>
      <c r="F322" s="38"/>
      <c r="G322" s="1776"/>
      <c r="H322" s="1777"/>
      <c r="I322" s="101"/>
      <c r="J322" s="137"/>
      <c r="K322" s="13"/>
      <c r="L322" s="137"/>
      <c r="M322" s="137"/>
      <c r="N322" s="137"/>
      <c r="O322" s="137"/>
      <c r="P322" s="137"/>
      <c r="Q322" s="137"/>
      <c r="R322" s="137"/>
      <c r="S322" s="137"/>
      <c r="T322" s="13"/>
      <c r="U322" s="13"/>
      <c r="V322" s="13"/>
      <c r="W322" s="13"/>
      <c r="X322" s="13"/>
      <c r="AA322" s="45"/>
      <c r="AB322" s="45"/>
      <c r="AC322" s="45"/>
      <c r="AI322" s="13"/>
      <c r="AJ322" s="13"/>
      <c r="AK322" s="13"/>
      <c r="AL322" s="13"/>
      <c r="AM322" s="13"/>
      <c r="AN322" s="13"/>
      <c r="AO322" s="13"/>
      <c r="AP322" s="13"/>
      <c r="AQ322" s="13"/>
      <c r="AR322" s="13"/>
      <c r="AS322" s="13"/>
      <c r="AT322" s="13"/>
      <c r="AU322" s="13"/>
      <c r="AV322" s="13"/>
      <c r="AW322" s="13"/>
      <c r="AX322" s="13"/>
      <c r="AY322" s="13"/>
      <c r="AZ322" s="13"/>
      <c r="BA322" s="13"/>
      <c r="BB322" s="13"/>
      <c r="BC322" s="13"/>
      <c r="BD322" s="13"/>
      <c r="BE322" s="13"/>
      <c r="BF322" s="13"/>
      <c r="BG322" s="13"/>
      <c r="BH322" s="13"/>
      <c r="BI322" s="13"/>
      <c r="BJ322" s="13"/>
      <c r="BK322" s="13"/>
      <c r="BL322" s="13"/>
      <c r="BM322" s="13"/>
      <c r="BN322" s="13"/>
      <c r="BO322" s="13"/>
      <c r="BP322" s="13"/>
      <c r="BQ322" s="13"/>
    </row>
    <row r="323" spans="1:69" ht="16.5" customHeight="1" x14ac:dyDescent="0.2">
      <c r="A323" s="13"/>
      <c r="B323" s="1744" t="s">
        <v>512</v>
      </c>
      <c r="C323" s="680" t="s">
        <v>513</v>
      </c>
      <c r="D323" s="416"/>
      <c r="E323" s="392">
        <v>1.2</v>
      </c>
      <c r="F323" s="38"/>
      <c r="G323" s="1776"/>
      <c r="H323" s="1777"/>
      <c r="I323" s="101"/>
      <c r="J323" s="262"/>
      <c r="K323" s="13"/>
      <c r="L323" s="137"/>
      <c r="M323" s="137"/>
      <c r="N323" s="137"/>
      <c r="O323" s="137"/>
      <c r="P323" s="137"/>
      <c r="Q323" s="45"/>
      <c r="R323" s="45"/>
      <c r="S323" s="45"/>
      <c r="T323" s="13"/>
      <c r="U323" s="13"/>
      <c r="V323" s="13"/>
      <c r="W323" s="13"/>
      <c r="X323" s="13"/>
      <c r="AA323" s="45"/>
      <c r="AB323" s="45"/>
      <c r="AC323" s="45"/>
      <c r="AI323" s="13"/>
      <c r="AJ323" s="13"/>
      <c r="AK323" s="13"/>
      <c r="AL323" s="13"/>
      <c r="AM323" s="13"/>
      <c r="AN323" s="13"/>
      <c r="AO323" s="13"/>
      <c r="AP323" s="13"/>
      <c r="AQ323" s="13"/>
      <c r="AR323" s="13"/>
      <c r="AS323" s="13"/>
      <c r="AT323" s="13"/>
      <c r="AU323" s="13"/>
      <c r="AV323" s="13"/>
      <c r="AW323" s="13"/>
      <c r="AX323" s="13"/>
      <c r="AY323" s="13"/>
      <c r="AZ323" s="13"/>
      <c r="BA323" s="13"/>
      <c r="BB323" s="13"/>
      <c r="BC323" s="13"/>
      <c r="BD323" s="13"/>
      <c r="BE323" s="13"/>
      <c r="BF323" s="13"/>
      <c r="BG323" s="13"/>
      <c r="BH323" s="13"/>
      <c r="BI323" s="13"/>
      <c r="BJ323" s="13"/>
      <c r="BK323" s="13"/>
      <c r="BL323" s="13"/>
      <c r="BM323" s="13"/>
      <c r="BN323" s="13"/>
      <c r="BO323" s="13"/>
      <c r="BP323" s="13"/>
      <c r="BQ323" s="13"/>
    </row>
    <row r="324" spans="1:69" ht="16.5" customHeight="1" x14ac:dyDescent="0.2">
      <c r="A324" s="13"/>
      <c r="B324" s="1745"/>
      <c r="C324" s="680" t="s">
        <v>514</v>
      </c>
      <c r="D324" s="416"/>
      <c r="E324" s="392">
        <v>1</v>
      </c>
      <c r="F324" s="38"/>
      <c r="G324" s="1776"/>
      <c r="H324" s="1777"/>
      <c r="I324" s="101"/>
      <c r="J324" s="137"/>
      <c r="K324" s="13"/>
      <c r="L324" s="137"/>
      <c r="M324" s="137"/>
      <c r="N324" s="137"/>
      <c r="O324" s="137"/>
      <c r="P324" s="137"/>
      <c r="Q324" s="137"/>
      <c r="R324" s="137"/>
      <c r="S324" s="137"/>
      <c r="T324" s="137"/>
      <c r="U324" s="137"/>
      <c r="V324" s="137"/>
      <c r="W324" s="38"/>
      <c r="X324" s="13"/>
      <c r="AA324" s="13"/>
      <c r="AB324" s="13"/>
      <c r="AC324" s="13"/>
      <c r="AI324" s="13"/>
      <c r="AJ324" s="13"/>
      <c r="AK324" s="13"/>
      <c r="AL324" s="13"/>
      <c r="AM324" s="13"/>
      <c r="AN324" s="13"/>
      <c r="AO324" s="13"/>
      <c r="AP324" s="13"/>
      <c r="AQ324" s="13"/>
      <c r="AR324" s="13"/>
      <c r="AS324" s="13"/>
      <c r="AT324" s="13"/>
      <c r="AU324" s="13"/>
      <c r="AV324" s="13"/>
      <c r="AW324" s="13"/>
      <c r="AX324" s="13"/>
      <c r="AY324" s="13"/>
      <c r="AZ324" s="13"/>
      <c r="BA324" s="13"/>
      <c r="BB324" s="13"/>
      <c r="BC324" s="13"/>
      <c r="BD324" s="13"/>
      <c r="BE324" s="13"/>
      <c r="BF324" s="13"/>
      <c r="BG324" s="13"/>
      <c r="BH324" s="13"/>
      <c r="BI324" s="13"/>
      <c r="BJ324" s="13"/>
      <c r="BK324" s="13"/>
      <c r="BL324" s="13"/>
      <c r="BM324" s="13"/>
      <c r="BN324" s="13"/>
      <c r="BO324" s="13"/>
      <c r="BP324" s="13"/>
      <c r="BQ324" s="13"/>
    </row>
    <row r="325" spans="1:69" ht="16.5" customHeight="1" x14ac:dyDescent="0.2">
      <c r="A325" s="13"/>
      <c r="B325" s="1746"/>
      <c r="C325" s="680" t="s">
        <v>515</v>
      </c>
      <c r="D325" s="416"/>
      <c r="E325" s="392">
        <v>0.8</v>
      </c>
      <c r="F325" s="13"/>
      <c r="G325" s="1776"/>
      <c r="H325" s="1777"/>
      <c r="I325" s="101"/>
      <c r="J325" s="137"/>
      <c r="K325" s="13"/>
      <c r="L325" s="137"/>
      <c r="M325" s="137"/>
      <c r="N325" s="137"/>
      <c r="O325" s="137"/>
      <c r="P325" s="137"/>
      <c r="Q325" s="137"/>
      <c r="R325" s="137"/>
      <c r="S325" s="137"/>
      <c r="T325" s="137"/>
      <c r="U325" s="137"/>
      <c r="V325" s="137"/>
      <c r="W325" s="38"/>
      <c r="X325" s="13"/>
      <c r="Y325" s="13"/>
      <c r="Z325" s="13"/>
      <c r="AA325" s="13"/>
      <c r="AB325" s="13"/>
      <c r="AC325" s="13"/>
      <c r="AI325" s="13"/>
      <c r="AJ325" s="13"/>
      <c r="AK325" s="13"/>
      <c r="AL325" s="13"/>
      <c r="AM325" s="13"/>
      <c r="AN325" s="13"/>
      <c r="AO325" s="13"/>
      <c r="AP325" s="13"/>
      <c r="AQ325" s="13"/>
      <c r="AR325" s="13"/>
      <c r="AS325" s="13"/>
      <c r="AT325" s="13"/>
      <c r="AU325" s="13"/>
      <c r="AV325" s="13"/>
      <c r="AW325" s="13"/>
      <c r="AX325" s="13"/>
      <c r="AY325" s="13"/>
      <c r="AZ325" s="13"/>
      <c r="BA325" s="13"/>
      <c r="BB325" s="13"/>
      <c r="BC325" s="13"/>
      <c r="BD325" s="13"/>
      <c r="BE325" s="13"/>
      <c r="BF325" s="13"/>
      <c r="BG325" s="13"/>
      <c r="BH325" s="13"/>
      <c r="BI325" s="13"/>
      <c r="BJ325" s="13"/>
      <c r="BK325" s="13"/>
      <c r="BL325" s="13"/>
      <c r="BM325" s="13"/>
      <c r="BN325" s="13"/>
      <c r="BO325" s="13"/>
      <c r="BP325" s="13"/>
      <c r="BQ325" s="13"/>
    </row>
    <row r="326" spans="1:69" ht="16.5" customHeight="1" x14ac:dyDescent="0.2">
      <c r="A326" s="13"/>
      <c r="B326" s="263" t="s">
        <v>516</v>
      </c>
      <c r="C326" s="264"/>
      <c r="D326" s="32"/>
      <c r="E326" s="13"/>
      <c r="F326" s="13"/>
      <c r="G326" s="1776"/>
      <c r="H326" s="1777"/>
      <c r="I326" s="101"/>
      <c r="J326" s="137"/>
      <c r="K326" s="13"/>
      <c r="L326" s="137"/>
      <c r="M326" s="137"/>
      <c r="N326" s="137"/>
      <c r="O326" s="137"/>
      <c r="P326" s="137"/>
      <c r="Q326" s="137"/>
      <c r="R326" s="137"/>
      <c r="S326" s="137"/>
      <c r="T326" s="137"/>
      <c r="U326" s="137"/>
      <c r="V326" s="137"/>
      <c r="W326" s="38"/>
      <c r="X326" s="13"/>
      <c r="Y326" s="13"/>
      <c r="Z326" s="13"/>
      <c r="AA326" s="13"/>
      <c r="AB326" s="13"/>
      <c r="AC326" s="13"/>
      <c r="AI326" s="13"/>
      <c r="AJ326" s="13"/>
      <c r="AK326" s="13"/>
      <c r="AL326" s="13"/>
      <c r="AM326" s="13"/>
      <c r="AN326" s="13"/>
      <c r="AO326" s="13"/>
      <c r="AP326" s="13"/>
      <c r="AQ326" s="13"/>
      <c r="AR326" s="13"/>
      <c r="AS326" s="13"/>
      <c r="AT326" s="13"/>
      <c r="AU326" s="13"/>
      <c r="AV326" s="13"/>
      <c r="AW326" s="13"/>
      <c r="AX326" s="13"/>
      <c r="AY326" s="13"/>
      <c r="AZ326" s="13"/>
      <c r="BA326" s="13"/>
      <c r="BB326" s="13"/>
      <c r="BC326" s="13"/>
      <c r="BD326" s="13"/>
      <c r="BE326" s="13"/>
      <c r="BF326" s="13"/>
      <c r="BG326" s="13"/>
      <c r="BH326" s="13"/>
      <c r="BI326" s="13"/>
      <c r="BJ326" s="13"/>
      <c r="BK326" s="13"/>
      <c r="BL326" s="13"/>
      <c r="BM326" s="13"/>
      <c r="BN326" s="13"/>
      <c r="BO326" s="13"/>
      <c r="BP326" s="13"/>
      <c r="BQ326" s="13"/>
    </row>
    <row r="327" spans="1:69" ht="14.25" customHeight="1" x14ac:dyDescent="0.2">
      <c r="A327" s="13"/>
      <c r="B327" s="290" t="s">
        <v>274</v>
      </c>
      <c r="C327" s="678">
        <f>IF('GUIA DE APLICAÇÃO'!E1125&gt;0,('GUIA DE APLICAÇÃO'!E1125*'GUIA DE APLICAÇÃO'!E1126*1.2)+('GUIA DE APLICAÇÃO'!E1125*'GUIA DE APLICAÇÃO'!F1126)+('GUIA DE APLICAÇÃO'!E1125*'GUIA DE APLICAÇÃO'!G1126*0.8),0.7)</f>
        <v>0.7</v>
      </c>
      <c r="D327" s="385" t="s">
        <v>517</v>
      </c>
      <c r="E327" s="265"/>
      <c r="F327" s="265"/>
      <c r="G327" s="1778"/>
      <c r="H327" s="1779"/>
      <c r="I327" s="101"/>
      <c r="J327" s="137"/>
      <c r="K327" s="13"/>
      <c r="L327" s="137"/>
      <c r="M327" s="137"/>
      <c r="N327" s="137"/>
      <c r="O327" s="137"/>
      <c r="P327" s="137"/>
      <c r="Q327" s="137"/>
      <c r="R327" s="137"/>
      <c r="S327" s="137"/>
      <c r="T327" s="137"/>
      <c r="U327" s="137"/>
      <c r="V327" s="137"/>
      <c r="W327" s="13"/>
      <c r="X327" s="13"/>
      <c r="Y327" s="13"/>
      <c r="Z327" s="13"/>
      <c r="AA327" s="13"/>
      <c r="AB327" s="13"/>
      <c r="AC327" s="13"/>
      <c r="AD327" s="13"/>
      <c r="AE327" s="13"/>
      <c r="AF327" s="13"/>
      <c r="AG327" s="13"/>
      <c r="AH327" s="13"/>
      <c r="AI327" s="13"/>
      <c r="AJ327" s="13"/>
      <c r="AK327" s="13"/>
      <c r="AL327" s="13"/>
      <c r="AM327" s="13"/>
      <c r="AN327" s="13"/>
      <c r="AO327" s="13"/>
      <c r="AP327" s="13"/>
      <c r="AQ327" s="13"/>
      <c r="AR327" s="13"/>
      <c r="AS327" s="13"/>
      <c r="AT327" s="13"/>
      <c r="AU327" s="13"/>
      <c r="AV327" s="13"/>
      <c r="AW327" s="13"/>
      <c r="AX327" s="13"/>
      <c r="AY327" s="13"/>
      <c r="AZ327" s="13"/>
      <c r="BA327" s="13"/>
      <c r="BB327" s="13"/>
      <c r="BC327" s="13"/>
      <c r="BD327" s="13"/>
      <c r="BE327" s="13"/>
      <c r="BF327" s="13"/>
      <c r="BG327" s="13"/>
      <c r="BH327" s="13"/>
      <c r="BI327" s="13"/>
      <c r="BJ327" s="13"/>
      <c r="BK327" s="13"/>
      <c r="BL327" s="13"/>
      <c r="BM327" s="13"/>
      <c r="BN327" s="13"/>
      <c r="BO327" s="13"/>
      <c r="BP327" s="13"/>
      <c r="BQ327" s="13"/>
    </row>
    <row r="328" spans="1:69" ht="18" customHeight="1" x14ac:dyDescent="0.2">
      <c r="A328" s="13"/>
      <c r="B328" s="681"/>
      <c r="C328" s="262"/>
      <c r="D328" s="637"/>
      <c r="E328" s="138"/>
      <c r="F328" s="138"/>
      <c r="G328" s="1520"/>
      <c r="H328" s="1520"/>
      <c r="I328" s="694"/>
      <c r="J328" s="137"/>
      <c r="K328" s="13"/>
      <c r="L328" s="137"/>
      <c r="M328" s="137"/>
      <c r="N328" s="137"/>
      <c r="O328" s="137"/>
      <c r="P328" s="137"/>
      <c r="Q328" s="137"/>
      <c r="R328" s="137"/>
      <c r="S328" s="137"/>
      <c r="T328" s="137"/>
      <c r="U328" s="137"/>
      <c r="V328" s="137"/>
      <c r="W328" s="13"/>
      <c r="X328" s="13"/>
      <c r="Y328" s="13"/>
      <c r="Z328" s="13"/>
      <c r="AA328" s="13"/>
      <c r="AB328" s="13"/>
      <c r="AC328" s="13"/>
      <c r="AD328" s="13"/>
      <c r="AE328" s="13"/>
      <c r="AF328" s="13"/>
      <c r="AG328" s="13"/>
      <c r="AH328" s="13"/>
      <c r="AI328" s="13"/>
      <c r="AJ328" s="13"/>
      <c r="AK328" s="13"/>
      <c r="AL328" s="13"/>
      <c r="AM328" s="13"/>
      <c r="AN328" s="13"/>
      <c r="AO328" s="13"/>
      <c r="AP328" s="13"/>
      <c r="AQ328" s="13"/>
      <c r="AR328" s="13"/>
      <c r="AS328" s="13"/>
      <c r="AT328" s="13"/>
      <c r="AU328" s="13"/>
      <c r="AV328" s="13"/>
      <c r="AW328" s="13"/>
      <c r="AX328" s="13"/>
      <c r="AY328" s="13"/>
      <c r="AZ328" s="13"/>
      <c r="BA328" s="13"/>
      <c r="BB328" s="13"/>
      <c r="BC328" s="13"/>
      <c r="BD328" s="13"/>
      <c r="BE328" s="13"/>
      <c r="BF328" s="13"/>
      <c r="BG328" s="13"/>
      <c r="BH328" s="13"/>
      <c r="BI328" s="13"/>
      <c r="BJ328" s="13"/>
      <c r="BK328" s="13"/>
      <c r="BL328" s="13"/>
      <c r="BM328" s="13"/>
      <c r="BN328" s="13"/>
      <c r="BO328" s="13"/>
      <c r="BP328" s="13"/>
      <c r="BQ328" s="13"/>
    </row>
    <row r="329" spans="1:69" ht="19.5" customHeight="1" x14ac:dyDescent="0.2">
      <c r="A329" s="660">
        <v>16</v>
      </c>
      <c r="B329" s="703" t="s">
        <v>518</v>
      </c>
      <c r="C329" s="607"/>
      <c r="D329" s="607"/>
      <c r="E329" s="607"/>
      <c r="F329" s="607"/>
      <c r="G329" s="607"/>
      <c r="H329" s="527"/>
      <c r="I329" s="114"/>
      <c r="J329" s="262"/>
      <c r="K329" s="262"/>
      <c r="L329" s="262"/>
      <c r="M329" s="45"/>
      <c r="N329" s="45"/>
      <c r="O329" s="45"/>
      <c r="P329" s="198"/>
      <c r="Q329" s="198"/>
      <c r="R329" s="198"/>
      <c r="S329" s="198"/>
      <c r="T329" s="45"/>
      <c r="U329" s="45"/>
      <c r="V329" s="45"/>
      <c r="W329" s="13"/>
      <c r="X329" s="13"/>
      <c r="AA329" s="13"/>
      <c r="AB329" s="13"/>
      <c r="AC329" s="13"/>
      <c r="AI329" s="13"/>
      <c r="AJ329" s="13"/>
      <c r="AK329" s="13"/>
      <c r="AL329" s="13"/>
      <c r="AM329" s="13"/>
      <c r="AN329" s="13"/>
      <c r="AO329" s="13"/>
      <c r="AP329" s="13"/>
      <c r="AQ329" s="13"/>
      <c r="AR329" s="13"/>
      <c r="AS329" s="13"/>
      <c r="AT329" s="13"/>
      <c r="AU329" s="13"/>
      <c r="AV329" s="13"/>
      <c r="AW329" s="13"/>
      <c r="AX329" s="13"/>
      <c r="AY329" s="13"/>
      <c r="AZ329" s="13"/>
      <c r="BA329" s="13"/>
      <c r="BB329" s="13"/>
      <c r="BC329" s="13"/>
      <c r="BD329" s="13"/>
      <c r="BE329" s="13"/>
      <c r="BF329" s="13"/>
      <c r="BG329" s="13"/>
      <c r="BH329" s="13"/>
      <c r="BI329" s="13"/>
      <c r="BJ329" s="13"/>
      <c r="BK329" s="13"/>
      <c r="BL329" s="13"/>
      <c r="BM329" s="13"/>
      <c r="BN329" s="13"/>
      <c r="BO329" s="13"/>
      <c r="BP329" s="13"/>
      <c r="BQ329" s="13"/>
    </row>
    <row r="330" spans="1:69" ht="12" customHeight="1" x14ac:dyDescent="0.2">
      <c r="A330" s="144"/>
      <c r="B330" s="572"/>
      <c r="C330" s="602"/>
      <c r="D330" s="602"/>
      <c r="E330" s="602"/>
      <c r="F330" s="602"/>
      <c r="G330" s="602"/>
      <c r="H330" s="396"/>
      <c r="I330" s="101"/>
      <c r="J330" s="262"/>
      <c r="K330" s="262"/>
      <c r="L330" s="262"/>
      <c r="M330" s="45"/>
      <c r="N330" s="45"/>
      <c r="O330" s="45"/>
      <c r="P330" s="45"/>
      <c r="Q330" s="45"/>
      <c r="R330" s="45"/>
      <c r="S330" s="45"/>
      <c r="T330" s="45"/>
      <c r="U330" s="45"/>
      <c r="V330" s="45"/>
      <c r="W330" s="13"/>
      <c r="X330" s="13"/>
      <c r="AA330" s="13"/>
      <c r="AB330" s="13"/>
      <c r="AC330" s="13"/>
      <c r="AI330" s="13"/>
      <c r="AJ330" s="13"/>
      <c r="AK330" s="13"/>
      <c r="AL330" s="13"/>
      <c r="AM330" s="13"/>
      <c r="AN330" s="13"/>
      <c r="AO330" s="13"/>
      <c r="AP330" s="13"/>
      <c r="AQ330" s="13"/>
      <c r="AR330" s="13"/>
      <c r="AS330" s="13"/>
      <c r="AT330" s="13"/>
      <c r="AU330" s="13"/>
      <c r="AV330" s="13"/>
      <c r="AW330" s="13"/>
      <c r="AX330" s="13"/>
      <c r="AY330" s="13"/>
      <c r="AZ330" s="13"/>
      <c r="BA330" s="13"/>
      <c r="BB330" s="13"/>
      <c r="BC330" s="13"/>
      <c r="BD330" s="13"/>
      <c r="BE330" s="13"/>
      <c r="BF330" s="13"/>
      <c r="BG330" s="13"/>
      <c r="BH330" s="13"/>
      <c r="BI330" s="13"/>
      <c r="BJ330" s="13"/>
      <c r="BK330" s="13"/>
      <c r="BL330" s="13"/>
      <c r="BM330" s="13"/>
      <c r="BN330" s="13"/>
      <c r="BO330" s="13"/>
      <c r="BP330" s="13"/>
      <c r="BQ330" s="13"/>
    </row>
    <row r="331" spans="1:69" ht="25.5" customHeight="1" x14ac:dyDescent="0.2">
      <c r="A331" s="38"/>
      <c r="B331" s="266"/>
      <c r="C331" s="1740" t="s">
        <v>519</v>
      </c>
      <c r="D331" s="818" t="s">
        <v>520</v>
      </c>
      <c r="E331" s="817" t="s">
        <v>521</v>
      </c>
      <c r="F331" s="817" t="s">
        <v>522</v>
      </c>
      <c r="G331" s="819" t="s">
        <v>73</v>
      </c>
      <c r="H331" s="1523" t="s">
        <v>179</v>
      </c>
      <c r="I331" s="101"/>
      <c r="J331" s="262"/>
      <c r="K331" s="262"/>
      <c r="L331" s="262"/>
      <c r="M331" s="45"/>
      <c r="N331" s="45"/>
      <c r="O331" s="45"/>
      <c r="P331" s="267"/>
      <c r="Q331" s="267"/>
      <c r="R331" s="267"/>
      <c r="S331" s="13"/>
      <c r="T331" s="13"/>
      <c r="U331" s="13"/>
      <c r="V331" s="13"/>
      <c r="W331" s="137"/>
      <c r="X331" s="137"/>
      <c r="AA331" s="268"/>
      <c r="AB331" s="268"/>
      <c r="AC331" s="268"/>
      <c r="AI331" s="1522"/>
      <c r="AJ331" s="13"/>
      <c r="AK331" s="13"/>
      <c r="AL331" s="13"/>
      <c r="AM331" s="13"/>
      <c r="AN331" s="13"/>
      <c r="AO331" s="13"/>
      <c r="AP331" s="13"/>
      <c r="AQ331" s="13"/>
      <c r="AR331" s="13"/>
      <c r="AS331" s="13"/>
      <c r="AT331" s="13"/>
      <c r="AU331" s="13"/>
      <c r="AV331" s="13"/>
      <c r="AW331" s="13"/>
      <c r="AX331" s="13"/>
      <c r="AY331" s="13"/>
      <c r="AZ331" s="13"/>
      <c r="BA331" s="13"/>
      <c r="BB331" s="13"/>
      <c r="BC331" s="13"/>
      <c r="BD331" s="13"/>
      <c r="BE331" s="13"/>
      <c r="BF331" s="13"/>
      <c r="BG331" s="13"/>
      <c r="BH331" s="13"/>
      <c r="BI331" s="13"/>
      <c r="BJ331" s="13"/>
      <c r="BK331" s="13"/>
      <c r="BL331" s="13"/>
      <c r="BM331" s="13"/>
      <c r="BN331" s="13"/>
      <c r="BO331" s="13"/>
      <c r="BP331" s="13"/>
      <c r="BQ331" s="13"/>
    </row>
    <row r="332" spans="1:69" ht="15.75" customHeight="1" x14ac:dyDescent="0.2">
      <c r="A332" s="38"/>
      <c r="B332" s="266"/>
      <c r="C332" s="1741"/>
      <c r="D332" s="682">
        <f>+'1 QUESTIONÁRIO'!D113</f>
        <v>0</v>
      </c>
      <c r="E332" s="682">
        <f>+'1 QUESTIONÁRIO'!D114</f>
        <v>0</v>
      </c>
      <c r="F332" s="682">
        <f>+'1 QUESTIONÁRIO'!D115</f>
        <v>0</v>
      </c>
      <c r="G332" s="682">
        <f>+'1 QUESTIONÁRIO'!D116</f>
        <v>0</v>
      </c>
      <c r="H332" s="1517"/>
      <c r="I332" s="701"/>
      <c r="J332" s="262"/>
      <c r="K332" s="262"/>
      <c r="L332" s="262"/>
      <c r="M332" s="45"/>
      <c r="N332" s="45"/>
      <c r="O332" s="45"/>
      <c r="P332" s="267"/>
      <c r="Q332" s="267"/>
      <c r="R332" s="267"/>
      <c r="S332" s="13"/>
      <c r="T332" s="13"/>
      <c r="U332" s="13"/>
      <c r="V332" s="13"/>
      <c r="W332" s="137"/>
      <c r="X332" s="137"/>
      <c r="AA332" s="268"/>
      <c r="AB332" s="268"/>
      <c r="AC332" s="268"/>
      <c r="AI332" s="1522"/>
      <c r="AJ332" s="13"/>
      <c r="AK332" s="13"/>
      <c r="AL332" s="13"/>
      <c r="AM332" s="13"/>
      <c r="AN332" s="13"/>
      <c r="AO332" s="13"/>
      <c r="AP332" s="13"/>
      <c r="AQ332" s="13"/>
      <c r="AR332" s="13"/>
      <c r="AS332" s="13"/>
      <c r="AT332" s="13"/>
      <c r="AU332" s="13"/>
      <c r="AV332" s="13"/>
      <c r="AW332" s="13"/>
      <c r="AX332" s="13"/>
      <c r="AY332" s="13"/>
      <c r="AZ332" s="13"/>
      <c r="BA332" s="13"/>
      <c r="BB332" s="13"/>
      <c r="BC332" s="13"/>
      <c r="BD332" s="13"/>
      <c r="BE332" s="13"/>
      <c r="BF332" s="13"/>
      <c r="BG332" s="13"/>
      <c r="BH332" s="13"/>
      <c r="BI332" s="13"/>
      <c r="BJ332" s="13"/>
      <c r="BK332" s="13"/>
      <c r="BL332" s="13"/>
      <c r="BM332" s="13"/>
      <c r="BN332" s="13"/>
      <c r="BO332" s="13"/>
      <c r="BP332" s="13"/>
      <c r="BQ332" s="13"/>
    </row>
    <row r="333" spans="1:69" ht="16.5" customHeight="1" x14ac:dyDescent="0.2">
      <c r="A333" s="38"/>
      <c r="B333" s="1742" t="s">
        <v>523</v>
      </c>
      <c r="C333" s="827" t="s">
        <v>524</v>
      </c>
      <c r="D333" s="1365"/>
      <c r="E333" s="1366"/>
      <c r="F333" s="1367"/>
      <c r="G333" s="1368"/>
      <c r="H333" s="704">
        <v>0.9</v>
      </c>
      <c r="J333" s="262"/>
      <c r="K333" s="262"/>
      <c r="L333" s="262"/>
      <c r="M333" s="45"/>
      <c r="N333" s="45"/>
      <c r="O333" s="45"/>
      <c r="P333" s="13"/>
      <c r="Q333" s="13"/>
      <c r="R333" s="13"/>
      <c r="S333" s="13"/>
      <c r="T333" s="13"/>
      <c r="U333" s="13"/>
      <c r="V333" s="13"/>
      <c r="W333" s="137"/>
      <c r="X333" s="137"/>
      <c r="Y333" s="13"/>
      <c r="Z333" s="13"/>
      <c r="AA333" s="268"/>
      <c r="AB333" s="268"/>
      <c r="AC333" s="268"/>
      <c r="AI333" s="269"/>
      <c r="AJ333" s="13"/>
      <c r="AK333" s="13"/>
      <c r="AL333" s="13"/>
      <c r="AM333" s="13"/>
      <c r="AN333" s="13"/>
      <c r="AO333" s="13"/>
      <c r="AP333" s="13"/>
      <c r="AQ333" s="13"/>
      <c r="AR333" s="13"/>
      <c r="AS333" s="13"/>
      <c r="AT333" s="13"/>
      <c r="AU333" s="13"/>
      <c r="AV333" s="13"/>
      <c r="AW333" s="13"/>
      <c r="AX333" s="13"/>
      <c r="AY333" s="13"/>
      <c r="AZ333" s="13"/>
      <c r="BA333" s="13"/>
      <c r="BB333" s="13"/>
      <c r="BC333" s="13"/>
      <c r="BD333" s="13"/>
      <c r="BE333" s="13"/>
      <c r="BF333" s="13"/>
      <c r="BG333" s="13"/>
      <c r="BH333" s="13"/>
      <c r="BI333" s="13"/>
      <c r="BJ333" s="13"/>
      <c r="BK333" s="13"/>
      <c r="BL333" s="13"/>
      <c r="BM333" s="13"/>
      <c r="BN333" s="13"/>
      <c r="BO333" s="13"/>
      <c r="BP333" s="13"/>
      <c r="BQ333" s="13"/>
    </row>
    <row r="334" spans="1:69" ht="18.75" customHeight="1" x14ac:dyDescent="0.2">
      <c r="A334" s="38"/>
      <c r="B334" s="1742"/>
      <c r="C334" s="828" t="s">
        <v>525</v>
      </c>
      <c r="D334" s="1369"/>
      <c r="E334" s="1370"/>
      <c r="F334" s="1370"/>
      <c r="G334" s="1371"/>
      <c r="H334" s="708">
        <v>0.3</v>
      </c>
      <c r="J334" s="262"/>
      <c r="K334" s="262"/>
      <c r="L334" s="262"/>
      <c r="M334" s="45"/>
      <c r="N334" s="45"/>
      <c r="O334" s="45"/>
      <c r="P334" s="13"/>
      <c r="Q334" s="13"/>
      <c r="R334" s="13"/>
      <c r="S334" s="13"/>
      <c r="T334" s="13"/>
      <c r="U334" s="13"/>
      <c r="V334" s="13"/>
      <c r="W334" s="137"/>
      <c r="X334" s="137"/>
      <c r="Y334" s="13"/>
      <c r="Z334" s="13"/>
      <c r="AA334" s="268"/>
      <c r="AB334" s="268"/>
      <c r="AC334" s="268"/>
      <c r="AI334" s="270"/>
      <c r="AJ334" s="13"/>
      <c r="AK334" s="13"/>
      <c r="AL334" s="13"/>
      <c r="AM334" s="13"/>
      <c r="AN334" s="13"/>
      <c r="AO334" s="13"/>
      <c r="AP334" s="13"/>
      <c r="AQ334" s="13"/>
      <c r="AR334" s="13"/>
      <c r="AS334" s="13"/>
      <c r="AT334" s="13"/>
      <c r="AU334" s="13"/>
      <c r="AV334" s="13"/>
      <c r="AW334" s="13"/>
      <c r="AX334" s="13"/>
      <c r="AY334" s="13"/>
      <c r="AZ334" s="13"/>
      <c r="BA334" s="13"/>
      <c r="BB334" s="13"/>
      <c r="BC334" s="13"/>
      <c r="BD334" s="13"/>
      <c r="BE334" s="13"/>
      <c r="BF334" s="13"/>
      <c r="BG334" s="13"/>
      <c r="BH334" s="13"/>
      <c r="BI334" s="13"/>
      <c r="BJ334" s="13"/>
      <c r="BK334" s="13"/>
      <c r="BL334" s="13"/>
      <c r="BM334" s="13"/>
      <c r="BN334" s="13"/>
      <c r="BO334" s="13"/>
      <c r="BP334" s="13"/>
      <c r="BQ334" s="13"/>
    </row>
    <row r="335" spans="1:69" ht="17.25" customHeight="1" x14ac:dyDescent="0.2">
      <c r="A335" s="38"/>
      <c r="B335" s="1742"/>
      <c r="C335" s="829" t="s">
        <v>526</v>
      </c>
      <c r="D335" s="1369"/>
      <c r="E335" s="1370"/>
      <c r="F335" s="1372"/>
      <c r="G335" s="1371"/>
      <c r="H335" s="708">
        <v>0.1</v>
      </c>
      <c r="J335" s="262"/>
      <c r="K335" s="262"/>
      <c r="L335" s="262"/>
      <c r="M335" s="45"/>
      <c r="N335" s="45"/>
      <c r="O335" s="45"/>
      <c r="P335" s="13"/>
      <c r="Q335" s="13"/>
      <c r="R335" s="13"/>
      <c r="S335" s="13"/>
      <c r="T335" s="13"/>
      <c r="U335" s="13"/>
      <c r="V335" s="13"/>
      <c r="W335" s="137"/>
      <c r="X335" s="137"/>
      <c r="Y335" s="13"/>
      <c r="Z335" s="13"/>
      <c r="AA335" s="268"/>
      <c r="AB335" s="268"/>
      <c r="AC335" s="268"/>
      <c r="AI335" s="270"/>
      <c r="AJ335" s="13"/>
      <c r="AK335" s="13"/>
      <c r="AL335" s="13"/>
      <c r="AM335" s="13"/>
      <c r="AN335" s="13"/>
      <c r="AO335" s="13"/>
      <c r="AP335" s="13"/>
      <c r="AQ335" s="13"/>
      <c r="AR335" s="13"/>
      <c r="AS335" s="13"/>
      <c r="AT335" s="13"/>
      <c r="AU335" s="13"/>
      <c r="AV335" s="13"/>
      <c r="AW335" s="13"/>
      <c r="AX335" s="13"/>
      <c r="AY335" s="13"/>
      <c r="AZ335" s="13"/>
      <c r="BA335" s="13"/>
      <c r="BB335" s="13"/>
      <c r="BC335" s="13"/>
      <c r="BD335" s="13"/>
      <c r="BE335" s="13"/>
      <c r="BF335" s="13"/>
      <c r="BG335" s="13"/>
      <c r="BH335" s="13"/>
      <c r="BI335" s="13"/>
      <c r="BJ335" s="13"/>
      <c r="BK335" s="13"/>
      <c r="BL335" s="13"/>
      <c r="BM335" s="13"/>
      <c r="BN335" s="13"/>
      <c r="BO335" s="13"/>
      <c r="BP335" s="13"/>
      <c r="BQ335" s="13"/>
    </row>
    <row r="336" spans="1:69" ht="15" customHeight="1" x14ac:dyDescent="0.2">
      <c r="A336" s="38"/>
      <c r="B336" s="259"/>
      <c r="C336" s="38"/>
      <c r="D336" s="1747" t="s">
        <v>510</v>
      </c>
      <c r="E336" s="1725" t="s">
        <v>179</v>
      </c>
      <c r="F336" s="1831" t="s">
        <v>527</v>
      </c>
      <c r="G336" s="1831"/>
      <c r="H336" s="707" t="e">
        <f>SUM(D333:G335)/('1 QUESTIONÁRIO'!D113+'1 QUESTIONÁRIO'!D114+'1 QUESTIONÁRIO'!D115+'1 QUESTIONÁRIO'!D116)</f>
        <v>#DIV/0!</v>
      </c>
      <c r="J336" s="262"/>
      <c r="K336" s="262"/>
      <c r="L336" s="262"/>
      <c r="M336" s="45"/>
      <c r="N336" s="45"/>
      <c r="O336" s="45"/>
      <c r="P336" s="13"/>
      <c r="Q336" s="13"/>
      <c r="R336" s="13"/>
      <c r="S336" s="13"/>
      <c r="T336" s="13"/>
      <c r="U336" s="13"/>
      <c r="V336" s="13"/>
      <c r="W336" s="137"/>
      <c r="X336" s="137"/>
      <c r="Y336" s="13"/>
      <c r="Z336" s="13"/>
      <c r="AA336" s="268"/>
      <c r="AB336" s="268"/>
      <c r="AC336" s="268"/>
      <c r="AI336" s="270"/>
      <c r="AJ336" s="13"/>
      <c r="AK336" s="13"/>
      <c r="AL336" s="13"/>
      <c r="AM336" s="13"/>
      <c r="AN336" s="13"/>
      <c r="AO336" s="13"/>
      <c r="AP336" s="13"/>
      <c r="AQ336" s="13"/>
      <c r="AR336" s="13"/>
      <c r="AS336" s="13"/>
      <c r="AT336" s="13"/>
      <c r="AU336" s="13"/>
      <c r="AV336" s="13"/>
      <c r="AW336" s="13"/>
      <c r="AX336" s="13"/>
      <c r="AY336" s="13"/>
      <c r="AZ336" s="13"/>
      <c r="BA336" s="13"/>
      <c r="BB336" s="13"/>
      <c r="BC336" s="13"/>
      <c r="BD336" s="13"/>
      <c r="BE336" s="13"/>
      <c r="BF336" s="13"/>
      <c r="BG336" s="13"/>
      <c r="BH336" s="13"/>
      <c r="BI336" s="13"/>
      <c r="BJ336" s="13"/>
      <c r="BK336" s="13"/>
      <c r="BL336" s="13"/>
      <c r="BM336" s="13"/>
      <c r="BN336" s="13"/>
      <c r="BO336" s="13"/>
      <c r="BP336" s="13"/>
      <c r="BQ336" s="13"/>
    </row>
    <row r="337" spans="1:69" ht="15.75" customHeight="1" x14ac:dyDescent="0.2">
      <c r="A337" s="38"/>
      <c r="B337" s="259"/>
      <c r="C337" s="38"/>
      <c r="D337" s="1748"/>
      <c r="E337" s="1725"/>
      <c r="F337" s="825"/>
      <c r="G337" s="825"/>
      <c r="H337" s="826"/>
      <c r="J337" s="262"/>
      <c r="K337" s="262"/>
      <c r="L337" s="262"/>
      <c r="M337" s="45"/>
      <c r="N337" s="45"/>
      <c r="O337" s="45"/>
      <c r="P337" s="13"/>
      <c r="Q337" s="13"/>
      <c r="R337" s="13"/>
      <c r="S337" s="13"/>
      <c r="T337" s="13"/>
      <c r="U337" s="13"/>
      <c r="V337" s="13"/>
      <c r="W337" s="137"/>
      <c r="X337" s="137"/>
      <c r="Y337" s="13"/>
      <c r="Z337" s="13"/>
      <c r="AA337" s="268"/>
      <c r="AB337" s="268"/>
      <c r="AC337" s="268"/>
      <c r="AI337" s="270"/>
      <c r="AJ337" s="13"/>
      <c r="AK337" s="13"/>
      <c r="AL337" s="13"/>
      <c r="AM337" s="13"/>
      <c r="AN337" s="13"/>
      <c r="AO337" s="13"/>
      <c r="AP337" s="13"/>
      <c r="AQ337" s="13"/>
      <c r="AR337" s="13"/>
      <c r="AS337" s="13"/>
      <c r="AT337" s="13"/>
      <c r="AU337" s="13"/>
      <c r="AV337" s="13"/>
      <c r="AW337" s="13"/>
      <c r="AX337" s="13"/>
      <c r="AY337" s="13"/>
      <c r="AZ337" s="13"/>
      <c r="BA337" s="13"/>
      <c r="BB337" s="13"/>
      <c r="BC337" s="13"/>
      <c r="BD337" s="13"/>
      <c r="BE337" s="13"/>
      <c r="BF337" s="13"/>
      <c r="BG337" s="13"/>
      <c r="BH337" s="13"/>
      <c r="BI337" s="13"/>
      <c r="BJ337" s="13"/>
      <c r="BK337" s="13"/>
      <c r="BL337" s="13"/>
      <c r="BM337" s="13"/>
      <c r="BN337" s="13"/>
      <c r="BO337" s="13"/>
      <c r="BP337" s="13"/>
      <c r="BQ337" s="13"/>
    </row>
    <row r="338" spans="1:69" ht="21" customHeight="1" x14ac:dyDescent="0.2">
      <c r="A338" s="38"/>
      <c r="B338" s="1742" t="s">
        <v>528</v>
      </c>
      <c r="C338" s="828" t="s">
        <v>524</v>
      </c>
      <c r="D338" s="416"/>
      <c r="E338" s="392">
        <v>1</v>
      </c>
      <c r="F338" s="825"/>
      <c r="G338" s="825"/>
      <c r="H338" s="826"/>
      <c r="I338" s="38"/>
      <c r="J338" s="38"/>
      <c r="K338" s="13"/>
      <c r="L338" s="13"/>
      <c r="M338" s="13"/>
      <c r="N338" s="13"/>
      <c r="O338" s="13"/>
      <c r="P338" s="270"/>
      <c r="Q338" s="270"/>
      <c r="R338" s="270"/>
      <c r="S338" s="270"/>
      <c r="T338" s="270"/>
      <c r="U338" s="270"/>
      <c r="V338" s="270"/>
      <c r="W338" s="137"/>
      <c r="X338" s="137"/>
      <c r="Y338" s="38"/>
      <c r="Z338" s="268"/>
      <c r="AA338" s="268"/>
      <c r="AB338" s="268"/>
      <c r="AC338" s="268"/>
      <c r="AD338" s="69"/>
      <c r="AE338" s="137"/>
      <c r="AF338" s="268"/>
      <c r="AG338" s="69"/>
      <c r="AH338" s="270"/>
      <c r="AI338" s="270"/>
      <c r="AJ338" s="13"/>
      <c r="AK338" s="13"/>
      <c r="AL338" s="13"/>
      <c r="AM338" s="13"/>
      <c r="AN338" s="13"/>
      <c r="AO338" s="13"/>
      <c r="AP338" s="13"/>
      <c r="AQ338" s="13"/>
      <c r="AR338" s="13"/>
      <c r="AS338" s="13"/>
      <c r="AT338" s="13"/>
      <c r="AU338" s="13"/>
      <c r="AV338" s="13"/>
      <c r="AW338" s="13"/>
      <c r="AX338" s="13"/>
      <c r="AY338" s="13"/>
      <c r="AZ338" s="13"/>
      <c r="BA338" s="13"/>
      <c r="BB338" s="13"/>
      <c r="BC338" s="13"/>
      <c r="BD338" s="13"/>
      <c r="BE338" s="13"/>
      <c r="BF338" s="13"/>
      <c r="BG338" s="13"/>
      <c r="BH338" s="13"/>
      <c r="BI338" s="13"/>
      <c r="BJ338" s="13"/>
      <c r="BK338" s="13"/>
      <c r="BL338" s="13"/>
      <c r="BM338" s="13"/>
      <c r="BN338" s="13"/>
      <c r="BO338" s="13"/>
      <c r="BP338" s="13"/>
      <c r="BQ338" s="13"/>
    </row>
    <row r="339" spans="1:69" ht="21" customHeight="1" x14ac:dyDescent="0.2">
      <c r="A339" s="38"/>
      <c r="B339" s="1742"/>
      <c r="C339" s="828" t="s">
        <v>525</v>
      </c>
      <c r="D339" s="416"/>
      <c r="E339" s="392">
        <v>0.4</v>
      </c>
      <c r="F339" s="825"/>
      <c r="G339" s="825"/>
      <c r="H339" s="826"/>
      <c r="I339" s="38"/>
      <c r="J339" s="38"/>
      <c r="K339" s="13"/>
      <c r="L339" s="13"/>
      <c r="M339" s="13"/>
      <c r="N339" s="13"/>
      <c r="O339" s="13"/>
      <c r="P339" s="270"/>
      <c r="Q339" s="270"/>
      <c r="R339" s="270"/>
      <c r="S339" s="270"/>
      <c r="T339" s="270"/>
      <c r="U339" s="270"/>
      <c r="V339" s="270"/>
      <c r="W339" s="137"/>
      <c r="X339" s="137"/>
      <c r="Y339" s="38"/>
      <c r="Z339" s="268"/>
      <c r="AA339" s="268"/>
      <c r="AB339" s="268"/>
      <c r="AC339" s="268"/>
      <c r="AD339" s="69"/>
      <c r="AE339" s="137"/>
      <c r="AF339" s="268"/>
      <c r="AG339" s="69"/>
      <c r="AH339" s="270"/>
      <c r="AI339" s="270"/>
      <c r="AJ339" s="13"/>
      <c r="AK339" s="13"/>
      <c r="AL339" s="13"/>
      <c r="AM339" s="13"/>
      <c r="AN339" s="13"/>
      <c r="AO339" s="13"/>
      <c r="AP339" s="13"/>
      <c r="AQ339" s="13"/>
      <c r="AR339" s="13"/>
      <c r="AS339" s="13"/>
      <c r="AT339" s="13"/>
      <c r="AU339" s="13"/>
      <c r="AV339" s="13"/>
      <c r="AW339" s="13"/>
      <c r="AX339" s="13"/>
      <c r="AY339" s="13"/>
      <c r="AZ339" s="13"/>
      <c r="BA339" s="13"/>
      <c r="BB339" s="13"/>
      <c r="BC339" s="13"/>
      <c r="BD339" s="13"/>
      <c r="BE339" s="13"/>
      <c r="BF339" s="13"/>
      <c r="BG339" s="13"/>
      <c r="BH339" s="13"/>
      <c r="BI339" s="13"/>
      <c r="BJ339" s="13"/>
      <c r="BK339" s="13"/>
      <c r="BL339" s="13"/>
      <c r="BM339" s="13"/>
      <c r="BN339" s="13"/>
      <c r="BO339" s="13"/>
      <c r="BP339" s="13"/>
      <c r="BQ339" s="13"/>
    </row>
    <row r="340" spans="1:69" ht="20.25" customHeight="1" x14ac:dyDescent="0.2">
      <c r="A340" s="38"/>
      <c r="B340" s="1742"/>
      <c r="C340" s="829" t="s">
        <v>526</v>
      </c>
      <c r="D340" s="416"/>
      <c r="E340" s="392">
        <v>0.1</v>
      </c>
      <c r="F340" s="825"/>
      <c r="G340" s="825"/>
      <c r="H340" s="826"/>
      <c r="I340" s="38"/>
      <c r="J340" s="38"/>
      <c r="K340" s="13"/>
      <c r="L340" s="13"/>
      <c r="M340" s="13"/>
      <c r="N340" s="13"/>
      <c r="O340" s="13"/>
      <c r="P340" s="270"/>
      <c r="Q340" s="270"/>
      <c r="R340" s="270"/>
      <c r="S340" s="270"/>
      <c r="T340" s="270"/>
      <c r="U340" s="270"/>
      <c r="V340" s="270"/>
      <c r="W340" s="137"/>
      <c r="X340" s="137"/>
      <c r="Y340" s="38"/>
      <c r="Z340" s="268"/>
      <c r="AA340" s="268"/>
      <c r="AB340" s="268"/>
      <c r="AC340" s="268"/>
      <c r="AD340" s="69"/>
      <c r="AE340" s="137"/>
      <c r="AF340" s="268"/>
      <c r="AG340" s="69"/>
      <c r="AH340" s="270"/>
      <c r="AI340" s="270"/>
      <c r="AJ340" s="13"/>
      <c r="AK340" s="13"/>
      <c r="AL340" s="13"/>
      <c r="AM340" s="13"/>
      <c r="AN340" s="13"/>
      <c r="AO340" s="13"/>
      <c r="AP340" s="13"/>
      <c r="AQ340" s="13"/>
      <c r="AR340" s="13"/>
      <c r="AS340" s="13"/>
      <c r="AT340" s="13"/>
      <c r="AU340" s="13"/>
      <c r="AV340" s="13"/>
      <c r="AW340" s="13"/>
      <c r="AX340" s="13"/>
      <c r="AY340" s="13"/>
      <c r="AZ340" s="13"/>
      <c r="BA340" s="13"/>
      <c r="BB340" s="13"/>
      <c r="BC340" s="13"/>
      <c r="BD340" s="13"/>
      <c r="BE340" s="13"/>
      <c r="BF340" s="13"/>
      <c r="BG340" s="13"/>
      <c r="BH340" s="13"/>
      <c r="BI340" s="13"/>
      <c r="BJ340" s="13"/>
      <c r="BK340" s="13"/>
      <c r="BL340" s="13"/>
      <c r="BM340" s="13"/>
      <c r="BN340" s="13"/>
      <c r="BO340" s="13"/>
      <c r="BP340" s="13"/>
      <c r="BQ340" s="13"/>
    </row>
    <row r="341" spans="1:69" ht="12" customHeight="1" x14ac:dyDescent="0.2">
      <c r="A341" s="38"/>
      <c r="B341" s="824"/>
      <c r="C341" s="825"/>
      <c r="D341" s="825"/>
      <c r="E341" s="825"/>
      <c r="F341" s="825"/>
      <c r="G341" s="825"/>
      <c r="H341" s="826"/>
      <c r="I341" s="272"/>
      <c r="J341" s="272"/>
      <c r="K341" s="272"/>
      <c r="L341" s="38"/>
      <c r="M341" s="38"/>
      <c r="N341" s="261"/>
      <c r="O341" s="270"/>
      <c r="P341" s="270"/>
      <c r="Q341" s="270"/>
      <c r="R341" s="270"/>
      <c r="S341" s="270"/>
      <c r="T341" s="270"/>
      <c r="U341" s="270"/>
      <c r="V341" s="270"/>
      <c r="W341" s="137"/>
      <c r="X341" s="137"/>
      <c r="Y341" s="38"/>
      <c r="Z341" s="268"/>
      <c r="AA341" s="268"/>
      <c r="AB341" s="268"/>
      <c r="AC341" s="268"/>
      <c r="AD341" s="69"/>
      <c r="AE341" s="137"/>
      <c r="AF341" s="268"/>
      <c r="AG341" s="69"/>
      <c r="AH341" s="270"/>
      <c r="AI341" s="270"/>
      <c r="AJ341" s="13"/>
      <c r="AK341" s="13"/>
      <c r="AL341" s="13"/>
      <c r="AM341" s="13"/>
      <c r="AN341" s="13"/>
      <c r="AO341" s="13"/>
      <c r="AP341" s="13"/>
      <c r="AQ341" s="13"/>
      <c r="AR341" s="13"/>
      <c r="AS341" s="13"/>
      <c r="AT341" s="13"/>
      <c r="AU341" s="13"/>
      <c r="AV341" s="13"/>
      <c r="AW341" s="13"/>
      <c r="AX341" s="13"/>
      <c r="AY341" s="13"/>
      <c r="AZ341" s="13"/>
      <c r="BA341" s="13"/>
      <c r="BB341" s="13"/>
      <c r="BC341" s="13"/>
      <c r="BD341" s="13"/>
      <c r="BE341" s="13"/>
      <c r="BF341" s="13"/>
      <c r="BG341" s="13"/>
      <c r="BH341" s="13"/>
      <c r="BI341" s="13"/>
      <c r="BJ341" s="13"/>
      <c r="BK341" s="13"/>
      <c r="BL341" s="13"/>
      <c r="BM341" s="13"/>
      <c r="BN341" s="13"/>
      <c r="BO341" s="13"/>
      <c r="BP341" s="13"/>
      <c r="BQ341" s="13"/>
    </row>
    <row r="342" spans="1:69" ht="15" customHeight="1" x14ac:dyDescent="0.2">
      <c r="A342" s="38"/>
      <c r="B342" s="290" t="s">
        <v>274</v>
      </c>
      <c r="C342" s="683" t="str">
        <f>IF('GUIA DE APLICAÇÃO'!F1140=0,"",((('GUIA DE APLICAÇÃO'!E1140*2)+'GUIA DE APLICAÇÃO'!F1140)/3))</f>
        <v/>
      </c>
      <c r="D342" s="385" t="s">
        <v>329</v>
      </c>
      <c r="E342" s="120"/>
      <c r="F342" s="273"/>
      <c r="G342" s="273"/>
      <c r="H342" s="533"/>
      <c r="I342" s="272"/>
      <c r="J342" s="272"/>
      <c r="K342" s="272"/>
      <c r="L342" s="274"/>
      <c r="M342" s="274"/>
      <c r="N342" s="38"/>
      <c r="O342" s="13"/>
      <c r="P342" s="13"/>
      <c r="Q342" s="13"/>
      <c r="R342" s="13"/>
      <c r="S342" s="13"/>
      <c r="T342" s="198"/>
      <c r="U342" s="261"/>
      <c r="V342" s="261"/>
      <c r="W342" s="137"/>
      <c r="X342" s="137"/>
      <c r="Y342" s="198"/>
      <c r="Z342" s="261"/>
      <c r="AA342" s="38"/>
      <c r="AB342" s="38"/>
      <c r="AC342" s="38"/>
      <c r="AD342" s="38"/>
      <c r="AE342" s="38"/>
      <c r="AF342" s="38"/>
      <c r="AG342" s="38"/>
      <c r="AH342" s="38"/>
      <c r="AI342" s="13"/>
      <c r="AJ342" s="13"/>
      <c r="AK342" s="13"/>
      <c r="AL342" s="13"/>
      <c r="AM342" s="13"/>
      <c r="AN342" s="13"/>
      <c r="AO342" s="13"/>
      <c r="AP342" s="13"/>
      <c r="AQ342" s="13"/>
      <c r="AR342" s="13"/>
      <c r="AS342" s="13"/>
      <c r="AT342" s="13"/>
      <c r="AU342" s="13"/>
      <c r="AV342" s="13"/>
      <c r="AW342" s="13"/>
      <c r="AX342" s="13"/>
      <c r="AY342" s="13"/>
      <c r="AZ342" s="13"/>
      <c r="BA342" s="13"/>
      <c r="BB342" s="13"/>
      <c r="BC342" s="13"/>
      <c r="BD342" s="13"/>
      <c r="BE342" s="13"/>
      <c r="BF342" s="13"/>
      <c r="BG342" s="13"/>
      <c r="BH342" s="13"/>
      <c r="BI342" s="13"/>
      <c r="BJ342" s="13"/>
      <c r="BK342" s="13"/>
      <c r="BL342" s="13"/>
      <c r="BM342" s="13"/>
      <c r="BN342" s="13"/>
      <c r="BO342" s="13"/>
      <c r="BP342" s="13"/>
      <c r="BQ342" s="13"/>
    </row>
    <row r="343" spans="1:69" ht="16.5" customHeight="1" x14ac:dyDescent="0.2">
      <c r="A343" s="13"/>
      <c r="B343" s="55"/>
      <c r="C343" s="275"/>
      <c r="D343" s="232"/>
      <c r="E343" s="232"/>
      <c r="F343" s="38"/>
      <c r="G343" s="261"/>
      <c r="H343" s="261"/>
      <c r="I343" s="261"/>
      <c r="J343" s="261"/>
      <c r="K343" s="261"/>
      <c r="L343" s="261"/>
      <c r="M343" s="261"/>
      <c r="N343" s="38"/>
      <c r="O343" s="38"/>
      <c r="P343" s="38"/>
      <c r="Q343" s="276"/>
      <c r="R343" s="276"/>
      <c r="S343" s="276"/>
      <c r="T343" s="276"/>
      <c r="U343" s="137"/>
      <c r="V343" s="137"/>
      <c r="W343" s="137"/>
      <c r="X343" s="137"/>
      <c r="Y343" s="261"/>
      <c r="Z343" s="271"/>
      <c r="AA343" s="271"/>
      <c r="AB343" s="271"/>
      <c r="AC343" s="271"/>
      <c r="AD343" s="271"/>
      <c r="AE343" s="271"/>
      <c r="AF343" s="271"/>
      <c r="AG343" s="271"/>
      <c r="AH343" s="271"/>
      <c r="AI343" s="271"/>
      <c r="AJ343" s="13"/>
      <c r="AK343" s="13"/>
      <c r="AL343" s="13"/>
      <c r="AM343" s="13"/>
      <c r="AN343" s="13"/>
      <c r="AO343" s="13"/>
      <c r="AP343" s="13"/>
      <c r="AQ343" s="13"/>
      <c r="AR343" s="13"/>
      <c r="AS343" s="13"/>
      <c r="AT343" s="13"/>
      <c r="AU343" s="13"/>
      <c r="AV343" s="13"/>
      <c r="AW343" s="13"/>
      <c r="AX343" s="13"/>
      <c r="AY343" s="13"/>
      <c r="AZ343" s="13"/>
      <c r="BA343" s="13"/>
      <c r="BB343" s="13"/>
      <c r="BC343" s="13"/>
      <c r="BD343" s="13"/>
      <c r="BE343" s="13"/>
      <c r="BF343" s="13"/>
      <c r="BG343" s="13"/>
      <c r="BH343" s="13"/>
      <c r="BI343" s="13"/>
      <c r="BJ343" s="13"/>
      <c r="BK343" s="13"/>
      <c r="BL343" s="13"/>
      <c r="BM343" s="13"/>
      <c r="BN343" s="13"/>
      <c r="BO343" s="13"/>
      <c r="BP343" s="13"/>
      <c r="BQ343" s="13"/>
    </row>
    <row r="344" spans="1:69" ht="18.75" customHeight="1" x14ac:dyDescent="0.2">
      <c r="A344" s="660">
        <v>17</v>
      </c>
      <c r="B344" s="703" t="s">
        <v>529</v>
      </c>
      <c r="C344" s="651"/>
      <c r="D344" s="651"/>
      <c r="E344" s="651"/>
      <c r="F344" s="651"/>
      <c r="G344" s="651"/>
      <c r="H344" s="652"/>
      <c r="I344" s="101"/>
      <c r="J344" s="261"/>
      <c r="K344" s="13"/>
      <c r="L344" s="261"/>
      <c r="M344" s="261"/>
      <c r="N344" s="38"/>
      <c r="O344" s="38"/>
      <c r="P344" s="38"/>
      <c r="Q344" s="276"/>
      <c r="R344" s="276"/>
      <c r="S344" s="276"/>
      <c r="T344" s="276"/>
      <c r="U344" s="137"/>
      <c r="V344" s="137"/>
      <c r="W344" s="137"/>
      <c r="X344" s="137"/>
      <c r="AA344" s="271"/>
      <c r="AH344" s="271"/>
      <c r="AI344" s="13"/>
      <c r="AJ344" s="13"/>
      <c r="AK344" s="13"/>
      <c r="AL344" s="13"/>
      <c r="AM344" s="13"/>
      <c r="AN344" s="13"/>
      <c r="AO344" s="13"/>
      <c r="AP344" s="13"/>
      <c r="AQ344" s="13"/>
      <c r="AR344" s="13"/>
      <c r="AS344" s="13"/>
      <c r="AT344" s="13"/>
      <c r="AU344" s="13"/>
      <c r="AV344" s="13"/>
      <c r="AW344" s="13"/>
      <c r="AX344" s="13"/>
      <c r="AY344" s="13"/>
      <c r="AZ344" s="13"/>
      <c r="BA344" s="13"/>
      <c r="BB344" s="13"/>
      <c r="BC344" s="13"/>
      <c r="BD344" s="13"/>
      <c r="BE344" s="13"/>
      <c r="BF344" s="13"/>
      <c r="BG344" s="13"/>
      <c r="BH344" s="13"/>
      <c r="BI344" s="13"/>
      <c r="BJ344" s="13"/>
      <c r="BK344" s="13"/>
      <c r="BL344" s="13"/>
      <c r="BM344" s="13"/>
      <c r="BN344" s="13"/>
      <c r="BO344" s="13"/>
      <c r="BP344" s="13"/>
      <c r="BQ344" s="13"/>
    </row>
    <row r="345" spans="1:69" ht="14.25" customHeight="1" x14ac:dyDescent="0.2">
      <c r="A345" s="38"/>
      <c r="B345" s="572"/>
      <c r="C345" s="261"/>
      <c r="D345" s="261"/>
      <c r="E345" s="277"/>
      <c r="F345" s="277"/>
      <c r="G345" s="277"/>
      <c r="H345" s="277"/>
      <c r="I345" s="101"/>
      <c r="J345" s="261"/>
      <c r="K345" s="261"/>
      <c r="L345" s="261"/>
      <c r="M345" s="261"/>
      <c r="N345" s="38"/>
      <c r="O345" s="38"/>
      <c r="P345" s="38"/>
      <c r="Q345" s="13"/>
      <c r="R345" s="276"/>
      <c r="S345" s="13"/>
      <c r="T345" s="13"/>
      <c r="U345" s="13"/>
      <c r="V345" s="13"/>
      <c r="W345" s="13"/>
      <c r="X345" s="13"/>
      <c r="AA345" s="13"/>
      <c r="AH345" s="271"/>
      <c r="AI345" s="271"/>
      <c r="AJ345" s="13"/>
      <c r="AK345" s="13"/>
      <c r="AL345" s="13"/>
      <c r="AM345" s="13"/>
      <c r="AN345" s="13"/>
      <c r="AO345" s="13"/>
      <c r="AP345" s="13"/>
      <c r="AQ345" s="13"/>
      <c r="AR345" s="13"/>
      <c r="AS345" s="13"/>
      <c r="AT345" s="13"/>
      <c r="AU345" s="13"/>
      <c r="AV345" s="13"/>
      <c r="AW345" s="13"/>
      <c r="AX345" s="13"/>
      <c r="AY345" s="13"/>
      <c r="AZ345" s="13"/>
      <c r="BA345" s="13"/>
      <c r="BB345" s="13"/>
      <c r="BC345" s="13"/>
      <c r="BD345" s="13"/>
      <c r="BE345" s="13"/>
      <c r="BF345" s="13"/>
      <c r="BG345" s="13"/>
      <c r="BH345" s="13"/>
      <c r="BI345" s="13"/>
      <c r="BJ345" s="13"/>
      <c r="BK345" s="13"/>
      <c r="BL345" s="13"/>
      <c r="BM345" s="13"/>
      <c r="BN345" s="13"/>
      <c r="BO345" s="13"/>
      <c r="BP345" s="13"/>
      <c r="BQ345" s="13"/>
    </row>
    <row r="346" spans="1:69" ht="16.5" customHeight="1" x14ac:dyDescent="0.2">
      <c r="A346" s="38"/>
      <c r="B346" s="572"/>
      <c r="C346" s="261"/>
      <c r="D346" s="261"/>
      <c r="E346" s="1772" t="s">
        <v>530</v>
      </c>
      <c r="F346" s="1772" t="s">
        <v>531</v>
      </c>
      <c r="G346" s="1835" t="s">
        <v>179</v>
      </c>
      <c r="H346" s="13"/>
      <c r="I346" s="101"/>
      <c r="J346" s="261"/>
      <c r="K346" s="261"/>
      <c r="L346" s="261"/>
      <c r="M346" s="261"/>
      <c r="N346" s="38"/>
      <c r="O346" s="38"/>
      <c r="P346" s="38"/>
      <c r="Q346" s="13"/>
      <c r="R346" s="276"/>
      <c r="S346" s="13"/>
      <c r="T346" s="13"/>
      <c r="U346" s="13"/>
      <c r="V346" s="13"/>
      <c r="W346" s="13"/>
      <c r="X346" s="13"/>
      <c r="AA346" s="13"/>
      <c r="AH346" s="271"/>
      <c r="AI346" s="271"/>
      <c r="AJ346" s="13"/>
      <c r="AK346" s="13"/>
      <c r="AL346" s="13"/>
      <c r="AM346" s="13"/>
      <c r="AN346" s="13"/>
      <c r="AO346" s="13"/>
      <c r="AP346" s="13"/>
      <c r="AQ346" s="13"/>
      <c r="AR346" s="13"/>
      <c r="AS346" s="13"/>
      <c r="AT346" s="13"/>
      <c r="AU346" s="13"/>
      <c r="AV346" s="13"/>
      <c r="AW346" s="13"/>
      <c r="AX346" s="13"/>
      <c r="AY346" s="13"/>
      <c r="AZ346" s="13"/>
      <c r="BA346" s="13"/>
      <c r="BB346" s="13"/>
      <c r="BC346" s="13"/>
      <c r="BD346" s="13"/>
      <c r="BE346" s="13"/>
      <c r="BF346" s="13"/>
      <c r="BG346" s="13"/>
      <c r="BH346" s="13"/>
      <c r="BI346" s="13"/>
      <c r="BJ346" s="13"/>
      <c r="BK346" s="13"/>
      <c r="BL346" s="13"/>
      <c r="BM346" s="13"/>
      <c r="BN346" s="13"/>
      <c r="BO346" s="13"/>
      <c r="BP346" s="13"/>
      <c r="BQ346" s="13"/>
    </row>
    <row r="347" spans="1:69" ht="16.5" customHeight="1" x14ac:dyDescent="0.2">
      <c r="A347" s="261"/>
      <c r="B347" s="572"/>
      <c r="C347" s="1764" t="s">
        <v>532</v>
      </c>
      <c r="D347" s="1802"/>
      <c r="E347" s="1774"/>
      <c r="F347" s="1774"/>
      <c r="G347" s="1835"/>
      <c r="H347" s="13"/>
      <c r="I347" s="101"/>
      <c r="J347" s="261"/>
      <c r="K347" s="261"/>
      <c r="L347" s="261"/>
      <c r="M347" s="261"/>
      <c r="N347" s="38"/>
      <c r="O347" s="38"/>
      <c r="P347" s="38"/>
      <c r="Q347" s="13"/>
      <c r="R347" s="276"/>
      <c r="S347" s="13"/>
      <c r="T347" s="13"/>
      <c r="U347" s="13"/>
      <c r="V347" s="13"/>
      <c r="W347" s="13"/>
      <c r="X347" s="13"/>
      <c r="AA347" s="13"/>
      <c r="AB347" s="13"/>
      <c r="AC347" s="13"/>
      <c r="AD347" s="13"/>
      <c r="AE347" s="271"/>
      <c r="AF347" s="271"/>
      <c r="AG347" s="271"/>
      <c r="AH347" s="271"/>
      <c r="AI347" s="271"/>
      <c r="AJ347" s="13"/>
      <c r="AK347" s="13"/>
      <c r="AL347" s="13"/>
      <c r="AM347" s="13"/>
      <c r="AN347" s="13"/>
      <c r="AO347" s="13"/>
      <c r="AP347" s="13"/>
      <c r="AQ347" s="13"/>
      <c r="AR347" s="13"/>
      <c r="AS347" s="13"/>
      <c r="AT347" s="13"/>
      <c r="AU347" s="13"/>
      <c r="AV347" s="13"/>
      <c r="AW347" s="13"/>
      <c r="AX347" s="13"/>
      <c r="AY347" s="13"/>
      <c r="AZ347" s="13"/>
      <c r="BA347" s="13"/>
      <c r="BB347" s="13"/>
      <c r="BC347" s="13"/>
      <c r="BD347" s="13"/>
      <c r="BE347" s="13"/>
      <c r="BF347" s="13"/>
      <c r="BG347" s="13"/>
      <c r="BH347" s="13"/>
      <c r="BI347" s="13"/>
      <c r="BJ347" s="13"/>
      <c r="BK347" s="13"/>
      <c r="BL347" s="13"/>
      <c r="BM347" s="13"/>
      <c r="BN347" s="13"/>
      <c r="BO347" s="13"/>
      <c r="BP347" s="13"/>
      <c r="BQ347" s="13"/>
    </row>
    <row r="348" spans="1:69" ht="19.5" customHeight="1" x14ac:dyDescent="0.2">
      <c r="A348" s="261"/>
      <c r="B348" s="1772" t="s">
        <v>533</v>
      </c>
      <c r="C348" s="1730" t="s">
        <v>534</v>
      </c>
      <c r="D348" s="1731"/>
      <c r="E348" s="1377"/>
      <c r="F348" s="1378"/>
      <c r="G348" s="392">
        <v>1</v>
      </c>
      <c r="H348" s="196"/>
      <c r="I348" s="101"/>
      <c r="J348" s="261"/>
      <c r="K348" s="261"/>
      <c r="L348" s="13"/>
      <c r="M348" s="261"/>
      <c r="N348" s="38"/>
      <c r="O348" s="38"/>
      <c r="P348" s="38"/>
      <c r="Q348" s="13"/>
      <c r="R348" s="276"/>
      <c r="S348" s="13"/>
      <c r="T348" s="13"/>
      <c r="U348" s="13"/>
      <c r="V348" s="13"/>
      <c r="X348" s="13"/>
      <c r="AA348" s="13"/>
      <c r="AB348" s="13"/>
      <c r="AC348" s="13"/>
      <c r="AD348" s="13"/>
      <c r="AE348" s="13"/>
      <c r="AF348" s="13"/>
      <c r="AG348" s="13"/>
      <c r="AH348" s="13"/>
      <c r="AI348" s="271"/>
      <c r="AJ348" s="13"/>
      <c r="AK348" s="13"/>
      <c r="AL348" s="13"/>
      <c r="AM348" s="13"/>
      <c r="AN348" s="13"/>
      <c r="AO348" s="13"/>
      <c r="AP348" s="13"/>
      <c r="AQ348" s="13"/>
      <c r="AR348" s="13"/>
      <c r="AS348" s="13"/>
      <c r="AT348" s="13"/>
      <c r="AU348" s="13"/>
      <c r="AV348" s="13"/>
      <c r="AW348" s="13"/>
      <c r="AX348" s="13"/>
      <c r="AY348" s="13"/>
      <c r="AZ348" s="13"/>
      <c r="BA348" s="13"/>
      <c r="BB348" s="13"/>
      <c r="BC348" s="13"/>
      <c r="BD348" s="13"/>
      <c r="BE348" s="13"/>
      <c r="BF348" s="13"/>
      <c r="BG348" s="13"/>
      <c r="BH348" s="13"/>
      <c r="BI348" s="13"/>
      <c r="BJ348" s="13"/>
      <c r="BK348" s="13"/>
      <c r="BL348" s="13"/>
      <c r="BM348" s="13"/>
      <c r="BN348" s="13"/>
      <c r="BO348" s="13"/>
      <c r="BP348" s="13"/>
      <c r="BQ348" s="13"/>
    </row>
    <row r="349" spans="1:69" ht="32.25" customHeight="1" x14ac:dyDescent="0.2">
      <c r="A349" s="261"/>
      <c r="B349" s="1773"/>
      <c r="C349" s="1730" t="s">
        <v>535</v>
      </c>
      <c r="D349" s="1731"/>
      <c r="E349" s="1377"/>
      <c r="F349" s="1379"/>
      <c r="G349" s="392">
        <v>1</v>
      </c>
      <c r="H349" s="369" t="str">
        <f>IF(ISBLANK(E349),'GUIA DE APLICAÇÃO'!M1148," ")</f>
        <v>Não se aplica</v>
      </c>
      <c r="I349" s="101"/>
      <c r="J349" s="261"/>
      <c r="K349" s="261"/>
      <c r="L349" s="13"/>
      <c r="M349" s="261"/>
      <c r="N349" s="38"/>
      <c r="O349" s="38"/>
      <c r="P349" s="38"/>
      <c r="Q349" s="13"/>
      <c r="R349" s="276"/>
      <c r="S349" s="13"/>
      <c r="T349" s="13"/>
      <c r="U349" s="13"/>
      <c r="V349" s="13"/>
      <c r="X349" s="13"/>
      <c r="AA349" s="13"/>
      <c r="AB349" s="13"/>
      <c r="AC349" s="13"/>
      <c r="AD349" s="13"/>
      <c r="AE349" s="13"/>
      <c r="AF349" s="13"/>
      <c r="AG349" s="13"/>
      <c r="AH349" s="13"/>
      <c r="AI349" s="271"/>
      <c r="AJ349" s="13"/>
      <c r="AK349" s="13"/>
      <c r="AL349" s="13"/>
      <c r="AM349" s="13"/>
      <c r="AN349" s="13"/>
      <c r="AO349" s="13"/>
      <c r="AP349" s="13"/>
      <c r="AQ349" s="13"/>
      <c r="AR349" s="13"/>
      <c r="AS349" s="13"/>
      <c r="AT349" s="13"/>
      <c r="AU349" s="13"/>
      <c r="AV349" s="13"/>
      <c r="AW349" s="13"/>
      <c r="AX349" s="13"/>
      <c r="AY349" s="13"/>
      <c r="AZ349" s="13"/>
      <c r="BA349" s="13"/>
      <c r="BB349" s="13"/>
      <c r="BC349" s="13"/>
      <c r="BD349" s="13"/>
      <c r="BE349" s="13"/>
      <c r="BF349" s="13"/>
      <c r="BG349" s="13"/>
      <c r="BH349" s="13"/>
      <c r="BI349" s="13"/>
      <c r="BJ349" s="13"/>
      <c r="BK349" s="13"/>
      <c r="BL349" s="13"/>
      <c r="BM349" s="13"/>
      <c r="BN349" s="13"/>
      <c r="BO349" s="13"/>
      <c r="BP349" s="13"/>
      <c r="BQ349" s="13"/>
    </row>
    <row r="350" spans="1:69" ht="18.75" customHeight="1" x14ac:dyDescent="0.2">
      <c r="A350" s="261"/>
      <c r="B350" s="1774"/>
      <c r="C350" s="1782" t="s">
        <v>536</v>
      </c>
      <c r="D350" s="1752"/>
      <c r="E350" s="1375"/>
      <c r="F350" s="1376"/>
      <c r="G350" s="392">
        <v>1</v>
      </c>
      <c r="H350" s="369" t="str">
        <f>IF(ISBLANK(E350),'GUIA DE APLICAÇÃO'!M1148," ")</f>
        <v>Não se aplica</v>
      </c>
      <c r="I350" s="101"/>
      <c r="J350" s="261"/>
      <c r="K350" s="261"/>
      <c r="L350" s="13"/>
      <c r="M350" s="261"/>
      <c r="N350" s="38"/>
      <c r="O350" s="38"/>
      <c r="P350" s="38"/>
      <c r="Q350" s="13"/>
      <c r="R350" s="276"/>
      <c r="S350" s="13"/>
      <c r="T350" s="13"/>
      <c r="U350" s="13"/>
      <c r="V350" s="13"/>
      <c r="X350" s="13"/>
      <c r="Y350" s="13"/>
      <c r="Z350" s="13"/>
      <c r="AA350" s="13"/>
      <c r="AB350" s="13"/>
      <c r="AC350" s="13"/>
      <c r="AD350" s="13"/>
      <c r="AE350" s="13"/>
      <c r="AF350" s="13"/>
      <c r="AG350" s="13"/>
      <c r="AH350" s="13"/>
      <c r="AI350" s="271"/>
      <c r="AJ350" s="13"/>
      <c r="AK350" s="13"/>
      <c r="AL350" s="13"/>
      <c r="AM350" s="13"/>
      <c r="AN350" s="13"/>
      <c r="AO350" s="13"/>
      <c r="AP350" s="13"/>
      <c r="AQ350" s="13"/>
      <c r="AR350" s="13"/>
      <c r="AS350" s="13"/>
      <c r="AT350" s="13"/>
      <c r="AU350" s="13"/>
      <c r="AV350" s="13"/>
      <c r="AW350" s="13"/>
      <c r="AX350" s="13"/>
      <c r="AY350" s="13"/>
      <c r="AZ350" s="13"/>
      <c r="BA350" s="13"/>
      <c r="BB350" s="13"/>
      <c r="BC350" s="13"/>
      <c r="BD350" s="13"/>
      <c r="BE350" s="13"/>
      <c r="BF350" s="13"/>
      <c r="BG350" s="13"/>
      <c r="BH350" s="13"/>
      <c r="BI350" s="13"/>
      <c r="BJ350" s="13"/>
      <c r="BK350" s="13"/>
      <c r="BL350" s="13"/>
      <c r="BM350" s="13"/>
      <c r="BN350" s="13"/>
      <c r="BO350" s="13"/>
      <c r="BP350" s="13"/>
      <c r="BQ350" s="13"/>
    </row>
    <row r="351" spans="1:69" ht="15.75" customHeight="1" x14ac:dyDescent="0.2">
      <c r="A351" s="261"/>
      <c r="B351" s="572"/>
      <c r="C351" s="1841" t="s">
        <v>532</v>
      </c>
      <c r="D351" s="1842"/>
      <c r="E351" s="684"/>
      <c r="F351" s="684"/>
      <c r="G351" s="602"/>
      <c r="H351" s="602"/>
      <c r="I351" s="101"/>
      <c r="J351" s="261"/>
      <c r="K351" s="261"/>
      <c r="L351" s="13"/>
      <c r="M351" s="261"/>
      <c r="N351" s="38"/>
      <c r="O351" s="38"/>
      <c r="P351" s="38"/>
      <c r="Q351" s="13"/>
      <c r="R351" s="276"/>
      <c r="S351" s="13"/>
      <c r="T351" s="13"/>
      <c r="U351" s="13"/>
      <c r="V351" s="13"/>
      <c r="X351" s="13"/>
      <c r="Y351" s="13"/>
      <c r="Z351" s="13"/>
      <c r="AA351" s="13"/>
      <c r="AB351" s="13"/>
      <c r="AC351" s="13"/>
      <c r="AD351" s="13"/>
      <c r="AE351" s="13"/>
      <c r="AF351" s="13"/>
      <c r="AG351" s="13"/>
      <c r="AH351" s="13"/>
      <c r="AI351" s="271"/>
      <c r="AJ351" s="13"/>
      <c r="AK351" s="13"/>
      <c r="AL351" s="13"/>
      <c r="AM351" s="13"/>
      <c r="AN351" s="13"/>
      <c r="AO351" s="13"/>
      <c r="AP351" s="13"/>
      <c r="AQ351" s="13"/>
      <c r="AR351" s="13"/>
      <c r="AS351" s="13"/>
      <c r="AT351" s="13"/>
      <c r="AU351" s="13"/>
      <c r="AV351" s="13"/>
      <c r="AW351" s="13"/>
      <c r="AX351" s="13"/>
      <c r="AY351" s="13"/>
      <c r="AZ351" s="13"/>
      <c r="BA351" s="13"/>
      <c r="BB351" s="13"/>
      <c r="BC351" s="13"/>
      <c r="BD351" s="13"/>
      <c r="BE351" s="13"/>
      <c r="BF351" s="13"/>
      <c r="BG351" s="13"/>
      <c r="BH351" s="13"/>
      <c r="BI351" s="13"/>
      <c r="BJ351" s="13"/>
      <c r="BK351" s="13"/>
      <c r="BL351" s="13"/>
      <c r="BM351" s="13"/>
      <c r="BN351" s="13"/>
      <c r="BO351" s="13"/>
      <c r="BP351" s="13"/>
      <c r="BQ351" s="13"/>
    </row>
    <row r="352" spans="1:69" ht="17.25" customHeight="1" x14ac:dyDescent="0.2">
      <c r="A352" s="261"/>
      <c r="B352" s="1731" t="s">
        <v>537</v>
      </c>
      <c r="C352" s="1790" t="s">
        <v>538</v>
      </c>
      <c r="D352" s="1790"/>
      <c r="E352" s="1373"/>
      <c r="F352" s="1374"/>
      <c r="G352" s="392">
        <v>1</v>
      </c>
      <c r="H352" s="578"/>
      <c r="I352" s="579"/>
      <c r="J352" s="261"/>
      <c r="K352" s="261"/>
      <c r="L352" s="13"/>
      <c r="M352" s="261"/>
      <c r="N352" s="38"/>
      <c r="O352" s="38"/>
      <c r="P352" s="38"/>
      <c r="Q352" s="13"/>
      <c r="R352" s="276"/>
      <c r="S352" s="13"/>
      <c r="T352" s="13"/>
      <c r="U352" s="13"/>
      <c r="V352" s="13"/>
      <c r="X352" s="13"/>
      <c r="Y352" s="13"/>
      <c r="Z352" s="13"/>
      <c r="AA352" s="13"/>
      <c r="AB352" s="13"/>
      <c r="AC352" s="13"/>
      <c r="AD352" s="13"/>
      <c r="AE352" s="271"/>
      <c r="AF352" s="271"/>
      <c r="AG352" s="271"/>
      <c r="AH352" s="271"/>
      <c r="AI352" s="271"/>
      <c r="AJ352" s="13"/>
      <c r="AK352" s="13"/>
      <c r="AL352" s="13"/>
      <c r="AM352" s="13"/>
      <c r="AN352" s="13"/>
      <c r="AO352" s="13"/>
      <c r="AP352" s="13"/>
      <c r="AQ352" s="13"/>
      <c r="AR352" s="13"/>
      <c r="AS352" s="13"/>
      <c r="AT352" s="13"/>
      <c r="AU352" s="13"/>
      <c r="AV352" s="13"/>
      <c r="AW352" s="13"/>
      <c r="AX352" s="13"/>
      <c r="AY352" s="13"/>
      <c r="AZ352" s="13"/>
      <c r="BA352" s="13"/>
      <c r="BB352" s="13"/>
      <c r="BC352" s="13"/>
      <c r="BD352" s="13"/>
      <c r="BE352" s="13"/>
      <c r="BF352" s="13"/>
      <c r="BG352" s="13"/>
      <c r="BH352" s="13"/>
      <c r="BI352" s="13"/>
      <c r="BJ352" s="13"/>
      <c r="BK352" s="13"/>
      <c r="BL352" s="13"/>
      <c r="BM352" s="13"/>
      <c r="BN352" s="13"/>
      <c r="BO352" s="13"/>
      <c r="BP352" s="13"/>
      <c r="BQ352" s="13"/>
    </row>
    <row r="353" spans="1:69" ht="18.75" customHeight="1" x14ac:dyDescent="0.2">
      <c r="A353" s="261"/>
      <c r="B353" s="1731"/>
      <c r="C353" s="1782" t="s">
        <v>539</v>
      </c>
      <c r="D353" s="1782"/>
      <c r="E353" s="1375"/>
      <c r="F353" s="1376"/>
      <c r="G353" s="392">
        <v>1</v>
      </c>
      <c r="H353" s="578"/>
      <c r="I353" s="579"/>
      <c r="J353" s="261"/>
      <c r="K353" s="261"/>
      <c r="L353" s="13"/>
      <c r="M353" s="261"/>
      <c r="N353" s="38"/>
      <c r="O353" s="38"/>
      <c r="P353" s="38"/>
      <c r="Q353" s="13"/>
      <c r="R353" s="276"/>
      <c r="S353" s="13"/>
      <c r="T353" s="13"/>
      <c r="U353" s="13"/>
      <c r="V353" s="13"/>
      <c r="X353" s="13"/>
      <c r="Y353" s="13"/>
      <c r="Z353" s="13"/>
      <c r="AA353" s="13"/>
      <c r="AB353" s="13"/>
      <c r="AC353" s="13"/>
      <c r="AD353" s="13"/>
      <c r="AE353" s="271"/>
      <c r="AF353" s="271"/>
      <c r="AG353" s="271"/>
      <c r="AH353" s="271"/>
      <c r="AI353" s="271"/>
      <c r="AJ353" s="13"/>
      <c r="AK353" s="13"/>
      <c r="AL353" s="13"/>
      <c r="AM353" s="13"/>
      <c r="AN353" s="13"/>
      <c r="AO353" s="13"/>
      <c r="AP353" s="13"/>
      <c r="AQ353" s="13"/>
      <c r="AR353" s="13"/>
      <c r="AS353" s="13"/>
      <c r="AT353" s="13"/>
      <c r="AU353" s="13"/>
      <c r="AV353" s="13"/>
      <c r="AW353" s="13"/>
      <c r="AX353" s="13"/>
      <c r="AY353" s="13"/>
      <c r="AZ353" s="13"/>
      <c r="BA353" s="13"/>
      <c r="BB353" s="13"/>
      <c r="BC353" s="13"/>
      <c r="BD353" s="13"/>
      <c r="BE353" s="13"/>
      <c r="BF353" s="13"/>
      <c r="BG353" s="13"/>
      <c r="BH353" s="13"/>
      <c r="BI353" s="13"/>
      <c r="BJ353" s="13"/>
      <c r="BK353" s="13"/>
      <c r="BL353" s="13"/>
      <c r="BM353" s="13"/>
      <c r="BN353" s="13"/>
      <c r="BO353" s="13"/>
      <c r="BP353" s="13"/>
      <c r="BQ353" s="13"/>
    </row>
    <row r="354" spans="1:69" ht="15" customHeight="1" x14ac:dyDescent="0.2">
      <c r="A354" s="261"/>
      <c r="B354" s="572"/>
      <c r="C354" s="1841" t="s">
        <v>400</v>
      </c>
      <c r="D354" s="1841"/>
      <c r="E354" s="806"/>
      <c r="F354" s="806"/>
      <c r="G354" s="602"/>
      <c r="H354" s="196"/>
      <c r="I354" s="101"/>
      <c r="J354" s="261"/>
      <c r="K354" s="261"/>
      <c r="L354" s="13"/>
      <c r="M354" s="261"/>
      <c r="N354" s="38"/>
      <c r="O354" s="38"/>
      <c r="P354" s="38"/>
      <c r="Q354" s="13"/>
      <c r="R354" s="276"/>
      <c r="S354" s="13"/>
      <c r="T354" s="13"/>
      <c r="U354" s="13"/>
      <c r="V354" s="13"/>
      <c r="X354" s="13"/>
      <c r="Y354" s="13"/>
      <c r="Z354" s="13"/>
      <c r="AA354" s="13"/>
      <c r="AB354" s="13"/>
      <c r="AC354" s="13"/>
      <c r="AD354" s="13"/>
      <c r="AE354" s="271"/>
      <c r="AF354" s="271"/>
      <c r="AG354" s="271"/>
      <c r="AH354" s="271"/>
      <c r="AI354" s="271"/>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c r="BP354" s="13"/>
      <c r="BQ354" s="13"/>
    </row>
    <row r="355" spans="1:69" ht="15.75" customHeight="1" x14ac:dyDescent="0.2">
      <c r="A355" s="261"/>
      <c r="B355" s="1761" t="s">
        <v>540</v>
      </c>
      <c r="C355" s="1762"/>
      <c r="D355" s="1763"/>
      <c r="E355" s="419"/>
      <c r="F355" s="566"/>
      <c r="G355" s="392">
        <v>1</v>
      </c>
      <c r="H355" s="369"/>
      <c r="I355" s="101"/>
      <c r="J355" s="261"/>
      <c r="K355" s="261"/>
      <c r="L355" s="13"/>
      <c r="M355" s="261"/>
      <c r="N355" s="38"/>
      <c r="O355" s="38"/>
      <c r="P355" s="38"/>
      <c r="Q355" s="13"/>
      <c r="R355" s="276"/>
      <c r="S355" s="13"/>
      <c r="T355" s="13"/>
      <c r="U355" s="13"/>
      <c r="V355" s="13"/>
      <c r="X355" s="13"/>
      <c r="Y355" s="13"/>
      <c r="Z355" s="13"/>
      <c r="AA355" s="13"/>
      <c r="AB355" s="13"/>
      <c r="AC355" s="13"/>
      <c r="AD355" s="13"/>
      <c r="AE355" s="271"/>
      <c r="AF355" s="271"/>
      <c r="AG355" s="271"/>
      <c r="AH355" s="271"/>
      <c r="AI355" s="271"/>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c r="BG355" s="13"/>
      <c r="BH355" s="13"/>
      <c r="BI355" s="13"/>
      <c r="BJ355" s="13"/>
      <c r="BK355" s="13"/>
      <c r="BL355" s="13"/>
      <c r="BM355" s="13"/>
      <c r="BN355" s="13"/>
      <c r="BO355" s="13"/>
      <c r="BP355" s="13"/>
      <c r="BQ355" s="13"/>
    </row>
    <row r="356" spans="1:69" ht="12.75" customHeight="1" x14ac:dyDescent="0.2">
      <c r="A356" s="261"/>
      <c r="B356" s="572"/>
      <c r="C356" s="1846" t="s">
        <v>179</v>
      </c>
      <c r="D356" s="1847"/>
      <c r="E356" s="399">
        <v>2</v>
      </c>
      <c r="F356" s="399">
        <v>1</v>
      </c>
      <c r="G356" s="13"/>
      <c r="I356" s="101"/>
      <c r="J356" s="261"/>
      <c r="K356" s="261"/>
      <c r="L356" s="13"/>
      <c r="M356" s="261"/>
      <c r="N356" s="38"/>
      <c r="O356" s="38"/>
      <c r="P356" s="38"/>
      <c r="Q356" s="13"/>
      <c r="R356" s="276"/>
      <c r="S356" s="13"/>
      <c r="T356" s="13"/>
      <c r="U356" s="13"/>
      <c r="V356" s="13"/>
      <c r="X356" s="13"/>
      <c r="Y356" s="13"/>
      <c r="Z356" s="13"/>
      <c r="AA356" s="13"/>
      <c r="AB356" s="13"/>
      <c r="AC356" s="13"/>
      <c r="AD356" s="13"/>
      <c r="AE356" s="271"/>
      <c r="AF356" s="271"/>
      <c r="AG356" s="271"/>
      <c r="AH356" s="271"/>
      <c r="AI356" s="271"/>
      <c r="AJ356" s="13"/>
      <c r="AK356" s="13"/>
      <c r="AL356" s="13"/>
      <c r="AM356" s="13"/>
      <c r="AN356" s="13"/>
      <c r="AO356" s="13"/>
      <c r="AP356" s="13"/>
      <c r="AQ356" s="13"/>
      <c r="AR356" s="13"/>
      <c r="AS356" s="13"/>
      <c r="AT356" s="13"/>
      <c r="AU356" s="13"/>
      <c r="AV356" s="13"/>
      <c r="AW356" s="13"/>
      <c r="AX356" s="13"/>
      <c r="AY356" s="13"/>
      <c r="AZ356" s="13"/>
      <c r="BA356" s="13"/>
      <c r="BB356" s="13"/>
      <c r="BC356" s="13"/>
      <c r="BD356" s="13"/>
      <c r="BE356" s="13"/>
      <c r="BF356" s="13"/>
      <c r="BG356" s="13"/>
      <c r="BH356" s="13"/>
      <c r="BI356" s="13"/>
      <c r="BJ356" s="13"/>
      <c r="BK356" s="13"/>
      <c r="BL356" s="13"/>
      <c r="BM356" s="13"/>
      <c r="BN356" s="13"/>
      <c r="BO356" s="13"/>
      <c r="BP356" s="13"/>
      <c r="BQ356" s="13"/>
    </row>
    <row r="357" spans="1:69" ht="15" customHeight="1" x14ac:dyDescent="0.2">
      <c r="A357" s="13"/>
      <c r="B357" s="290" t="s">
        <v>274</v>
      </c>
      <c r="C357" s="683" t="str">
        <f>IF(AND(E352="",F352=""),"",'GUIA DE APLICAÇÃO'!J1149)</f>
        <v/>
      </c>
      <c r="D357" s="273"/>
      <c r="E357" s="273"/>
      <c r="F357" s="273"/>
      <c r="G357" s="273"/>
      <c r="H357" s="273"/>
      <c r="I357" s="101"/>
      <c r="J357" s="261"/>
      <c r="K357" s="261"/>
      <c r="L357" s="261"/>
      <c r="M357" s="261"/>
      <c r="N357" s="38"/>
      <c r="O357" s="38"/>
      <c r="P357" s="38"/>
      <c r="Q357" s="13"/>
      <c r="R357" s="276"/>
      <c r="S357" s="13"/>
      <c r="T357" s="13"/>
      <c r="U357" s="13"/>
      <c r="V357" s="13"/>
      <c r="W357" s="13"/>
      <c r="X357" s="13"/>
      <c r="Y357" s="13"/>
      <c r="Z357" s="13"/>
      <c r="AA357" s="13"/>
      <c r="AB357" s="13"/>
      <c r="AC357" s="13"/>
      <c r="AD357" s="13"/>
      <c r="AE357" s="271"/>
      <c r="AF357" s="271"/>
      <c r="AG357" s="271"/>
      <c r="AH357" s="271"/>
      <c r="AI357" s="271"/>
      <c r="AJ357" s="13"/>
      <c r="AK357" s="13"/>
      <c r="AL357" s="13"/>
      <c r="AM357" s="13"/>
      <c r="AN357" s="13"/>
      <c r="AO357" s="13"/>
      <c r="AP357" s="13"/>
      <c r="AQ357" s="13"/>
      <c r="AR357" s="13"/>
      <c r="AS357" s="13"/>
      <c r="AT357" s="13"/>
      <c r="AU357" s="13"/>
      <c r="AV357" s="13"/>
      <c r="AW357" s="13"/>
      <c r="AX357" s="13"/>
      <c r="AY357" s="13"/>
      <c r="AZ357" s="13"/>
      <c r="BA357" s="13"/>
      <c r="BB357" s="13"/>
      <c r="BC357" s="13"/>
      <c r="BD357" s="13"/>
      <c r="BE357" s="13"/>
      <c r="BF357" s="13"/>
      <c r="BG357" s="13"/>
      <c r="BH357" s="13"/>
      <c r="BI357" s="13"/>
      <c r="BJ357" s="13"/>
      <c r="BK357" s="13"/>
      <c r="BL357" s="13"/>
      <c r="BM357" s="13"/>
      <c r="BN357" s="13"/>
      <c r="BO357" s="13"/>
      <c r="BP357" s="13"/>
      <c r="BQ357" s="13"/>
    </row>
    <row r="358" spans="1:69" ht="16.5" customHeight="1" x14ac:dyDescent="0.2">
      <c r="A358" s="13"/>
      <c r="B358" s="55"/>
      <c r="C358" s="275"/>
      <c r="D358" s="232"/>
      <c r="E358" s="232"/>
      <c r="F358" s="38"/>
      <c r="G358" s="261"/>
      <c r="H358" s="261"/>
      <c r="I358" s="261"/>
      <c r="J358" s="261"/>
      <c r="K358" s="261"/>
      <c r="L358" s="261"/>
      <c r="M358" s="261"/>
      <c r="N358" s="38"/>
      <c r="O358" s="38"/>
      <c r="P358" s="38"/>
      <c r="Q358" s="13"/>
      <c r="R358" s="276"/>
      <c r="S358" s="13"/>
      <c r="T358" s="13"/>
      <c r="U358" s="13"/>
      <c r="V358" s="13"/>
      <c r="W358" s="13"/>
      <c r="X358" s="13"/>
      <c r="Y358" s="13"/>
      <c r="Z358" s="13"/>
      <c r="AA358" s="13"/>
      <c r="AB358" s="13"/>
      <c r="AC358" s="13"/>
      <c r="AD358" s="13"/>
      <c r="AE358" s="271"/>
      <c r="AF358" s="271"/>
      <c r="AG358" s="271"/>
      <c r="AH358" s="271"/>
      <c r="AI358" s="271"/>
      <c r="AJ358" s="13"/>
      <c r="AK358" s="13"/>
      <c r="AL358" s="13"/>
      <c r="AM358" s="13"/>
      <c r="AN358" s="13"/>
      <c r="AO358" s="13"/>
      <c r="AP358" s="13"/>
      <c r="AQ358" s="13"/>
      <c r="AR358" s="13"/>
      <c r="AS358" s="13"/>
      <c r="AT358" s="13"/>
      <c r="AU358" s="13"/>
      <c r="AV358" s="13"/>
      <c r="AW358" s="13"/>
      <c r="AX358" s="13"/>
      <c r="AY358" s="13"/>
      <c r="AZ358" s="13"/>
      <c r="BA358" s="13"/>
      <c r="BB358" s="13"/>
      <c r="BC358" s="13"/>
      <c r="BD358" s="13"/>
      <c r="BE358" s="13"/>
      <c r="BF358" s="13"/>
      <c r="BG358" s="13"/>
      <c r="BH358" s="13"/>
      <c r="BI358" s="13"/>
      <c r="BJ358" s="13"/>
      <c r="BK358" s="13"/>
      <c r="BL358" s="13"/>
      <c r="BM358" s="13"/>
      <c r="BN358" s="13"/>
      <c r="BO358" s="13"/>
      <c r="BP358" s="13"/>
      <c r="BQ358" s="13"/>
    </row>
    <row r="359" spans="1:69" ht="20.25" customHeight="1" x14ac:dyDescent="0.2">
      <c r="A359" s="660">
        <v>18</v>
      </c>
      <c r="B359" s="703" t="s">
        <v>541</v>
      </c>
      <c r="C359" s="607"/>
      <c r="D359" s="607"/>
      <c r="E359" s="607"/>
      <c r="F359" s="607"/>
      <c r="G359" s="607"/>
      <c r="H359" s="527"/>
      <c r="I359" s="101"/>
      <c r="J359" s="114"/>
      <c r="K359" s="5"/>
      <c r="L359" s="278"/>
      <c r="M359" s="278"/>
      <c r="N359" s="13"/>
      <c r="O359" s="13"/>
      <c r="P359" s="13"/>
      <c r="Q359" s="13"/>
      <c r="R359" s="13"/>
      <c r="S359" s="13"/>
      <c r="T359" s="278"/>
      <c r="U359" s="279"/>
      <c r="V359" s="279"/>
      <c r="W359" s="38"/>
      <c r="X359" s="38"/>
      <c r="AE359" s="38"/>
      <c r="AG359" s="186"/>
      <c r="AH359" s="113"/>
      <c r="AI359" s="38"/>
      <c r="AK359" s="280"/>
      <c r="AL359" s="280"/>
      <c r="AM359" s="280"/>
      <c r="AN359" s="280"/>
      <c r="AO359" s="280"/>
      <c r="AP359" s="280"/>
      <c r="AQ359" s="280"/>
      <c r="AR359" s="280"/>
      <c r="AS359" s="280"/>
      <c r="AT359" s="280"/>
      <c r="AU359" s="280"/>
      <c r="AV359" s="280"/>
      <c r="AW359" s="280"/>
      <c r="AX359" s="186"/>
      <c r="AY359" s="186"/>
      <c r="AZ359" s="186"/>
      <c r="BA359" s="186"/>
      <c r="BB359" s="186"/>
      <c r="BC359" s="113"/>
      <c r="BD359" s="13"/>
      <c r="BE359" s="13"/>
      <c r="BJ359" s="13"/>
      <c r="BK359" s="13"/>
      <c r="BL359" s="13"/>
      <c r="BM359" s="13"/>
      <c r="BN359" s="13"/>
      <c r="BO359" s="13"/>
      <c r="BP359" s="13"/>
      <c r="BQ359" s="13"/>
    </row>
    <row r="360" spans="1:69" ht="9.75" customHeight="1" x14ac:dyDescent="0.2">
      <c r="A360" s="13"/>
      <c r="B360" s="266"/>
      <c r="C360" s="13"/>
      <c r="D360" s="804"/>
      <c r="E360" s="804"/>
      <c r="F360" s="804"/>
      <c r="H360" s="13"/>
      <c r="I360" s="101"/>
      <c r="J360" s="38"/>
      <c r="K360" s="13"/>
      <c r="L360" s="13"/>
      <c r="M360" s="13"/>
      <c r="N360" s="13"/>
      <c r="O360" s="13"/>
      <c r="P360" s="13"/>
      <c r="Q360" s="13"/>
      <c r="R360" s="13"/>
      <c r="S360" s="13"/>
      <c r="T360" s="281"/>
      <c r="U360" s="281"/>
      <c r="V360" s="281"/>
      <c r="W360" s="281"/>
      <c r="X360" s="281"/>
      <c r="AE360" s="38"/>
      <c r="AG360" s="38"/>
      <c r="AH360" s="94"/>
      <c r="AI360" s="38"/>
      <c r="AK360" s="146"/>
      <c r="AL360" s="146"/>
      <c r="AM360" s="146"/>
      <c r="AN360" s="146"/>
      <c r="AO360" s="146"/>
      <c r="AP360" s="146"/>
      <c r="AQ360" s="146"/>
      <c r="AR360" s="146"/>
      <c r="AS360" s="146"/>
      <c r="AT360" s="146"/>
      <c r="AU360" s="146"/>
      <c r="AV360" s="146"/>
      <c r="AW360" s="146"/>
      <c r="AX360" s="38"/>
      <c r="AY360" s="38"/>
      <c r="AZ360" s="38"/>
      <c r="BA360" s="38"/>
      <c r="BB360" s="38"/>
      <c r="BC360" s="94"/>
      <c r="BD360" s="13"/>
      <c r="BE360" s="13"/>
      <c r="BJ360" s="13"/>
      <c r="BK360" s="13"/>
      <c r="BL360" s="13"/>
      <c r="BM360" s="13"/>
      <c r="BN360" s="13"/>
      <c r="BO360" s="13"/>
      <c r="BP360" s="13"/>
      <c r="BQ360" s="13"/>
    </row>
    <row r="361" spans="1:69" ht="29.25" customHeight="1" x14ac:dyDescent="0.2">
      <c r="A361" s="13"/>
      <c r="B361" s="93"/>
      <c r="C361" s="1519" t="s">
        <v>542</v>
      </c>
      <c r="D361" s="1325" t="s">
        <v>543</v>
      </c>
      <c r="E361" s="1325" t="s">
        <v>544</v>
      </c>
      <c r="F361" s="1325" t="s">
        <v>545</v>
      </c>
      <c r="G361" s="1325" t="s">
        <v>544</v>
      </c>
      <c r="H361" s="1523" t="s">
        <v>179</v>
      </c>
      <c r="I361" s="694"/>
      <c r="J361" s="13"/>
      <c r="K361" s="5"/>
      <c r="L361" s="13"/>
      <c r="M361" s="13"/>
      <c r="N361" s="13"/>
      <c r="O361" s="13"/>
      <c r="P361" s="13"/>
      <c r="Q361" s="13"/>
      <c r="R361" s="13"/>
      <c r="S361" s="13"/>
      <c r="T361" s="282"/>
      <c r="U361" s="281"/>
      <c r="V361" s="38"/>
      <c r="W361" s="38"/>
      <c r="X361" s="38"/>
      <c r="AE361" s="13"/>
      <c r="AG361" s="38"/>
      <c r="AH361" s="94"/>
      <c r="AI361" s="13"/>
      <c r="AK361" s="146"/>
      <c r="AL361" s="146"/>
      <c r="AM361" s="146"/>
      <c r="AN361" s="146"/>
      <c r="AO361" s="146"/>
      <c r="AP361" s="146"/>
      <c r="AQ361" s="146"/>
      <c r="AR361" s="146"/>
      <c r="AS361" s="146"/>
      <c r="AT361" s="146"/>
      <c r="AU361" s="146"/>
      <c r="AV361" s="146"/>
      <c r="AW361" s="146"/>
      <c r="AX361" s="38"/>
      <c r="AY361" s="38"/>
      <c r="AZ361" s="38"/>
      <c r="BA361" s="38"/>
      <c r="BB361" s="38"/>
      <c r="BC361" s="94"/>
      <c r="BD361" s="13"/>
      <c r="BE361" s="13"/>
      <c r="BJ361" s="13"/>
      <c r="BK361" s="13"/>
      <c r="BL361" s="13"/>
      <c r="BM361" s="13"/>
      <c r="BN361" s="13"/>
      <c r="BO361" s="13"/>
      <c r="BP361" s="13"/>
      <c r="BQ361" s="13"/>
    </row>
    <row r="362" spans="1:69" ht="18" customHeight="1" x14ac:dyDescent="0.2">
      <c r="A362" s="13"/>
      <c r="B362" s="1799" t="s">
        <v>546</v>
      </c>
      <c r="C362" s="551" t="s">
        <v>547</v>
      </c>
      <c r="D362" s="1380"/>
      <c r="E362" s="1381"/>
      <c r="F362" s="1382"/>
      <c r="G362" s="1383"/>
      <c r="H362" s="392">
        <v>1</v>
      </c>
      <c r="I362" s="13"/>
      <c r="J362" s="13"/>
      <c r="K362" s="5"/>
      <c r="L362" s="13"/>
      <c r="M362" s="13"/>
      <c r="N362" s="13"/>
      <c r="O362" s="13"/>
      <c r="P362" s="13"/>
      <c r="Q362" s="13"/>
      <c r="R362" s="13"/>
      <c r="S362" s="13"/>
      <c r="T362" s="282"/>
      <c r="U362" s="281"/>
      <c r="V362" s="38"/>
      <c r="W362" s="38"/>
      <c r="X362" s="38"/>
      <c r="AE362" s="13"/>
      <c r="AG362" s="38"/>
      <c r="AH362" s="94"/>
      <c r="AI362" s="13"/>
      <c r="AK362" s="146"/>
      <c r="AL362" s="146"/>
      <c r="AM362" s="146"/>
      <c r="AN362" s="146"/>
      <c r="AO362" s="146"/>
      <c r="AP362" s="146"/>
      <c r="AQ362" s="146"/>
      <c r="AR362" s="146"/>
      <c r="AS362" s="146"/>
      <c r="AT362" s="146"/>
      <c r="AU362" s="146"/>
      <c r="AV362" s="146"/>
      <c r="AW362" s="146"/>
      <c r="AX362" s="38"/>
      <c r="AY362" s="38"/>
      <c r="AZ362" s="38"/>
      <c r="BA362" s="38"/>
      <c r="BB362" s="38"/>
      <c r="BC362" s="94"/>
      <c r="BD362" s="13"/>
      <c r="BE362" s="13"/>
      <c r="BJ362" s="13"/>
      <c r="BK362" s="13"/>
      <c r="BL362" s="13"/>
      <c r="BM362" s="13"/>
      <c r="BN362" s="13"/>
      <c r="BO362" s="13"/>
      <c r="BP362" s="13"/>
      <c r="BQ362" s="13"/>
    </row>
    <row r="363" spans="1:69" ht="17.25" customHeight="1" x14ac:dyDescent="0.2">
      <c r="A363" s="13"/>
      <c r="B363" s="1800"/>
      <c r="C363" s="551" t="s">
        <v>548</v>
      </c>
      <c r="D363" s="1384"/>
      <c r="E363" s="1381"/>
      <c r="F363" s="1382"/>
      <c r="G363" s="1383"/>
      <c r="H363" s="392">
        <v>0.9</v>
      </c>
      <c r="I363" s="13"/>
      <c r="J363" s="13"/>
      <c r="K363" s="5"/>
      <c r="L363" s="13"/>
      <c r="M363" s="13"/>
      <c r="N363" s="13"/>
      <c r="O363" s="13"/>
      <c r="P363" s="13"/>
      <c r="Q363" s="13"/>
      <c r="R363" s="13"/>
      <c r="S363" s="13"/>
      <c r="T363" s="282"/>
      <c r="U363" s="281"/>
      <c r="V363" s="38"/>
      <c r="W363" s="38"/>
      <c r="X363" s="38"/>
      <c r="AE363" s="13"/>
      <c r="AG363" s="38"/>
      <c r="AH363" s="94"/>
      <c r="AI363" s="13"/>
      <c r="AK363" s="146"/>
      <c r="AL363" s="146"/>
      <c r="AM363" s="146"/>
      <c r="AN363" s="146"/>
      <c r="AO363" s="146"/>
      <c r="AP363" s="146"/>
      <c r="AQ363" s="146"/>
      <c r="AR363" s="146"/>
      <c r="AS363" s="146"/>
      <c r="AT363" s="146"/>
      <c r="AU363" s="146"/>
      <c r="AV363" s="146"/>
      <c r="AW363" s="146"/>
      <c r="AX363" s="38"/>
      <c r="AY363" s="38"/>
      <c r="AZ363" s="38"/>
      <c r="BA363" s="38"/>
      <c r="BB363" s="38"/>
      <c r="BC363" s="94"/>
      <c r="BD363" s="13"/>
      <c r="BE363" s="13"/>
      <c r="BJ363" s="13"/>
      <c r="BK363" s="13"/>
      <c r="BL363" s="13"/>
      <c r="BM363" s="13"/>
      <c r="BN363" s="13"/>
      <c r="BO363" s="13"/>
      <c r="BP363" s="13"/>
      <c r="BQ363" s="13"/>
    </row>
    <row r="364" spans="1:69" ht="18" customHeight="1" x14ac:dyDescent="0.2">
      <c r="A364" s="13"/>
      <c r="B364" s="1801"/>
      <c r="C364" s="551" t="s">
        <v>549</v>
      </c>
      <c r="D364" s="1384"/>
      <c r="E364" s="1372"/>
      <c r="F364" s="1382"/>
      <c r="G364" s="1383"/>
      <c r="H364" s="392">
        <v>0.7</v>
      </c>
      <c r="I364" s="13"/>
      <c r="J364" s="13"/>
      <c r="K364" s="5"/>
      <c r="L364" s="13"/>
      <c r="M364" s="13"/>
      <c r="N364" s="13"/>
      <c r="O364" s="13"/>
      <c r="P364" s="13"/>
      <c r="Q364" s="13"/>
      <c r="R364" s="13"/>
      <c r="S364" s="13"/>
      <c r="T364" s="282"/>
      <c r="U364" s="281"/>
      <c r="V364" s="38"/>
      <c r="W364" s="38"/>
      <c r="X364" s="38"/>
      <c r="AE364" s="13"/>
      <c r="AG364" s="38"/>
      <c r="AH364" s="94"/>
      <c r="AI364" s="13"/>
      <c r="AK364" s="146"/>
      <c r="AL364" s="146"/>
      <c r="AM364" s="146"/>
      <c r="AN364" s="146"/>
      <c r="AO364" s="146"/>
      <c r="AP364" s="146"/>
      <c r="AQ364" s="146"/>
      <c r="AR364" s="146"/>
      <c r="AS364" s="146"/>
      <c r="AT364" s="146"/>
      <c r="AU364" s="146"/>
      <c r="AV364" s="146"/>
      <c r="AW364" s="146"/>
      <c r="AX364" s="38"/>
      <c r="AY364" s="38"/>
      <c r="AZ364" s="38"/>
      <c r="BA364" s="38"/>
      <c r="BB364" s="38"/>
      <c r="BC364" s="94"/>
      <c r="BD364" s="13"/>
      <c r="BE364" s="13"/>
      <c r="BJ364" s="13"/>
      <c r="BK364" s="13"/>
      <c r="BL364" s="13"/>
      <c r="BM364" s="13"/>
      <c r="BN364" s="13"/>
      <c r="BO364" s="13"/>
      <c r="BP364" s="13"/>
      <c r="BQ364" s="13"/>
    </row>
    <row r="365" spans="1:69" ht="27" customHeight="1" x14ac:dyDescent="0.2">
      <c r="A365" s="13"/>
      <c r="B365" s="528"/>
      <c r="C365" s="526"/>
      <c r="D365" s="1518" t="s">
        <v>550</v>
      </c>
      <c r="E365" s="525"/>
      <c r="F365" s="1797" t="s">
        <v>551</v>
      </c>
      <c r="G365" s="1797"/>
      <c r="H365" s="685">
        <f>SUM('GUIA DE APLICAÇÃO'!F1158:F1160)</f>
        <v>0</v>
      </c>
      <c r="I365" s="101"/>
      <c r="J365" s="13"/>
      <c r="K365" s="5"/>
      <c r="L365" s="13"/>
      <c r="M365" s="13"/>
      <c r="N365" s="13"/>
      <c r="O365" s="13"/>
      <c r="P365" s="13"/>
      <c r="Q365" s="13"/>
      <c r="R365" s="13"/>
      <c r="S365" s="13"/>
      <c r="T365" s="282"/>
      <c r="U365" s="281"/>
      <c r="V365" s="38"/>
      <c r="W365" s="38"/>
      <c r="X365" s="38"/>
      <c r="AE365" s="13"/>
      <c r="AG365" s="38"/>
      <c r="AH365" s="94"/>
      <c r="AI365" s="13"/>
      <c r="AK365" s="242"/>
      <c r="AL365" s="242"/>
      <c r="AM365" s="242"/>
      <c r="AN365" s="242"/>
      <c r="AO365" s="242"/>
      <c r="AP365" s="242"/>
      <c r="AQ365" s="242"/>
      <c r="AR365" s="242"/>
      <c r="AS365" s="242"/>
      <c r="AT365" s="242"/>
      <c r="AU365" s="242"/>
      <c r="AV365" s="242"/>
      <c r="AW365" s="242"/>
      <c r="AX365" s="121"/>
      <c r="AY365" s="121"/>
      <c r="AZ365" s="121"/>
      <c r="BA365" s="121"/>
      <c r="BB365" s="121"/>
      <c r="BC365" s="118"/>
      <c r="BD365" s="13"/>
      <c r="BE365" s="13"/>
      <c r="BJ365" s="13"/>
      <c r="BK365" s="13"/>
      <c r="BL365" s="13"/>
      <c r="BM365" s="13"/>
      <c r="BN365" s="13"/>
      <c r="BO365" s="13"/>
      <c r="BP365" s="13"/>
      <c r="BQ365" s="13"/>
    </row>
    <row r="366" spans="1:69" ht="21" customHeight="1" x14ac:dyDescent="0.2">
      <c r="A366" s="13"/>
      <c r="B366" s="1799" t="s">
        <v>552</v>
      </c>
      <c r="C366" s="551" t="s">
        <v>547</v>
      </c>
      <c r="D366" s="1385"/>
      <c r="E366" s="1795" t="s">
        <v>435</v>
      </c>
      <c r="F366" s="1725" t="s">
        <v>179</v>
      </c>
      <c r="G366" s="1830" t="s">
        <v>553</v>
      </c>
      <c r="H366" s="803">
        <f>+'2 GEOPROCESSAMENTO'!E38</f>
        <v>0</v>
      </c>
      <c r="I366" s="101"/>
      <c r="J366" s="13"/>
      <c r="K366" s="5"/>
      <c r="L366" s="13"/>
      <c r="M366" s="13"/>
      <c r="N366" s="13"/>
      <c r="O366" s="13"/>
      <c r="P366" s="13"/>
      <c r="Q366" s="13"/>
      <c r="R366" s="13"/>
      <c r="S366" s="13"/>
      <c r="T366" s="282"/>
      <c r="U366" s="281"/>
      <c r="V366" s="38"/>
      <c r="W366" s="38"/>
      <c r="X366" s="38"/>
      <c r="AE366" s="13"/>
      <c r="AG366" s="121"/>
      <c r="AH366" s="118"/>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J366" s="13"/>
      <c r="BK366" s="13"/>
      <c r="BL366" s="13"/>
      <c r="BM366" s="13"/>
      <c r="BN366" s="13"/>
      <c r="BO366" s="13"/>
      <c r="BP366" s="13"/>
      <c r="BQ366" s="13"/>
    </row>
    <row r="367" spans="1:69" ht="18.75" customHeight="1" x14ac:dyDescent="0.2">
      <c r="A367" s="13"/>
      <c r="B367" s="1800"/>
      <c r="C367" s="551" t="s">
        <v>548</v>
      </c>
      <c r="D367" s="1385"/>
      <c r="E367" s="1796"/>
      <c r="F367" s="1726"/>
      <c r="G367" s="1830"/>
      <c r="H367" s="289"/>
      <c r="I367" s="101"/>
      <c r="J367" s="13"/>
      <c r="K367" s="5"/>
      <c r="L367" s="13"/>
      <c r="M367" s="13"/>
      <c r="N367" s="13"/>
      <c r="O367" s="13"/>
      <c r="P367" s="13"/>
      <c r="Q367" s="13"/>
      <c r="R367" s="13"/>
      <c r="S367" s="13"/>
      <c r="T367" s="282"/>
      <c r="U367" s="281"/>
      <c r="V367" s="38"/>
      <c r="W367" s="38"/>
      <c r="X367" s="38"/>
      <c r="AE367" s="13"/>
      <c r="AF367" s="13"/>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J367" s="13"/>
      <c r="BK367" s="13"/>
      <c r="BL367" s="13"/>
      <c r="BM367" s="13"/>
      <c r="BN367" s="13"/>
      <c r="BO367" s="13"/>
      <c r="BP367" s="13"/>
      <c r="BQ367" s="13"/>
    </row>
    <row r="368" spans="1:69" ht="16.5" customHeight="1" x14ac:dyDescent="0.2">
      <c r="A368" s="13"/>
      <c r="B368" s="1801"/>
      <c r="C368" s="551" t="s">
        <v>549</v>
      </c>
      <c r="D368" s="1385"/>
      <c r="E368" s="687">
        <f>IF('2 GEOPROCESSAMENTO'!E38=0,0,'GUIA DE APLICAÇÃO'!C1161)</f>
        <v>0</v>
      </c>
      <c r="F368" s="392">
        <v>1</v>
      </c>
      <c r="G368" s="13"/>
      <c r="H368" s="289"/>
      <c r="I368" s="101"/>
      <c r="J368" s="13"/>
      <c r="K368" s="5"/>
      <c r="L368" s="13"/>
      <c r="M368" s="13"/>
      <c r="N368" s="13"/>
      <c r="O368" s="13"/>
      <c r="P368" s="13"/>
      <c r="Q368" s="13"/>
      <c r="R368" s="13"/>
      <c r="S368" s="13"/>
      <c r="T368" s="282"/>
      <c r="U368" s="281"/>
      <c r="V368" s="38"/>
      <c r="W368" s="38"/>
      <c r="X368" s="38"/>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J368" s="13"/>
      <c r="BK368" s="13"/>
      <c r="BL368" s="13"/>
      <c r="BM368" s="13"/>
      <c r="BN368" s="13"/>
      <c r="BO368" s="13"/>
      <c r="BP368" s="13"/>
      <c r="BQ368" s="13"/>
    </row>
    <row r="369" spans="1:72" ht="15" customHeight="1" x14ac:dyDescent="0.2">
      <c r="A369" s="13"/>
      <c r="B369" s="1843" t="s">
        <v>554</v>
      </c>
      <c r="C369" s="1554"/>
      <c r="D369" s="1554"/>
      <c r="E369" s="1554"/>
      <c r="F369" s="1554"/>
      <c r="G369" s="1554"/>
      <c r="H369" s="1844"/>
      <c r="I369" s="101"/>
      <c r="J369" s="13"/>
      <c r="K369" s="5"/>
      <c r="L369" s="13"/>
      <c r="M369" s="13"/>
      <c r="N369" s="13"/>
      <c r="O369" s="13"/>
      <c r="P369" s="13"/>
      <c r="Q369" s="13"/>
      <c r="R369" s="13"/>
      <c r="S369" s="13"/>
      <c r="T369" s="282"/>
      <c r="U369" s="281"/>
      <c r="V369" s="38"/>
      <c r="W369" s="38"/>
      <c r="X369" s="38"/>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J369" s="13"/>
      <c r="BK369" s="13"/>
      <c r="BL369" s="13"/>
      <c r="BM369" s="13"/>
      <c r="BN369" s="13"/>
      <c r="BO369" s="13"/>
      <c r="BP369" s="13"/>
      <c r="BQ369" s="13"/>
    </row>
    <row r="370" spans="1:72" ht="12" customHeight="1" x14ac:dyDescent="0.2">
      <c r="A370" s="13"/>
      <c r="B370" s="266"/>
      <c r="E370" s="329"/>
      <c r="F370" s="1795" t="s">
        <v>435</v>
      </c>
      <c r="G370" s="1725" t="s">
        <v>179</v>
      </c>
      <c r="H370" s="289"/>
      <c r="I370" s="101"/>
      <c r="J370" s="283"/>
      <c r="K370" s="5"/>
      <c r="L370" s="288"/>
      <c r="M370" s="288"/>
      <c r="N370" s="13"/>
      <c r="O370" s="13"/>
      <c r="P370" s="13"/>
      <c r="Q370" s="13"/>
      <c r="R370" s="13"/>
      <c r="S370" s="13"/>
      <c r="T370" s="137"/>
      <c r="U370" s="281"/>
      <c r="V370" s="137"/>
      <c r="W370" s="137"/>
      <c r="X370" s="137"/>
      <c r="Y370" s="13"/>
      <c r="Z370" s="13"/>
      <c r="AA370" s="13"/>
      <c r="AB370" s="13"/>
      <c r="AC370" s="13"/>
      <c r="AD370" s="13"/>
      <c r="AE370" s="13"/>
      <c r="AF370" s="13"/>
      <c r="AG370" s="13"/>
      <c r="AH370" s="13"/>
      <c r="AI370" s="13"/>
      <c r="AU370" s="51"/>
      <c r="AV370" s="51"/>
      <c r="AW370" s="51"/>
      <c r="AX370" s="13"/>
      <c r="AY370" s="13"/>
      <c r="AZ370" s="13"/>
      <c r="BA370" s="13"/>
      <c r="BB370" s="13"/>
      <c r="BC370" s="13"/>
      <c r="BD370" s="13"/>
      <c r="BE370" s="13"/>
      <c r="BF370" s="13"/>
      <c r="BG370" s="13"/>
      <c r="BH370" s="13"/>
      <c r="BI370" s="13"/>
      <c r="BJ370" s="13"/>
      <c r="BK370" s="13"/>
      <c r="BL370" s="13"/>
      <c r="BM370" s="13"/>
      <c r="BN370" s="13"/>
      <c r="BO370" s="13"/>
      <c r="BP370" s="13"/>
      <c r="BQ370" s="13"/>
    </row>
    <row r="371" spans="1:72" ht="12.75" customHeight="1" x14ac:dyDescent="0.2">
      <c r="A371" s="13"/>
      <c r="B371" s="266"/>
      <c r="C371" s="38"/>
      <c r="D371" s="287"/>
      <c r="E371" s="743" t="s">
        <v>449</v>
      </c>
      <c r="F371" s="1796"/>
      <c r="G371" s="1726"/>
      <c r="H371" s="289"/>
      <c r="I371" s="101"/>
      <c r="J371" s="283"/>
      <c r="K371" s="5"/>
      <c r="L371" s="288"/>
      <c r="M371" s="288"/>
      <c r="N371" s="13"/>
      <c r="O371" s="13"/>
      <c r="P371" s="13"/>
      <c r="Q371" s="13"/>
      <c r="R371" s="13"/>
      <c r="S371" s="13"/>
      <c r="T371" s="137"/>
      <c r="U371" s="281"/>
      <c r="V371" s="137"/>
      <c r="W371" s="137"/>
      <c r="X371" s="137"/>
      <c r="Y371" s="13"/>
      <c r="Z371" s="13"/>
      <c r="AA371" s="13"/>
      <c r="AB371" s="13"/>
      <c r="AC371" s="13"/>
      <c r="AD371" s="13"/>
      <c r="AE371" s="13"/>
      <c r="AF371" s="13"/>
      <c r="AG371" s="13"/>
      <c r="AH371" s="13"/>
      <c r="AI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Q371" s="13"/>
    </row>
    <row r="372" spans="1:72" ht="15.75" customHeight="1" x14ac:dyDescent="0.2">
      <c r="A372" s="13"/>
      <c r="B372" s="1845" t="s">
        <v>555</v>
      </c>
      <c r="C372" s="1845"/>
      <c r="D372" s="1845"/>
      <c r="E372" s="866"/>
      <c r="F372" s="687" t="str">
        <f>IF(E372="","",('GUIA DE APLICAÇÃO'!D1169))</f>
        <v/>
      </c>
      <c r="G372" s="392">
        <v>1</v>
      </c>
      <c r="H372" s="287"/>
      <c r="I372" s="101"/>
      <c r="J372" s="283"/>
      <c r="K372" s="5"/>
      <c r="L372" s="13"/>
      <c r="M372" s="13"/>
      <c r="N372" s="276"/>
      <c r="O372" s="276"/>
      <c r="P372" s="284"/>
      <c r="Q372" s="284"/>
      <c r="R372" s="284"/>
      <c r="S372" s="284"/>
      <c r="T372" s="276"/>
      <c r="U372" s="281"/>
      <c r="V372" s="5"/>
      <c r="W372" s="5"/>
      <c r="X372" s="5"/>
      <c r="Y372" s="13"/>
      <c r="Z372" s="13"/>
      <c r="AA372" s="13"/>
      <c r="AB372" s="13"/>
      <c r="AC372" s="13"/>
      <c r="AD372" s="13"/>
      <c r="AE372" s="13"/>
      <c r="AF372" s="13"/>
      <c r="AG372" s="13"/>
      <c r="AH372" s="13"/>
      <c r="AI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BQ372" s="13"/>
      <c r="BR372" s="12"/>
      <c r="BS372" s="12"/>
      <c r="BT372" s="12"/>
    </row>
    <row r="373" spans="1:72" ht="9" customHeight="1" x14ac:dyDescent="0.2">
      <c r="A373" s="13"/>
      <c r="B373" s="576"/>
      <c r="C373" s="820"/>
      <c r="D373" s="820"/>
      <c r="E373" s="820"/>
      <c r="F373" s="820"/>
      <c r="G373" s="821"/>
      <c r="H373" s="287"/>
      <c r="I373" s="101"/>
      <c r="J373" s="283"/>
      <c r="K373" s="5"/>
      <c r="L373" s="13"/>
      <c r="M373" s="13"/>
      <c r="N373" s="276"/>
      <c r="O373" s="276"/>
      <c r="P373" s="284"/>
      <c r="Q373" s="284"/>
      <c r="R373" s="284"/>
      <c r="S373" s="284"/>
      <c r="T373" s="276"/>
      <c r="U373" s="281"/>
      <c r="V373" s="5"/>
      <c r="W373" s="5"/>
      <c r="X373" s="5"/>
      <c r="Y373" s="13"/>
      <c r="Z373" s="13"/>
      <c r="AA373" s="13"/>
      <c r="AB373" s="13"/>
      <c r="AC373" s="13"/>
      <c r="AD373" s="13"/>
      <c r="AE373" s="13"/>
      <c r="AF373" s="13"/>
      <c r="AG373" s="13"/>
      <c r="AH373" s="13"/>
      <c r="AI373" s="13"/>
      <c r="AU373" s="13"/>
      <c r="AV373" s="13"/>
      <c r="AW373" s="13"/>
      <c r="AX373" s="13"/>
      <c r="AY373" s="13"/>
      <c r="AZ373" s="13"/>
      <c r="BA373" s="13"/>
      <c r="BB373" s="13"/>
      <c r="BC373" s="13"/>
      <c r="BD373" s="13"/>
      <c r="BE373" s="13"/>
      <c r="BF373" s="13"/>
      <c r="BG373" s="13"/>
      <c r="BH373" s="13"/>
      <c r="BI373" s="13"/>
      <c r="BJ373" s="13"/>
      <c r="BK373" s="13"/>
      <c r="BL373" s="13"/>
      <c r="BM373" s="13"/>
      <c r="BN373" s="13"/>
      <c r="BO373" s="13"/>
      <c r="BP373" s="13"/>
      <c r="BQ373" s="13"/>
      <c r="BR373" s="12"/>
      <c r="BS373" s="12"/>
      <c r="BT373" s="12"/>
    </row>
    <row r="374" spans="1:72" ht="15.75" customHeight="1" x14ac:dyDescent="0.2">
      <c r="A374" s="13"/>
      <c r="B374" s="572"/>
      <c r="D374" s="1013"/>
      <c r="E374" s="1764" t="s">
        <v>400</v>
      </c>
      <c r="F374" s="1764"/>
      <c r="G374" s="1764"/>
      <c r="H374" s="276"/>
      <c r="I374" s="101"/>
      <c r="J374" s="283"/>
      <c r="K374" s="5"/>
      <c r="L374" s="13"/>
      <c r="M374" s="13"/>
      <c r="N374" s="13"/>
      <c r="O374" s="13"/>
      <c r="P374" s="276"/>
      <c r="Q374" s="276"/>
      <c r="R374" s="276"/>
      <c r="S374" s="276"/>
      <c r="T374" s="276"/>
      <c r="U374" s="174"/>
      <c r="V374" s="5"/>
      <c r="W374" s="5"/>
      <c r="X374" s="5"/>
      <c r="Y374" s="261"/>
      <c r="Z374" s="271"/>
      <c r="AA374" s="271"/>
      <c r="AB374" s="271"/>
      <c r="AC374" s="271"/>
      <c r="AD374" s="271"/>
      <c r="AE374" s="271"/>
      <c r="AF374" s="271"/>
      <c r="AG374" s="271"/>
      <c r="AH374" s="271"/>
      <c r="AI374" s="271"/>
      <c r="AU374" s="13"/>
      <c r="AV374" s="13"/>
      <c r="AW374" s="13"/>
      <c r="AX374" s="13"/>
      <c r="AY374" s="13"/>
      <c r="AZ374" s="13"/>
      <c r="BA374" s="13"/>
      <c r="BB374" s="13"/>
      <c r="BC374" s="13"/>
      <c r="BD374" s="13"/>
      <c r="BE374" s="13"/>
      <c r="BF374" s="13"/>
      <c r="BG374" s="13"/>
      <c r="BH374" s="13"/>
      <c r="BI374" s="13"/>
      <c r="BJ374" s="13"/>
      <c r="BK374" s="13"/>
      <c r="BL374" s="13"/>
      <c r="BM374" s="13"/>
      <c r="BN374" s="13"/>
      <c r="BO374" s="13"/>
      <c r="BP374" s="13"/>
      <c r="BQ374" s="13"/>
      <c r="BR374" s="12"/>
      <c r="BS374" s="12"/>
      <c r="BT374" s="12"/>
    </row>
    <row r="375" spans="1:72" ht="14.25" customHeight="1" x14ac:dyDescent="0.2">
      <c r="A375" s="13"/>
      <c r="B375" s="1761" t="s">
        <v>556</v>
      </c>
      <c r="C375" s="1762"/>
      <c r="D375" s="1762"/>
      <c r="E375" s="1762"/>
      <c r="F375" s="1763"/>
      <c r="G375" s="656"/>
      <c r="H375" s="276"/>
      <c r="I375" s="101"/>
      <c r="J375" s="283"/>
      <c r="K375" s="5"/>
      <c r="L375" s="13"/>
      <c r="M375" s="13"/>
      <c r="N375" s="13"/>
      <c r="O375" s="13"/>
      <c r="P375" s="276"/>
      <c r="Q375" s="276"/>
      <c r="R375" s="276"/>
      <c r="S375" s="276"/>
      <c r="T375" s="276"/>
      <c r="U375" s="174"/>
      <c r="V375" s="5"/>
      <c r="W375" s="5"/>
      <c r="X375" s="5"/>
      <c r="Y375" s="261"/>
      <c r="Z375" s="271"/>
      <c r="AA375" s="271"/>
      <c r="AB375" s="271"/>
      <c r="AC375" s="271"/>
      <c r="AD375" s="271"/>
      <c r="AE375" s="271"/>
      <c r="AF375" s="271"/>
      <c r="AG375" s="271"/>
      <c r="AH375" s="271"/>
      <c r="AI375" s="271"/>
      <c r="AU375" s="13"/>
      <c r="AV375" s="13"/>
      <c r="AW375" s="13"/>
      <c r="AX375" s="13"/>
      <c r="AY375" s="13"/>
      <c r="AZ375" s="13"/>
      <c r="BA375" s="13"/>
      <c r="BB375" s="13"/>
      <c r="BC375" s="13"/>
      <c r="BD375" s="13"/>
      <c r="BE375" s="13"/>
      <c r="BF375" s="13"/>
      <c r="BG375" s="13"/>
      <c r="BH375" s="13"/>
      <c r="BI375" s="13"/>
      <c r="BJ375" s="13"/>
      <c r="BK375" s="13"/>
      <c r="BL375" s="13"/>
      <c r="BM375" s="13"/>
      <c r="BN375" s="13"/>
      <c r="BO375" s="13"/>
      <c r="BP375" s="13"/>
      <c r="BQ375" s="13"/>
      <c r="BR375" s="12"/>
      <c r="BS375" s="12"/>
      <c r="BT375" s="12"/>
    </row>
    <row r="376" spans="1:72" ht="12" customHeight="1" x14ac:dyDescent="0.2">
      <c r="A376" s="13"/>
      <c r="B376" s="266"/>
      <c r="C376" s="232"/>
      <c r="D376" s="232"/>
      <c r="E376" s="232"/>
      <c r="F376" s="276"/>
      <c r="G376" s="276"/>
      <c r="H376" s="276"/>
      <c r="I376" s="101"/>
      <c r="J376" s="283"/>
      <c r="K376" s="5"/>
      <c r="L376" s="13"/>
      <c r="M376" s="13"/>
      <c r="N376" s="13"/>
      <c r="O376" s="13"/>
      <c r="P376" s="276"/>
      <c r="Q376" s="276"/>
      <c r="R376" s="276"/>
      <c r="S376" s="276"/>
      <c r="T376" s="276"/>
      <c r="U376" s="174"/>
      <c r="V376" s="5"/>
      <c r="W376" s="5"/>
      <c r="X376" s="5"/>
      <c r="Y376" s="261"/>
      <c r="Z376" s="271"/>
      <c r="AA376" s="271"/>
      <c r="AB376" s="271"/>
      <c r="AC376" s="271"/>
      <c r="AD376" s="271"/>
      <c r="AE376" s="271"/>
      <c r="AF376" s="271"/>
      <c r="AG376" s="271"/>
      <c r="AH376" s="271"/>
      <c r="AI376" s="271"/>
      <c r="AU376" s="13"/>
      <c r="AV376" s="13"/>
      <c r="AW376" s="13"/>
      <c r="AX376" s="13"/>
      <c r="AY376" s="13"/>
      <c r="AZ376" s="13"/>
      <c r="BA376" s="13"/>
      <c r="BB376" s="13"/>
      <c r="BC376" s="13"/>
      <c r="BD376" s="13"/>
      <c r="BE376" s="13"/>
      <c r="BF376" s="13"/>
      <c r="BG376" s="13"/>
      <c r="BH376" s="13"/>
      <c r="BI376" s="13"/>
      <c r="BJ376" s="13"/>
      <c r="BK376" s="13"/>
      <c r="BL376" s="13"/>
      <c r="BM376" s="13"/>
      <c r="BN376" s="13"/>
      <c r="BO376" s="13"/>
      <c r="BP376" s="13"/>
      <c r="BQ376" s="13"/>
      <c r="BR376" s="12"/>
      <c r="BS376" s="12"/>
      <c r="BT376" s="12"/>
    </row>
    <row r="377" spans="1:72" ht="15" customHeight="1" x14ac:dyDescent="0.25">
      <c r="A377" s="13"/>
      <c r="B377" s="290" t="s">
        <v>274</v>
      </c>
      <c r="C377" s="683" t="e">
        <f>IF('GUIA DE APLICAÇÃO'!B1163&gt;1,1,'GUIA DE APLICAÇÃO'!B1163)</f>
        <v>#VALUE!</v>
      </c>
      <c r="D377" s="385" t="s">
        <v>329</v>
      </c>
      <c r="E377" s="120"/>
      <c r="F377" s="291"/>
      <c r="G377" s="291"/>
      <c r="H377" s="291"/>
      <c r="I377" s="101"/>
      <c r="J377" s="276"/>
      <c r="K377" s="5"/>
      <c r="L377" s="276"/>
      <c r="M377" s="276"/>
      <c r="N377" s="276"/>
      <c r="O377" s="276"/>
      <c r="P377" s="276"/>
      <c r="Q377" s="276"/>
      <c r="R377" s="276"/>
      <c r="S377" s="276"/>
      <c r="T377" s="276"/>
      <c r="U377" s="5"/>
      <c r="V377" s="5"/>
      <c r="W377" s="5"/>
      <c r="X377" s="5"/>
      <c r="Y377" s="261"/>
      <c r="Z377" s="271"/>
      <c r="AA377" s="271"/>
      <c r="AB377" s="271"/>
      <c r="AC377" s="271"/>
      <c r="AD377" s="271"/>
      <c r="AE377" s="271"/>
      <c r="AF377" s="271"/>
      <c r="AG377" s="271"/>
      <c r="AH377" s="271"/>
      <c r="AI377" s="271"/>
      <c r="AU377" s="292"/>
      <c r="AV377" s="293"/>
      <c r="AW377" s="293"/>
      <c r="AX377" s="294"/>
      <c r="AY377" s="295"/>
      <c r="AZ377" s="295"/>
      <c r="BA377" s="296"/>
      <c r="BB377" s="297"/>
      <c r="BC377" s="297"/>
      <c r="BD377" s="297"/>
      <c r="BE377" s="297"/>
      <c r="BF377" s="13"/>
      <c r="BG377" s="13"/>
      <c r="BH377" s="276"/>
      <c r="BI377" s="276"/>
      <c r="BJ377" s="13"/>
      <c r="BK377" s="13"/>
      <c r="BL377" s="13"/>
      <c r="BM377" s="13"/>
      <c r="BN377" s="13"/>
      <c r="BO377" s="13"/>
      <c r="BP377" s="13"/>
      <c r="BQ377" s="13"/>
      <c r="BR377" s="12"/>
      <c r="BS377" s="12"/>
      <c r="BT377" s="12"/>
    </row>
    <row r="378" spans="1:72" ht="15.75" customHeight="1" x14ac:dyDescent="0.25">
      <c r="A378" s="13"/>
      <c r="B378" s="13"/>
      <c r="C378" s="13"/>
      <c r="D378" s="13"/>
      <c r="E378" s="232"/>
      <c r="F378" s="276"/>
      <c r="G378" s="276"/>
      <c r="H378" s="276"/>
      <c r="I378" s="276"/>
      <c r="J378" s="276"/>
      <c r="K378" s="276"/>
      <c r="L378" s="276"/>
      <c r="M378" s="276"/>
      <c r="N378" s="276"/>
      <c r="O378" s="276"/>
      <c r="P378" s="276"/>
      <c r="Q378" s="276"/>
      <c r="R378" s="276"/>
      <c r="S378" s="276"/>
      <c r="T378" s="276"/>
      <c r="U378" s="5"/>
      <c r="V378" s="5"/>
      <c r="W378" s="5"/>
      <c r="X378" s="5"/>
      <c r="Y378" s="261"/>
      <c r="Z378" s="271"/>
      <c r="AA378" s="271"/>
      <c r="AB378" s="271"/>
      <c r="AC378" s="271"/>
      <c r="AD378" s="271"/>
      <c r="AE378" s="271"/>
      <c r="AF378" s="271"/>
      <c r="AG378" s="271"/>
      <c r="AH378" s="271"/>
      <c r="AI378" s="271"/>
      <c r="AU378" s="292"/>
      <c r="AV378" s="293"/>
      <c r="AW378" s="293"/>
      <c r="AX378" s="294"/>
      <c r="AY378" s="295"/>
      <c r="AZ378" s="295"/>
      <c r="BA378" s="295"/>
      <c r="BB378" s="297"/>
      <c r="BC378" s="297"/>
      <c r="BD378" s="297"/>
      <c r="BE378" s="297"/>
      <c r="BF378" s="13"/>
      <c r="BG378" s="13"/>
      <c r="BH378" s="13"/>
      <c r="BI378" s="13"/>
      <c r="BJ378" s="13"/>
      <c r="BK378" s="13"/>
      <c r="BL378" s="13"/>
      <c r="BM378" s="13"/>
      <c r="BN378" s="13"/>
      <c r="BO378" s="13"/>
      <c r="BP378" s="13"/>
      <c r="BQ378" s="13"/>
      <c r="BR378" s="12"/>
      <c r="BS378" s="12"/>
      <c r="BT378" s="12"/>
    </row>
    <row r="379" spans="1:72" ht="18" customHeight="1" x14ac:dyDescent="0.2">
      <c r="A379" s="660">
        <v>19</v>
      </c>
      <c r="B379" s="703" t="s">
        <v>557</v>
      </c>
      <c r="C379" s="688"/>
      <c r="D379" s="688"/>
      <c r="E379" s="688"/>
      <c r="F379" s="688"/>
      <c r="G379" s="688"/>
      <c r="H379" s="689"/>
      <c r="I379" s="101"/>
      <c r="J379" s="198"/>
      <c r="K379" s="137"/>
      <c r="L379" s="137"/>
      <c r="M379" s="137"/>
      <c r="N379" s="299"/>
      <c r="O379" s="299"/>
      <c r="P379" s="299"/>
      <c r="Q379" s="5"/>
      <c r="R379" s="5"/>
      <c r="S379" s="5"/>
      <c r="T379" s="13"/>
      <c r="U379" s="38"/>
      <c r="V379" s="38"/>
      <c r="W379" s="38"/>
      <c r="X379" s="13"/>
      <c r="AB379" s="13"/>
      <c r="AC379" s="13"/>
      <c r="AH379" s="13"/>
      <c r="AN379" s="38"/>
      <c r="AO379" s="13"/>
      <c r="AP379" s="13"/>
      <c r="AQ379" s="13"/>
      <c r="AR379" s="13"/>
      <c r="AS379" s="13"/>
      <c r="AT379" s="13"/>
      <c r="AU379" s="13"/>
      <c r="AV379" s="13"/>
      <c r="AW379" s="13"/>
      <c r="AX379" s="13"/>
      <c r="AY379" s="13"/>
      <c r="AZ379" s="13"/>
      <c r="BA379" s="13"/>
      <c r="BB379" s="13"/>
      <c r="BC379" s="13"/>
      <c r="BD379" s="13"/>
      <c r="BE379" s="13"/>
      <c r="BF379" s="13"/>
      <c r="BG379" s="13"/>
      <c r="BH379" s="13"/>
      <c r="BI379" s="13"/>
      <c r="BJ379" s="13"/>
      <c r="BK379" s="13"/>
      <c r="BL379" s="13"/>
      <c r="BM379" s="13"/>
      <c r="BN379" s="13"/>
      <c r="BO379" s="13"/>
      <c r="BP379" s="13"/>
      <c r="BQ379" s="13"/>
    </row>
    <row r="380" spans="1:72" ht="11.25" customHeight="1" x14ac:dyDescent="0.2">
      <c r="A380" s="144"/>
      <c r="B380" s="576"/>
      <c r="C380" s="603"/>
      <c r="D380" s="603"/>
      <c r="H380" s="1725" t="s">
        <v>179</v>
      </c>
      <c r="I380" s="101"/>
      <c r="J380" s="198"/>
      <c r="K380" s="137"/>
      <c r="L380" s="137"/>
      <c r="M380" s="137"/>
      <c r="N380" s="299"/>
      <c r="O380" s="299"/>
      <c r="P380" s="299"/>
      <c r="Q380" s="5"/>
      <c r="R380" s="5"/>
      <c r="S380" s="5"/>
      <c r="T380" s="13"/>
      <c r="U380" s="38"/>
      <c r="V380" s="38"/>
      <c r="W380" s="38"/>
      <c r="X380" s="38"/>
      <c r="AB380" s="13"/>
      <c r="AC380" s="13"/>
      <c r="AH380" s="13"/>
      <c r="AN380" s="38"/>
      <c r="AO380" s="13"/>
      <c r="AP380" s="13"/>
      <c r="AQ380" s="13"/>
      <c r="AR380" s="13"/>
      <c r="AS380" s="13"/>
      <c r="AT380" s="13"/>
      <c r="AU380" s="13"/>
      <c r="AV380" s="13"/>
      <c r="AW380" s="13"/>
      <c r="AX380" s="13"/>
      <c r="AY380" s="13"/>
      <c r="AZ380" s="13"/>
      <c r="BA380" s="13"/>
      <c r="BB380" s="13"/>
      <c r="BC380" s="13"/>
      <c r="BD380" s="13"/>
      <c r="BE380" s="13"/>
      <c r="BF380" s="13"/>
      <c r="BG380" s="13"/>
      <c r="BH380" s="13"/>
      <c r="BI380" s="13"/>
      <c r="BJ380" s="13"/>
      <c r="BK380" s="13"/>
      <c r="BL380" s="13"/>
      <c r="BM380" s="13"/>
      <c r="BN380" s="13"/>
      <c r="BO380" s="13"/>
      <c r="BP380" s="13"/>
      <c r="BQ380" s="13"/>
    </row>
    <row r="381" spans="1:72" ht="15" customHeight="1" x14ac:dyDescent="0.2">
      <c r="A381" s="13"/>
      <c r="B381" s="266"/>
      <c r="C381" s="13"/>
      <c r="D381" s="13"/>
      <c r="G381" s="744" t="s">
        <v>558</v>
      </c>
      <c r="H381" s="1725"/>
      <c r="I381" s="101"/>
      <c r="J381" s="198"/>
      <c r="K381" s="137"/>
      <c r="L381" s="137"/>
      <c r="M381" s="137"/>
      <c r="N381" s="299"/>
      <c r="O381" s="299"/>
      <c r="P381" s="299"/>
      <c r="Q381" s="5"/>
      <c r="R381" s="5"/>
      <c r="S381" s="5"/>
      <c r="T381" s="13"/>
      <c r="U381" s="38"/>
      <c r="V381" s="38"/>
      <c r="W381" s="38"/>
      <c r="X381" s="13"/>
      <c r="AB381" s="13"/>
      <c r="AC381" s="13"/>
      <c r="AH381" s="13"/>
      <c r="AN381" s="38"/>
      <c r="AO381" s="13"/>
      <c r="AP381" s="13"/>
      <c r="AQ381" s="13"/>
      <c r="AR381" s="13"/>
      <c r="AS381" s="13"/>
      <c r="AT381" s="13"/>
      <c r="AU381" s="13"/>
      <c r="AV381" s="13"/>
      <c r="AW381" s="13"/>
      <c r="AX381" s="13"/>
      <c r="AY381" s="13"/>
      <c r="AZ381" s="13"/>
      <c r="BA381" s="13"/>
      <c r="BB381" s="13"/>
      <c r="BC381" s="13"/>
      <c r="BD381" s="13"/>
      <c r="BE381" s="13"/>
      <c r="BF381" s="13"/>
      <c r="BG381" s="13"/>
      <c r="BH381" s="13"/>
      <c r="BI381" s="13"/>
      <c r="BJ381" s="13"/>
      <c r="BK381" s="13"/>
      <c r="BL381" s="13"/>
      <c r="BM381" s="13"/>
      <c r="BN381" s="13"/>
      <c r="BO381" s="13"/>
      <c r="BP381" s="13"/>
      <c r="BQ381" s="13"/>
    </row>
    <row r="382" spans="1:72" ht="15" customHeight="1" x14ac:dyDescent="0.2">
      <c r="A382" s="13"/>
      <c r="B382" s="1731" t="s">
        <v>559</v>
      </c>
      <c r="C382" s="1724" t="s">
        <v>77</v>
      </c>
      <c r="D382" s="1724"/>
      <c r="E382" s="1724"/>
      <c r="F382" s="1724"/>
      <c r="G382" s="1435">
        <f>+'2 GEOPROCESSAMENTO'!D54</f>
        <v>0</v>
      </c>
      <c r="H382" s="392">
        <v>1</v>
      </c>
      <c r="I382" s="101"/>
      <c r="J382" s="198"/>
      <c r="K382" s="137"/>
      <c r="L382" s="137"/>
      <c r="M382" s="137"/>
      <c r="N382" s="299"/>
      <c r="O382" s="299"/>
      <c r="P382" s="299"/>
      <c r="Q382" s="5"/>
      <c r="R382" s="5"/>
      <c r="S382" s="5"/>
      <c r="T382" s="13"/>
      <c r="U382" s="38"/>
      <c r="V382" s="38"/>
      <c r="W382" s="38"/>
      <c r="X382" s="13"/>
      <c r="Y382" s="13"/>
      <c r="Z382" s="13"/>
      <c r="AA382" s="13"/>
      <c r="AB382" s="13"/>
      <c r="AC382" s="13"/>
      <c r="AH382" s="13"/>
      <c r="AN382" s="38"/>
      <c r="AO382" s="13"/>
      <c r="AP382" s="13"/>
      <c r="AQ382" s="13"/>
      <c r="AR382" s="13"/>
      <c r="AS382" s="13"/>
      <c r="AT382" s="13"/>
      <c r="AU382" s="13"/>
      <c r="AV382" s="13"/>
      <c r="AW382" s="13"/>
      <c r="AX382" s="13"/>
      <c r="AY382" s="13"/>
      <c r="AZ382" s="13"/>
      <c r="BA382" s="13"/>
      <c r="BB382" s="13"/>
      <c r="BC382" s="13"/>
      <c r="BD382" s="13"/>
      <c r="BE382" s="13"/>
      <c r="BF382" s="13"/>
      <c r="BG382" s="13"/>
      <c r="BH382" s="13"/>
      <c r="BI382" s="13"/>
      <c r="BJ382" s="13"/>
      <c r="BK382" s="13"/>
      <c r="BL382" s="13"/>
      <c r="BM382" s="13"/>
      <c r="BN382" s="13"/>
      <c r="BO382" s="13"/>
      <c r="BP382" s="13"/>
      <c r="BQ382" s="13"/>
    </row>
    <row r="383" spans="1:72" ht="15" customHeight="1" x14ac:dyDescent="0.2">
      <c r="A383" s="13"/>
      <c r="B383" s="1731"/>
      <c r="C383" s="1749" t="s">
        <v>560</v>
      </c>
      <c r="D383" s="1749"/>
      <c r="E383" s="1749"/>
      <c r="F383" s="1749"/>
      <c r="G383" s="1435">
        <f>+'2 GEOPROCESSAMENTO'!D56</f>
        <v>0</v>
      </c>
      <c r="H383" s="392">
        <v>0.7</v>
      </c>
      <c r="I383" s="101"/>
      <c r="J383" s="198"/>
      <c r="K383" s="137"/>
      <c r="L383" s="137"/>
      <c r="M383" s="137"/>
      <c r="N383" s="299"/>
      <c r="O383" s="299"/>
      <c r="P383" s="299"/>
      <c r="Q383" s="5"/>
      <c r="R383" s="5"/>
      <c r="S383" s="5"/>
      <c r="T383" s="13"/>
      <c r="U383" s="38"/>
      <c r="V383" s="38"/>
      <c r="W383" s="38"/>
      <c r="X383" s="13"/>
      <c r="Y383" s="13"/>
      <c r="Z383" s="13"/>
      <c r="AA383" s="13"/>
      <c r="AB383" s="13"/>
      <c r="AC383" s="13"/>
      <c r="AH383" s="13"/>
      <c r="AN383" s="38"/>
      <c r="AO383" s="13"/>
      <c r="AP383" s="13"/>
      <c r="AQ383" s="13"/>
      <c r="AR383" s="13"/>
      <c r="AS383" s="13"/>
      <c r="AT383" s="13"/>
      <c r="AU383" s="13"/>
      <c r="AV383" s="13"/>
      <c r="AW383" s="13"/>
      <c r="AX383" s="13"/>
      <c r="AY383" s="13"/>
      <c r="AZ383" s="13"/>
      <c r="BA383" s="13"/>
      <c r="BB383" s="13"/>
      <c r="BC383" s="13"/>
      <c r="BD383" s="13"/>
      <c r="BE383" s="13"/>
      <c r="BF383" s="13"/>
      <c r="BG383" s="13"/>
      <c r="BH383" s="13"/>
      <c r="BI383" s="13"/>
      <c r="BJ383" s="13"/>
      <c r="BK383" s="13"/>
      <c r="BL383" s="13"/>
      <c r="BM383" s="13"/>
      <c r="BN383" s="13"/>
      <c r="BO383" s="13"/>
      <c r="BP383" s="13"/>
      <c r="BQ383" s="13"/>
    </row>
    <row r="384" spans="1:72" ht="15" customHeight="1" x14ac:dyDescent="0.2">
      <c r="A384" s="13"/>
      <c r="B384" s="1731"/>
      <c r="C384" s="1749" t="s">
        <v>561</v>
      </c>
      <c r="D384" s="1749"/>
      <c r="E384" s="1749"/>
      <c r="F384" s="1749"/>
      <c r="G384" s="1487"/>
      <c r="H384" s="392">
        <v>0.1</v>
      </c>
      <c r="I384" s="101"/>
      <c r="J384" s="198"/>
      <c r="K384" s="137"/>
      <c r="L384" s="137"/>
      <c r="M384" s="137"/>
      <c r="N384" s="299"/>
      <c r="O384" s="299"/>
      <c r="P384" s="299"/>
      <c r="Q384" s="5"/>
      <c r="R384" s="5"/>
      <c r="S384" s="5"/>
      <c r="T384" s="13"/>
      <c r="U384" s="38"/>
      <c r="V384" s="38"/>
      <c r="W384" s="38"/>
      <c r="X384" s="13"/>
      <c r="Y384" s="38"/>
      <c r="Z384" s="38"/>
      <c r="AA384" s="38"/>
      <c r="AB384" s="13"/>
      <c r="AC384" s="13"/>
      <c r="AH384" s="13"/>
      <c r="AN384" s="13"/>
      <c r="AO384" s="13"/>
      <c r="AP384" s="13"/>
      <c r="AQ384" s="13"/>
      <c r="AR384" s="13"/>
      <c r="AS384" s="13"/>
      <c r="AT384" s="13"/>
      <c r="AU384" s="13"/>
      <c r="AV384" s="13"/>
      <c r="AW384" s="13"/>
      <c r="AX384" s="13"/>
      <c r="AY384" s="13"/>
      <c r="AZ384" s="13"/>
      <c r="BA384" s="13"/>
      <c r="BB384" s="13"/>
      <c r="BC384" s="13"/>
      <c r="BD384" s="13"/>
      <c r="BE384" s="13"/>
      <c r="BF384" s="13"/>
      <c r="BG384" s="13"/>
      <c r="BH384" s="13"/>
      <c r="BI384" s="13"/>
      <c r="BJ384" s="13"/>
      <c r="BK384" s="13"/>
      <c r="BL384" s="13"/>
      <c r="BM384" s="13"/>
      <c r="BN384" s="13"/>
      <c r="BO384" s="13"/>
      <c r="BP384" s="13"/>
      <c r="BQ384" s="13"/>
    </row>
    <row r="385" spans="1:69" ht="12.75" customHeight="1" x14ac:dyDescent="0.2">
      <c r="A385" s="13"/>
      <c r="B385" s="102"/>
      <c r="C385" s="38"/>
      <c r="E385" s="400" t="s">
        <v>562</v>
      </c>
      <c r="G385" s="401">
        <f>+G382+G383+G384</f>
        <v>0</v>
      </c>
      <c r="H385" s="198"/>
      <c r="I385" s="101"/>
      <c r="J385" s="198"/>
      <c r="K385" s="137"/>
      <c r="L385" s="137"/>
      <c r="M385" s="137"/>
      <c r="N385" s="299"/>
      <c r="O385" s="299"/>
      <c r="P385" s="299"/>
      <c r="Q385" s="5"/>
      <c r="R385" s="5"/>
      <c r="S385" s="5"/>
      <c r="T385" s="13"/>
      <c r="U385" s="38"/>
      <c r="V385" s="38"/>
      <c r="W385" s="38"/>
      <c r="X385" s="13"/>
      <c r="Y385" s="38"/>
      <c r="Z385" s="137"/>
      <c r="AA385" s="5"/>
      <c r="AB385" s="13"/>
      <c r="AC385" s="13"/>
      <c r="AH385" s="13"/>
      <c r="AI385" s="300"/>
      <c r="AJ385" s="121"/>
      <c r="AK385" s="121"/>
      <c r="AL385" s="121"/>
      <c r="AM385" s="118"/>
      <c r="AN385" s="13"/>
      <c r="AO385" s="13"/>
      <c r="AP385" s="13"/>
      <c r="AQ385" s="13"/>
      <c r="AR385" s="13"/>
      <c r="AS385" s="13"/>
      <c r="AT385" s="13"/>
      <c r="AU385" s="13"/>
      <c r="AV385" s="13"/>
      <c r="AW385" s="13"/>
      <c r="AX385" s="13"/>
      <c r="AY385" s="13"/>
      <c r="AZ385" s="13"/>
      <c r="BA385" s="13"/>
      <c r="BB385" s="13"/>
      <c r="BC385" s="13"/>
      <c r="BD385" s="13"/>
      <c r="BE385" s="13"/>
      <c r="BF385" s="13"/>
      <c r="BG385" s="13"/>
      <c r="BH385" s="13"/>
      <c r="BI385" s="13"/>
      <c r="BJ385" s="13"/>
      <c r="BK385" s="13"/>
      <c r="BL385" s="13"/>
      <c r="BM385" s="13"/>
      <c r="BN385" s="13"/>
      <c r="BO385" s="13"/>
      <c r="BP385" s="13"/>
      <c r="BQ385" s="13"/>
    </row>
    <row r="386" spans="1:69" ht="11.25" customHeight="1" x14ac:dyDescent="0.2">
      <c r="A386" s="13"/>
      <c r="B386" s="301"/>
      <c r="C386" s="198"/>
      <c r="D386" s="198"/>
      <c r="E386" s="181"/>
      <c r="F386" s="198"/>
      <c r="G386" s="744" t="s">
        <v>456</v>
      </c>
      <c r="H386" s="198"/>
      <c r="I386" s="101"/>
      <c r="J386" s="198"/>
      <c r="K386" s="137"/>
      <c r="L386" s="137"/>
      <c r="M386" s="137"/>
      <c r="N386" s="299"/>
      <c r="O386" s="299"/>
      <c r="P386" s="13"/>
      <c r="Q386" s="13"/>
      <c r="R386" s="13"/>
      <c r="S386" s="13"/>
      <c r="T386" s="13"/>
      <c r="U386" s="13"/>
      <c r="V386" s="13"/>
      <c r="W386" s="13"/>
      <c r="X386" s="13"/>
      <c r="Y386" s="13"/>
      <c r="Z386" s="13"/>
      <c r="AA386" s="13"/>
      <c r="AB386" s="13"/>
      <c r="AC386" s="13"/>
      <c r="AH386" s="13"/>
      <c r="AI386" s="13"/>
      <c r="AJ386" s="13"/>
      <c r="AK386" s="13"/>
      <c r="AL386" s="13"/>
      <c r="AM386" s="13"/>
      <c r="AN386" s="13"/>
      <c r="AO386" s="13"/>
      <c r="AP386" s="13"/>
      <c r="AQ386" s="13"/>
      <c r="AR386" s="13"/>
      <c r="AS386" s="13"/>
      <c r="AT386" s="13"/>
      <c r="AU386" s="13"/>
      <c r="AV386" s="13"/>
      <c r="AW386" s="13"/>
      <c r="AX386" s="13"/>
      <c r="AY386" s="13"/>
      <c r="AZ386" s="13"/>
      <c r="BA386" s="13"/>
      <c r="BB386" s="13"/>
      <c r="BC386" s="13"/>
      <c r="BD386" s="13"/>
      <c r="BE386" s="13"/>
      <c r="BF386" s="13"/>
      <c r="BG386" s="13"/>
      <c r="BH386" s="13"/>
      <c r="BI386" s="13"/>
      <c r="BJ386" s="13"/>
      <c r="BK386" s="13"/>
      <c r="BL386" s="13"/>
      <c r="BM386" s="13"/>
      <c r="BN386" s="13"/>
      <c r="BO386" s="13"/>
      <c r="BP386" s="13"/>
      <c r="BQ386" s="13"/>
    </row>
    <row r="387" spans="1:69" ht="16.5" customHeight="1" x14ac:dyDescent="0.2">
      <c r="A387" s="13"/>
      <c r="B387" s="1721" t="s">
        <v>563</v>
      </c>
      <c r="C387" s="1722"/>
      <c r="D387" s="1722"/>
      <c r="E387" s="1722"/>
      <c r="F387" s="1723"/>
      <c r="G387" s="1386"/>
      <c r="H387" s="198"/>
      <c r="I387" s="101"/>
      <c r="J387" s="198"/>
      <c r="K387" s="137"/>
      <c r="L387" s="137"/>
      <c r="M387" s="137"/>
      <c r="N387" s="299"/>
      <c r="O387" s="299"/>
      <c r="P387" s="13"/>
      <c r="Q387" s="13"/>
      <c r="R387" s="13"/>
      <c r="S387" s="13"/>
      <c r="T387" s="13"/>
      <c r="U387" s="13"/>
      <c r="V387" s="13"/>
      <c r="W387" s="13"/>
      <c r="X387" s="13"/>
      <c r="Y387" s="13"/>
      <c r="Z387" s="13"/>
      <c r="AA387" s="13"/>
      <c r="AB387" s="13"/>
      <c r="AC387" s="13"/>
      <c r="AH387" s="13"/>
      <c r="AI387" s="13"/>
      <c r="AJ387" s="13"/>
      <c r="AK387" s="13"/>
      <c r="AL387" s="13"/>
      <c r="AM387" s="13"/>
      <c r="AN387" s="13"/>
      <c r="AO387" s="13"/>
      <c r="AP387" s="13"/>
      <c r="AQ387" s="13"/>
      <c r="AR387" s="13"/>
      <c r="AS387" s="13"/>
      <c r="AT387" s="13"/>
      <c r="AU387" s="13"/>
      <c r="AV387" s="13"/>
      <c r="AW387" s="13"/>
      <c r="AX387" s="13"/>
      <c r="AY387" s="13"/>
      <c r="AZ387" s="13"/>
      <c r="BA387" s="13"/>
      <c r="BB387" s="13"/>
      <c r="BC387" s="13"/>
      <c r="BD387" s="13"/>
      <c r="BE387" s="13"/>
      <c r="BF387" s="13"/>
      <c r="BG387" s="13"/>
      <c r="BH387" s="13"/>
      <c r="BI387" s="13"/>
      <c r="BJ387" s="13"/>
      <c r="BK387" s="13"/>
      <c r="BL387" s="13"/>
      <c r="BM387" s="13"/>
      <c r="BN387" s="13"/>
      <c r="BO387" s="13"/>
      <c r="BP387" s="13"/>
      <c r="BQ387" s="13"/>
    </row>
    <row r="388" spans="1:69" ht="12" customHeight="1" x14ac:dyDescent="0.2">
      <c r="A388" s="13"/>
      <c r="B388" s="102"/>
      <c r="C388" s="272"/>
      <c r="D388" s="198"/>
      <c r="E388" s="198"/>
      <c r="F388" s="198"/>
      <c r="G388" s="137"/>
      <c r="H388" s="137"/>
      <c r="I388" s="101"/>
      <c r="J388" s="137"/>
      <c r="K388" s="137"/>
      <c r="L388" s="137"/>
      <c r="M388" s="137"/>
      <c r="N388" s="299"/>
      <c r="O388" s="299"/>
      <c r="P388" s="299"/>
      <c r="Q388" s="5"/>
      <c r="R388" s="5"/>
      <c r="S388" s="5"/>
      <c r="T388" s="5"/>
      <c r="U388" s="5"/>
      <c r="V388" s="5"/>
      <c r="W388" s="13"/>
      <c r="X388" s="13"/>
      <c r="Y388" s="13"/>
      <c r="Z388" s="13"/>
      <c r="AA388" s="13"/>
      <c r="AB388" s="13"/>
      <c r="AC388" s="13"/>
      <c r="AD388" s="13"/>
      <c r="AE388" s="13"/>
      <c r="AF388" s="13"/>
      <c r="AG388" s="13"/>
      <c r="AH388" s="13"/>
      <c r="AI388" s="13"/>
      <c r="AJ388" s="13"/>
      <c r="AK388" s="13"/>
      <c r="AL388" s="13"/>
      <c r="AM388" s="13"/>
      <c r="AN388" s="13"/>
      <c r="AO388" s="13"/>
      <c r="AP388" s="13"/>
      <c r="AQ388" s="13"/>
      <c r="AR388" s="13"/>
      <c r="AS388" s="13"/>
      <c r="AT388" s="13"/>
      <c r="AU388" s="13"/>
      <c r="AV388" s="13"/>
      <c r="AW388" s="13"/>
      <c r="AX388" s="13"/>
      <c r="AY388" s="13"/>
      <c r="AZ388" s="13"/>
      <c r="BA388" s="13"/>
      <c r="BB388" s="13"/>
      <c r="BC388" s="13"/>
      <c r="BD388" s="13"/>
      <c r="BE388" s="13"/>
      <c r="BF388" s="13"/>
      <c r="BG388" s="13"/>
      <c r="BH388" s="13"/>
      <c r="BI388" s="13"/>
      <c r="BJ388" s="13"/>
      <c r="BK388" s="13"/>
      <c r="BL388" s="13"/>
      <c r="BM388" s="13"/>
      <c r="BN388" s="13"/>
      <c r="BO388" s="13"/>
      <c r="BP388" s="13"/>
      <c r="BQ388" s="13"/>
    </row>
    <row r="389" spans="1:69" ht="14.25" customHeight="1" x14ac:dyDescent="0.2">
      <c r="A389" s="13"/>
      <c r="B389" s="290" t="s">
        <v>274</v>
      </c>
      <c r="C389" s="683" t="str">
        <f>IF(G387="","",'GUIA DE APLICAÇÃO'!F1188)</f>
        <v/>
      </c>
      <c r="D389" s="385" t="s">
        <v>329</v>
      </c>
      <c r="E389" s="302"/>
      <c r="F389" s="303"/>
      <c r="G389" s="303"/>
      <c r="H389" s="303"/>
      <c r="I389" s="101"/>
      <c r="J389" s="137"/>
      <c r="K389" s="137"/>
      <c r="L389" s="137"/>
      <c r="M389" s="137"/>
      <c r="N389" s="299"/>
      <c r="O389" s="299"/>
      <c r="P389" s="299"/>
      <c r="Q389" s="5"/>
      <c r="R389" s="5"/>
      <c r="S389" s="5"/>
      <c r="T389" s="5"/>
      <c r="U389" s="5"/>
      <c r="V389" s="5"/>
      <c r="W389" s="13"/>
      <c r="X389" s="13"/>
      <c r="Y389" s="13"/>
      <c r="Z389" s="13"/>
      <c r="AA389" s="13"/>
      <c r="AB389" s="13"/>
      <c r="AC389" s="13"/>
      <c r="AD389" s="13"/>
      <c r="AE389" s="13"/>
      <c r="AF389" s="13"/>
      <c r="AG389" s="13"/>
      <c r="AH389" s="13"/>
      <c r="AI389" s="13"/>
      <c r="AJ389" s="13"/>
      <c r="AK389" s="13"/>
      <c r="AL389" s="13"/>
      <c r="AM389" s="13"/>
      <c r="AN389" s="13"/>
      <c r="AO389" s="13"/>
      <c r="AP389" s="13"/>
      <c r="AQ389" s="13"/>
      <c r="AR389" s="13"/>
      <c r="AS389" s="13"/>
      <c r="AT389" s="13"/>
      <c r="AU389" s="13"/>
      <c r="AV389" s="13"/>
      <c r="AW389" s="13"/>
      <c r="AX389" s="13"/>
      <c r="AY389" s="13"/>
      <c r="AZ389" s="13"/>
      <c r="BA389" s="13"/>
      <c r="BB389" s="13"/>
      <c r="BC389" s="13"/>
      <c r="BD389" s="13"/>
      <c r="BE389" s="13"/>
      <c r="BF389" s="13"/>
      <c r="BG389" s="13"/>
      <c r="BH389" s="13"/>
      <c r="BI389" s="13"/>
      <c r="BJ389" s="13"/>
      <c r="BK389" s="13"/>
      <c r="BL389" s="13"/>
      <c r="BM389" s="13"/>
      <c r="BN389" s="13"/>
      <c r="BO389" s="13"/>
      <c r="BP389" s="13"/>
      <c r="BQ389" s="13"/>
    </row>
    <row r="390" spans="1:69" x14ac:dyDescent="0.2">
      <c r="A390" s="13"/>
      <c r="B390" s="275"/>
      <c r="C390" s="275"/>
      <c r="D390" s="232"/>
      <c r="E390" s="232"/>
      <c r="F390" s="232"/>
      <c r="G390" s="298"/>
      <c r="H390" s="298"/>
      <c r="I390" s="299"/>
      <c r="J390" s="137"/>
      <c r="K390" s="137"/>
      <c r="L390" s="13"/>
      <c r="M390" s="13"/>
      <c r="N390" s="13"/>
      <c r="O390" s="13"/>
      <c r="P390" s="13"/>
      <c r="Q390" s="13"/>
      <c r="R390" s="13"/>
      <c r="S390" s="13"/>
      <c r="T390" s="13"/>
      <c r="U390" s="13"/>
      <c r="V390" s="13"/>
      <c r="W390" s="13"/>
      <c r="X390" s="13"/>
      <c r="Y390" s="13"/>
      <c r="Z390" s="13"/>
      <c r="AA390" s="13"/>
      <c r="AB390" s="13"/>
      <c r="AC390" s="13"/>
      <c r="AD390" s="13"/>
      <c r="AE390" s="13"/>
      <c r="AF390" s="13"/>
      <c r="AG390" s="13"/>
      <c r="AH390" s="13"/>
      <c r="AI390" s="13"/>
      <c r="AJ390" s="13"/>
      <c r="AK390" s="13"/>
      <c r="AL390" s="13"/>
      <c r="AM390" s="13"/>
      <c r="AN390" s="13"/>
      <c r="AO390" s="13"/>
      <c r="AP390" s="13"/>
      <c r="AQ390" s="13"/>
      <c r="AR390" s="13"/>
      <c r="AS390" s="13"/>
      <c r="AT390" s="13"/>
      <c r="AU390" s="13"/>
      <c r="AV390" s="13"/>
      <c r="AW390" s="13"/>
      <c r="AX390" s="13"/>
      <c r="AY390" s="13"/>
      <c r="AZ390" s="13"/>
      <c r="BA390" s="13"/>
      <c r="BB390" s="13"/>
      <c r="BC390" s="13"/>
      <c r="BD390" s="13"/>
      <c r="BE390" s="13"/>
      <c r="BF390" s="13"/>
      <c r="BG390" s="13"/>
      <c r="BH390" s="13"/>
      <c r="BI390" s="13"/>
      <c r="BJ390" s="13"/>
      <c r="BK390" s="13"/>
      <c r="BL390" s="13"/>
      <c r="BM390" s="13"/>
      <c r="BN390" s="13"/>
      <c r="BO390" s="13"/>
      <c r="BP390" s="13"/>
      <c r="BQ390" s="13"/>
    </row>
    <row r="391" spans="1:69" ht="20.25" customHeight="1" x14ac:dyDescent="0.2">
      <c r="A391" s="660">
        <v>20</v>
      </c>
      <c r="B391" s="703" t="s">
        <v>564</v>
      </c>
      <c r="C391" s="688"/>
      <c r="D391" s="688"/>
      <c r="E391" s="688"/>
      <c r="F391" s="688"/>
      <c r="G391" s="688"/>
      <c r="H391" s="689"/>
      <c r="I391" s="101"/>
      <c r="J391" s="137"/>
      <c r="K391" s="137"/>
      <c r="L391" s="13"/>
      <c r="M391" s="13"/>
      <c r="N391" s="13"/>
      <c r="O391" s="261"/>
      <c r="P391" s="261"/>
      <c r="Q391" s="137"/>
      <c r="R391" s="137"/>
      <c r="S391" s="137"/>
      <c r="T391" s="137"/>
      <c r="U391" s="137"/>
      <c r="V391" s="137"/>
      <c r="W391" s="38"/>
      <c r="X391" s="13"/>
      <c r="AB391" s="13"/>
      <c r="AC391" s="13"/>
      <c r="AH391" s="13"/>
      <c r="AM391" s="13"/>
      <c r="AN391" s="13"/>
      <c r="AO391" s="13"/>
      <c r="AP391" s="13"/>
      <c r="AQ391" s="13"/>
      <c r="AR391" s="13"/>
      <c r="AS391" s="13"/>
      <c r="AT391" s="13"/>
      <c r="AU391" s="13"/>
      <c r="AV391" s="13"/>
      <c r="AW391" s="13"/>
      <c r="AX391" s="13"/>
      <c r="AY391" s="13"/>
      <c r="AZ391" s="13"/>
      <c r="BA391" s="13"/>
      <c r="BB391" s="13"/>
      <c r="BC391" s="13"/>
      <c r="BD391" s="13"/>
      <c r="BE391" s="13"/>
      <c r="BF391" s="13"/>
      <c r="BG391" s="13"/>
      <c r="BH391" s="13"/>
      <c r="BI391" s="13"/>
      <c r="BJ391" s="13"/>
      <c r="BK391" s="13"/>
      <c r="BL391" s="13"/>
      <c r="BM391" s="13"/>
      <c r="BN391" s="13"/>
      <c r="BO391" s="13"/>
      <c r="BP391" s="13"/>
      <c r="BQ391" s="13"/>
    </row>
    <row r="392" spans="1:69" ht="15" customHeight="1" x14ac:dyDescent="0.2">
      <c r="A392" s="144"/>
      <c r="B392" s="1775" t="s">
        <v>565</v>
      </c>
      <c r="C392" s="1775"/>
      <c r="D392" s="1389">
        <f>('2 GEOPROCESSAMENTO'!E39-'2 GEOPROCESSAMENTO'!E42)*0.2</f>
        <v>0</v>
      </c>
      <c r="E392" s="603"/>
      <c r="F392" s="603"/>
      <c r="G392" s="603"/>
      <c r="H392" s="603"/>
      <c r="I392" s="101"/>
      <c r="J392" s="13"/>
      <c r="K392" s="137"/>
      <c r="L392" s="13"/>
      <c r="M392" s="13"/>
      <c r="N392" s="13"/>
      <c r="O392" s="137"/>
      <c r="P392" s="137"/>
      <c r="Q392" s="137"/>
      <c r="R392" s="137"/>
      <c r="S392" s="137"/>
      <c r="T392" s="137"/>
      <c r="U392" s="137"/>
      <c r="V392" s="137"/>
      <c r="W392" s="38"/>
      <c r="X392" s="38"/>
      <c r="AB392" s="13"/>
      <c r="AC392" s="13"/>
      <c r="AH392" s="13"/>
      <c r="AM392" s="304"/>
      <c r="AN392" s="304"/>
      <c r="AO392" s="13"/>
      <c r="AP392" s="13"/>
      <c r="AQ392" s="13"/>
      <c r="AR392" s="13"/>
      <c r="AS392" s="13"/>
      <c r="AT392" s="13"/>
      <c r="AU392" s="13"/>
      <c r="AV392" s="13"/>
      <c r="AW392" s="13"/>
      <c r="AX392" s="13"/>
      <c r="AY392" s="13"/>
      <c r="AZ392" s="13"/>
      <c r="BA392" s="13"/>
      <c r="BB392" s="13"/>
      <c r="BC392" s="13"/>
      <c r="BD392" s="13"/>
      <c r="BE392" s="13"/>
      <c r="BF392" s="13"/>
      <c r="BG392" s="13"/>
      <c r="BH392" s="13"/>
      <c r="BI392" s="13"/>
      <c r="BJ392" s="13"/>
      <c r="BK392" s="13"/>
      <c r="BL392" s="13"/>
      <c r="BM392" s="13"/>
      <c r="BN392" s="13"/>
      <c r="BO392" s="13"/>
      <c r="BP392" s="13"/>
      <c r="BQ392" s="13"/>
    </row>
    <row r="393" spans="1:69" ht="15" customHeight="1" x14ac:dyDescent="0.2">
      <c r="A393" s="144"/>
      <c r="B393" s="1775" t="s">
        <v>566</v>
      </c>
      <c r="C393" s="1775"/>
      <c r="D393" s="1389" t="e">
        <f>+'GUIA DE APLICAÇÃO'!L573</f>
        <v>#DIV/0!</v>
      </c>
      <c r="E393" s="603"/>
      <c r="F393" s="603"/>
      <c r="G393" s="1725" t="s">
        <v>179</v>
      </c>
      <c r="H393" s="603"/>
      <c r="I393" s="101"/>
      <c r="J393" s="13"/>
      <c r="K393" s="137"/>
      <c r="L393" s="13"/>
      <c r="M393" s="13"/>
      <c r="N393" s="13"/>
      <c r="O393" s="137"/>
      <c r="P393" s="137"/>
      <c r="Q393" s="137"/>
      <c r="R393" s="137"/>
      <c r="S393" s="137"/>
      <c r="T393" s="137"/>
      <c r="U393" s="137"/>
      <c r="V393" s="137"/>
      <c r="W393" s="38"/>
      <c r="X393" s="38"/>
      <c r="AB393" s="13"/>
      <c r="AC393" s="13"/>
      <c r="AH393" s="13"/>
      <c r="AM393" s="304"/>
      <c r="AN393" s="304"/>
      <c r="AO393" s="13"/>
      <c r="AP393" s="13"/>
      <c r="AQ393" s="13"/>
      <c r="AR393" s="13"/>
      <c r="AS393" s="13"/>
      <c r="AT393" s="13"/>
      <c r="AU393" s="13"/>
      <c r="AV393" s="13"/>
      <c r="AW393" s="13"/>
      <c r="AX393" s="13"/>
      <c r="AY393" s="13"/>
      <c r="AZ393" s="13"/>
      <c r="BA393" s="13"/>
      <c r="BB393" s="13"/>
      <c r="BC393" s="13"/>
      <c r="BD393" s="13"/>
      <c r="BE393" s="13"/>
      <c r="BF393" s="13"/>
      <c r="BG393" s="13"/>
      <c r="BH393" s="13"/>
      <c r="BI393" s="13"/>
      <c r="BJ393" s="13"/>
      <c r="BK393" s="13"/>
      <c r="BL393" s="13"/>
      <c r="BM393" s="13"/>
      <c r="BN393" s="13"/>
      <c r="BO393" s="13"/>
      <c r="BP393" s="13"/>
      <c r="BQ393" s="13"/>
    </row>
    <row r="394" spans="1:69" ht="14.25" customHeight="1" x14ac:dyDescent="0.2">
      <c r="A394" s="144"/>
      <c r="B394" s="1775" t="s">
        <v>567</v>
      </c>
      <c r="C394" s="1775"/>
      <c r="D394" s="1389">
        <f>'2 GEOPROCESSAMENTO'!D63</f>
        <v>0.2</v>
      </c>
      <c r="G394" s="1726"/>
      <c r="H394" s="603"/>
      <c r="I394" s="101"/>
      <c r="J394" s="13"/>
      <c r="K394" s="137"/>
      <c r="L394" s="13"/>
      <c r="M394" s="13"/>
      <c r="N394" s="13"/>
      <c r="O394" s="137"/>
      <c r="P394" s="137"/>
      <c r="Q394" s="137"/>
      <c r="R394" s="137"/>
      <c r="S394" s="137"/>
      <c r="T394" s="137"/>
      <c r="U394" s="137"/>
      <c r="V394" s="137"/>
      <c r="W394" s="38"/>
      <c r="X394" s="38"/>
      <c r="AB394" s="13"/>
      <c r="AC394" s="13"/>
      <c r="AH394" s="13"/>
      <c r="AM394" s="304"/>
      <c r="AN394" s="304"/>
      <c r="AO394" s="13"/>
      <c r="AP394" s="13"/>
      <c r="AQ394" s="13"/>
      <c r="AR394" s="13"/>
      <c r="AS394" s="13"/>
      <c r="AT394" s="13"/>
      <c r="AU394" s="13"/>
      <c r="AV394" s="13"/>
      <c r="AW394" s="13"/>
      <c r="AX394" s="13"/>
      <c r="AY394" s="13"/>
      <c r="AZ394" s="13"/>
      <c r="BA394" s="13"/>
      <c r="BB394" s="13"/>
      <c r="BC394" s="13"/>
      <c r="BD394" s="13"/>
      <c r="BE394" s="13"/>
      <c r="BF394" s="13"/>
      <c r="BG394" s="13"/>
      <c r="BH394" s="13"/>
      <c r="BI394" s="13"/>
      <c r="BJ394" s="13"/>
      <c r="BK394" s="13"/>
      <c r="BL394" s="13"/>
      <c r="BM394" s="13"/>
      <c r="BN394" s="13"/>
      <c r="BO394" s="13"/>
      <c r="BP394" s="13"/>
      <c r="BQ394" s="13"/>
    </row>
    <row r="395" spans="1:69" ht="16.5" customHeight="1" x14ac:dyDescent="0.2">
      <c r="A395" s="13"/>
      <c r="B395" s="1752" t="s">
        <v>568</v>
      </c>
      <c r="C395" s="1749" t="s">
        <v>569</v>
      </c>
      <c r="D395" s="1749"/>
      <c r="E395" s="1749"/>
      <c r="F395" s="1434">
        <f>+'2 GEOPROCESSAMENTO'!D63</f>
        <v>0.2</v>
      </c>
      <c r="G395" s="392">
        <v>1</v>
      </c>
      <c r="H395" s="305"/>
      <c r="I395" s="101"/>
      <c r="J395" s="13"/>
      <c r="K395" s="137"/>
      <c r="L395" s="13"/>
      <c r="M395" s="13"/>
      <c r="N395" s="13"/>
      <c r="O395" s="137"/>
      <c r="P395" s="5"/>
      <c r="Q395" s="137"/>
      <c r="R395" s="137"/>
      <c r="S395" s="137"/>
      <c r="T395" s="13"/>
      <c r="U395" s="38"/>
      <c r="V395" s="38"/>
      <c r="W395" s="38"/>
      <c r="X395" s="13"/>
      <c r="AB395" s="13"/>
      <c r="AC395" s="13"/>
      <c r="AH395" s="13"/>
      <c r="AM395" s="304"/>
      <c r="AN395" s="304"/>
      <c r="AO395" s="13"/>
      <c r="AP395" s="13"/>
      <c r="AQ395" s="13"/>
      <c r="AR395" s="13"/>
      <c r="AS395" s="13"/>
      <c r="AT395" s="13"/>
      <c r="AU395" s="13"/>
      <c r="AV395" s="13"/>
      <c r="AW395" s="13"/>
      <c r="AX395" s="13"/>
      <c r="AY395" s="13"/>
      <c r="AZ395" s="13"/>
      <c r="BA395" s="13"/>
      <c r="BB395" s="13"/>
      <c r="BC395" s="13"/>
      <c r="BD395" s="13"/>
      <c r="BE395" s="13"/>
      <c r="BF395" s="13"/>
      <c r="BG395" s="13"/>
      <c r="BH395" s="13"/>
      <c r="BI395" s="13"/>
      <c r="BJ395" s="13"/>
      <c r="BK395" s="13"/>
      <c r="BL395" s="13"/>
      <c r="BM395" s="13"/>
      <c r="BN395" s="13"/>
      <c r="BO395" s="13"/>
      <c r="BP395" s="13"/>
      <c r="BQ395" s="13"/>
    </row>
    <row r="396" spans="1:69" ht="14.25" customHeight="1" x14ac:dyDescent="0.2">
      <c r="A396" s="13"/>
      <c r="B396" s="1753"/>
      <c r="C396" s="1749" t="s">
        <v>570</v>
      </c>
      <c r="D396" s="1749"/>
      <c r="E396" s="1749"/>
      <c r="F396" s="1387"/>
      <c r="G396" s="392">
        <v>0.7</v>
      </c>
      <c r="H396" s="305"/>
      <c r="I396" s="101"/>
      <c r="J396" s="13"/>
      <c r="K396" s="137"/>
      <c r="L396" s="13"/>
      <c r="M396" s="13"/>
      <c r="N396" s="13"/>
      <c r="O396" s="5"/>
      <c r="P396" s="5"/>
      <c r="Q396" s="5"/>
      <c r="R396" s="5"/>
      <c r="S396" s="5"/>
      <c r="T396" s="13"/>
      <c r="U396" s="38"/>
      <c r="V396" s="38"/>
      <c r="W396" s="38"/>
      <c r="X396" s="13"/>
      <c r="Y396" s="13"/>
      <c r="Z396" s="13"/>
      <c r="AA396" s="13"/>
      <c r="AB396" s="13"/>
      <c r="AC396" s="13"/>
      <c r="AH396" s="13"/>
      <c r="AM396" s="13"/>
      <c r="AN396" s="13"/>
      <c r="AO396" s="13"/>
      <c r="AP396" s="13"/>
      <c r="AQ396" s="13"/>
      <c r="AR396" s="13"/>
      <c r="AS396" s="13"/>
      <c r="AT396" s="13"/>
      <c r="AU396" s="13"/>
      <c r="AV396" s="13"/>
      <c r="AW396" s="13"/>
      <c r="AX396" s="13"/>
      <c r="AY396" s="13"/>
      <c r="AZ396" s="13"/>
      <c r="BA396" s="13"/>
      <c r="BB396" s="13"/>
      <c r="BC396" s="13"/>
      <c r="BD396" s="13"/>
      <c r="BE396" s="13"/>
      <c r="BF396" s="13"/>
      <c r="BG396" s="13"/>
      <c r="BH396" s="13"/>
      <c r="BI396" s="13"/>
      <c r="BJ396" s="13"/>
      <c r="BK396" s="13"/>
      <c r="BL396" s="13"/>
      <c r="BM396" s="13"/>
      <c r="BN396" s="13"/>
      <c r="BO396" s="13"/>
      <c r="BP396" s="13"/>
      <c r="BQ396" s="13"/>
    </row>
    <row r="397" spans="1:69" ht="15.75" customHeight="1" x14ac:dyDescent="0.2">
      <c r="A397" s="13"/>
      <c r="B397" s="1753"/>
      <c r="C397" s="1749" t="s">
        <v>571</v>
      </c>
      <c r="D397" s="1749"/>
      <c r="E397" s="1749"/>
      <c r="F397" s="1387"/>
      <c r="G397" s="392">
        <v>0.7</v>
      </c>
      <c r="H397" s="305"/>
      <c r="I397" s="101"/>
      <c r="J397" s="13"/>
      <c r="K397" s="137"/>
      <c r="L397" s="13"/>
      <c r="M397" s="13"/>
      <c r="N397" s="13"/>
      <c r="O397" s="5"/>
      <c r="P397" s="5"/>
      <c r="Q397" s="5"/>
      <c r="R397" s="5"/>
      <c r="S397" s="5"/>
      <c r="T397" s="13"/>
      <c r="U397" s="38"/>
      <c r="V397" s="38"/>
      <c r="W397" s="38"/>
      <c r="X397" s="13"/>
      <c r="Y397" s="13"/>
      <c r="Z397" s="13"/>
      <c r="AA397" s="13"/>
      <c r="AB397" s="13"/>
      <c r="AC397" s="13"/>
      <c r="AH397" s="13"/>
      <c r="AM397" s="306"/>
      <c r="AN397" s="306"/>
      <c r="AO397" s="306"/>
      <c r="AP397" s="306"/>
      <c r="AQ397" s="306"/>
      <c r="AR397" s="306"/>
      <c r="AS397" s="306"/>
      <c r="AT397" s="306"/>
      <c r="AU397" s="306"/>
      <c r="AV397" s="306"/>
      <c r="AW397" s="306"/>
      <c r="AX397" s="306"/>
      <c r="AY397" s="306"/>
      <c r="AZ397" s="13"/>
      <c r="BA397" s="13"/>
      <c r="BB397" s="13"/>
      <c r="BC397" s="13"/>
      <c r="BD397" s="13"/>
      <c r="BE397" s="13"/>
      <c r="BF397" s="13"/>
      <c r="BG397" s="13"/>
      <c r="BH397" s="13"/>
      <c r="BI397" s="13"/>
      <c r="BJ397" s="13"/>
      <c r="BK397" s="13"/>
      <c r="BL397" s="13"/>
      <c r="BM397" s="13"/>
      <c r="BN397" s="13"/>
      <c r="BO397" s="13"/>
      <c r="BP397" s="13"/>
      <c r="BQ397" s="13"/>
    </row>
    <row r="398" spans="1:69" ht="15" customHeight="1" x14ac:dyDescent="0.2">
      <c r="A398" s="13"/>
      <c r="B398" s="1754"/>
      <c r="C398" s="1749" t="s">
        <v>566</v>
      </c>
      <c r="D398" s="1749"/>
      <c r="E398" s="1749"/>
      <c r="F398" s="1388"/>
      <c r="G398" s="392">
        <v>0.1</v>
      </c>
      <c r="H398" s="305"/>
      <c r="I398" s="101"/>
      <c r="J398" s="13"/>
      <c r="K398" s="137"/>
      <c r="L398" s="13"/>
      <c r="M398" s="13"/>
      <c r="N398" s="13"/>
      <c r="O398" s="137"/>
      <c r="P398" s="5"/>
      <c r="Q398" s="5"/>
      <c r="R398" s="5"/>
      <c r="S398" s="5"/>
      <c r="T398" s="13"/>
      <c r="U398" s="38"/>
      <c r="V398" s="38"/>
      <c r="W398" s="38"/>
      <c r="X398" s="13"/>
      <c r="Y398" s="13"/>
      <c r="Z398" s="13"/>
      <c r="AA398" s="13"/>
      <c r="AB398" s="13"/>
      <c r="AC398" s="13"/>
      <c r="AH398" s="13"/>
      <c r="AI398" s="13"/>
      <c r="AJ398" s="13"/>
      <c r="AK398" s="306"/>
      <c r="AL398" s="306"/>
      <c r="AM398" s="306"/>
      <c r="AN398" s="306"/>
      <c r="AO398" s="306"/>
      <c r="AP398" s="306"/>
      <c r="AQ398" s="306"/>
      <c r="AR398" s="306"/>
      <c r="AS398" s="306"/>
      <c r="AT398" s="306"/>
      <c r="AU398" s="306"/>
      <c r="AV398" s="306"/>
      <c r="AW398" s="306"/>
      <c r="AX398" s="306"/>
      <c r="AY398" s="306"/>
      <c r="AZ398" s="13"/>
      <c r="BA398" s="13"/>
      <c r="BB398" s="13"/>
      <c r="BC398" s="13"/>
      <c r="BD398" s="13"/>
      <c r="BE398" s="13"/>
      <c r="BF398" s="13"/>
      <c r="BG398" s="13"/>
      <c r="BH398" s="13"/>
      <c r="BI398" s="13"/>
      <c r="BJ398" s="13"/>
      <c r="BK398" s="13"/>
      <c r="BL398" s="13"/>
      <c r="BM398" s="13"/>
      <c r="BN398" s="13"/>
      <c r="BO398" s="13"/>
      <c r="BP398" s="13"/>
      <c r="BQ398" s="13"/>
    </row>
    <row r="399" spans="1:69" ht="13.5" customHeight="1" x14ac:dyDescent="0.2">
      <c r="A399" s="13"/>
      <c r="B399" s="1828" t="s">
        <v>572</v>
      </c>
      <c r="C399" s="1829"/>
      <c r="D399" s="1829"/>
      <c r="E399" s="692" t="s">
        <v>573</v>
      </c>
      <c r="F399" s="979" t="e">
        <f>(F396+F397+F398)/D392</f>
        <v>#DIV/0!</v>
      </c>
      <c r="G399" s="534"/>
      <c r="H399" s="535"/>
      <c r="I399" s="101"/>
      <c r="J399" s="137"/>
      <c r="K399" s="137"/>
      <c r="L399" s="13"/>
      <c r="M399" s="13"/>
      <c r="N399" s="13"/>
      <c r="O399" s="137"/>
      <c r="P399" s="5"/>
      <c r="Q399" s="5"/>
      <c r="R399" s="5"/>
      <c r="S399" s="5"/>
      <c r="T399" s="13"/>
      <c r="U399" s="38"/>
      <c r="V399" s="38"/>
      <c r="W399" s="38"/>
      <c r="X399" s="13"/>
      <c r="Y399" s="13"/>
      <c r="Z399" s="13"/>
      <c r="AA399" s="13"/>
      <c r="AB399" s="13"/>
      <c r="AC399" s="13"/>
      <c r="AH399" s="13"/>
      <c r="AI399" s="13"/>
      <c r="AJ399" s="13"/>
      <c r="AK399" s="13"/>
      <c r="AL399" s="13"/>
      <c r="AM399" s="13"/>
      <c r="AN399" s="13"/>
      <c r="AO399" s="13"/>
      <c r="AP399" s="13"/>
      <c r="AQ399" s="13"/>
      <c r="AR399" s="13"/>
      <c r="AS399" s="13"/>
      <c r="AT399" s="13"/>
      <c r="AU399" s="13"/>
      <c r="AV399" s="13"/>
      <c r="AW399" s="13"/>
      <c r="AX399" s="13"/>
      <c r="AY399" s="13"/>
      <c r="AZ399" s="13"/>
      <c r="BA399" s="13"/>
      <c r="BB399" s="13"/>
      <c r="BC399" s="13"/>
      <c r="BD399" s="13"/>
      <c r="BE399" s="13"/>
      <c r="BF399" s="13"/>
      <c r="BG399" s="13"/>
      <c r="BH399" s="13"/>
      <c r="BI399" s="13"/>
      <c r="BJ399" s="13"/>
      <c r="BK399" s="13"/>
      <c r="BL399" s="13"/>
      <c r="BM399" s="13"/>
      <c r="BN399" s="13"/>
      <c r="BO399" s="13"/>
      <c r="BP399" s="13"/>
      <c r="BQ399" s="13"/>
    </row>
    <row r="400" spans="1:69" ht="15" customHeight="1" x14ac:dyDescent="0.2">
      <c r="A400" s="13"/>
      <c r="B400" s="706"/>
      <c r="C400" s="538"/>
      <c r="D400" s="160"/>
      <c r="E400" s="160"/>
      <c r="F400" s="811"/>
      <c r="G400" s="811"/>
      <c r="H400" s="535"/>
      <c r="I400" s="694"/>
      <c r="J400" s="137"/>
      <c r="K400" s="137"/>
      <c r="L400" s="13"/>
      <c r="M400" s="13"/>
      <c r="N400" s="13"/>
      <c r="O400" s="137"/>
      <c r="P400" s="299"/>
      <c r="Q400" s="5"/>
      <c r="R400" s="5"/>
      <c r="S400" s="5"/>
      <c r="T400" s="13"/>
      <c r="U400" s="38"/>
      <c r="V400" s="38"/>
      <c r="W400" s="38"/>
      <c r="X400" s="13"/>
      <c r="Y400" s="13"/>
      <c r="Z400" s="13"/>
      <c r="AA400" s="13"/>
      <c r="AB400" s="13"/>
      <c r="AC400" s="13"/>
      <c r="AH400" s="13"/>
      <c r="AI400" s="13"/>
      <c r="AJ400" s="13"/>
      <c r="AK400" s="307"/>
      <c r="AL400" s="307"/>
      <c r="AM400" s="307"/>
      <c r="AN400" s="307"/>
      <c r="AO400" s="307"/>
      <c r="AP400" s="307"/>
      <c r="AQ400" s="307"/>
      <c r="AR400" s="307"/>
      <c r="AS400" s="307"/>
      <c r="AT400" s="307"/>
      <c r="AU400" s="307"/>
      <c r="AV400" s="307"/>
      <c r="AW400" s="307"/>
      <c r="AX400" s="307"/>
      <c r="AY400" s="307"/>
      <c r="AZ400" s="13"/>
      <c r="BA400" s="13"/>
      <c r="BB400" s="13"/>
      <c r="BC400" s="13"/>
      <c r="BD400" s="13"/>
      <c r="BE400" s="13"/>
      <c r="BF400" s="13"/>
      <c r="BG400" s="13"/>
      <c r="BH400" s="13"/>
      <c r="BI400" s="13"/>
      <c r="BJ400" s="13"/>
      <c r="BK400" s="13"/>
      <c r="BL400" s="13"/>
      <c r="BM400" s="13"/>
      <c r="BN400" s="13"/>
      <c r="BO400" s="13"/>
      <c r="BP400" s="13"/>
      <c r="BQ400" s="13"/>
    </row>
    <row r="401" spans="1:69" ht="15.75" customHeight="1" x14ac:dyDescent="0.2">
      <c r="A401" s="13"/>
      <c r="B401" s="290" t="s">
        <v>274</v>
      </c>
      <c r="C401" s="678" t="e">
        <f>IF(F399&lt;0.99,"",'GUIA DE APLICAÇÃO'!F1201)</f>
        <v>#DIV/0!</v>
      </c>
      <c r="D401" s="385" t="s">
        <v>329</v>
      </c>
      <c r="E401" s="120"/>
      <c r="F401" s="536"/>
      <c r="G401" s="536"/>
      <c r="H401" s="537"/>
      <c r="I401" s="101"/>
      <c r="J401" s="308"/>
      <c r="K401" s="137"/>
      <c r="L401" s="137"/>
      <c r="M401" s="137"/>
      <c r="N401" s="299"/>
      <c r="O401" s="299"/>
      <c r="P401" s="299"/>
      <c r="Q401" s="5"/>
      <c r="R401" s="5"/>
      <c r="S401" s="5"/>
      <c r="T401" s="13"/>
      <c r="U401" s="38"/>
      <c r="V401" s="38"/>
      <c r="W401" s="38"/>
      <c r="X401" s="13"/>
      <c r="Y401" s="13"/>
      <c r="Z401" s="13"/>
      <c r="AA401" s="13"/>
      <c r="AB401" s="13"/>
      <c r="AC401" s="13"/>
      <c r="AD401" s="13"/>
      <c r="AE401" s="13"/>
      <c r="AF401" s="13"/>
      <c r="AG401" s="13"/>
      <c r="AH401" s="13"/>
      <c r="AI401" s="13"/>
      <c r="AJ401" s="13"/>
      <c r="AK401" s="309"/>
      <c r="AL401" s="309"/>
      <c r="AM401" s="309"/>
      <c r="AN401" s="309"/>
      <c r="AO401" s="309"/>
      <c r="AP401" s="309"/>
      <c r="AQ401" s="309"/>
      <c r="AR401" s="309"/>
      <c r="AS401" s="309"/>
      <c r="AT401" s="309"/>
      <c r="AU401" s="309"/>
      <c r="AV401" s="309"/>
      <c r="AW401" s="309"/>
      <c r="AX401" s="309"/>
      <c r="AY401" s="309"/>
      <c r="AZ401" s="13"/>
      <c r="BA401" s="13"/>
      <c r="BB401" s="13"/>
      <c r="BC401" s="13"/>
      <c r="BD401" s="13"/>
      <c r="BE401" s="13"/>
      <c r="BF401" s="13"/>
      <c r="BG401" s="13"/>
      <c r="BH401" s="13"/>
      <c r="BI401" s="13"/>
      <c r="BJ401" s="13"/>
      <c r="BK401" s="13"/>
      <c r="BL401" s="13"/>
      <c r="BM401" s="13"/>
      <c r="BN401" s="13"/>
      <c r="BO401" s="13"/>
      <c r="BP401" s="13"/>
      <c r="BQ401" s="13"/>
    </row>
    <row r="402" spans="1:69" ht="21.75" customHeight="1" x14ac:dyDescent="0.2">
      <c r="A402" s="13"/>
      <c r="B402" s="204"/>
      <c r="C402" s="204"/>
      <c r="D402" s="204"/>
      <c r="E402" s="204"/>
      <c r="F402" s="138"/>
      <c r="G402" s="198"/>
      <c r="H402" s="198"/>
      <c r="I402" s="198"/>
      <c r="J402" s="13"/>
      <c r="K402" s="137"/>
      <c r="L402" s="137"/>
      <c r="M402" s="137"/>
      <c r="N402" s="299"/>
      <c r="O402" s="299"/>
      <c r="P402" s="299"/>
      <c r="Q402" s="5"/>
      <c r="R402" s="5"/>
      <c r="S402" s="5"/>
      <c r="T402" s="13"/>
      <c r="U402" s="38"/>
      <c r="V402" s="38"/>
      <c r="W402" s="38"/>
      <c r="X402" s="13"/>
      <c r="Y402" s="13"/>
      <c r="Z402" s="13"/>
      <c r="AA402" s="13"/>
      <c r="AB402" s="13"/>
      <c r="AC402" s="13"/>
      <c r="AD402" s="13"/>
      <c r="AE402" s="13"/>
      <c r="AF402" s="13"/>
      <c r="AG402" s="13"/>
      <c r="AH402" s="13"/>
      <c r="AI402" s="13"/>
      <c r="AJ402" s="13"/>
      <c r="AK402" s="309"/>
      <c r="AL402" s="309"/>
      <c r="AM402" s="309"/>
      <c r="AN402" s="309"/>
      <c r="AO402" s="309"/>
      <c r="AP402" s="309"/>
      <c r="AQ402" s="309"/>
      <c r="AR402" s="309"/>
      <c r="AS402" s="309"/>
      <c r="AT402" s="309"/>
      <c r="AU402" s="309"/>
      <c r="AV402" s="309"/>
      <c r="AW402" s="309"/>
      <c r="AX402" s="309"/>
      <c r="AY402" s="309"/>
      <c r="AZ402" s="13"/>
      <c r="BA402" s="13"/>
      <c r="BB402" s="13"/>
      <c r="BC402" s="13"/>
      <c r="BD402" s="13"/>
      <c r="BE402" s="13"/>
      <c r="BF402" s="13"/>
      <c r="BG402" s="13"/>
      <c r="BH402" s="13"/>
      <c r="BI402" s="13"/>
      <c r="BJ402" s="13"/>
      <c r="BK402" s="13"/>
      <c r="BL402" s="13"/>
      <c r="BM402" s="13"/>
      <c r="BN402" s="13"/>
      <c r="BO402" s="13"/>
      <c r="BP402" s="13"/>
      <c r="BQ402" s="13"/>
    </row>
    <row r="403" spans="1:69" ht="17.25" customHeight="1" x14ac:dyDescent="0.2">
      <c r="A403" s="660">
        <v>21</v>
      </c>
      <c r="B403" s="703" t="s">
        <v>574</v>
      </c>
      <c r="C403" s="607"/>
      <c r="D403" s="607"/>
      <c r="E403" s="607"/>
      <c r="F403" s="607"/>
      <c r="G403" s="607"/>
      <c r="H403" s="527"/>
      <c r="I403" s="262"/>
      <c r="J403" s="262"/>
      <c r="K403" s="137"/>
      <c r="L403" s="137"/>
      <c r="M403" s="137"/>
      <c r="N403" s="299"/>
      <c r="O403" s="299"/>
      <c r="P403" s="299"/>
      <c r="Q403" s="5"/>
      <c r="R403" s="5"/>
      <c r="S403" s="5"/>
      <c r="T403" s="5"/>
      <c r="U403" s="5"/>
      <c r="V403" s="5"/>
      <c r="W403" s="13"/>
      <c r="X403" s="13"/>
      <c r="AA403" s="13"/>
      <c r="AB403" s="13"/>
      <c r="AC403" s="13"/>
      <c r="AL403" s="13"/>
      <c r="AM403" s="13"/>
      <c r="AN403" s="13"/>
      <c r="AO403" s="13"/>
      <c r="AP403" s="13"/>
      <c r="AQ403" s="13"/>
      <c r="AR403" s="13"/>
      <c r="AS403" s="13"/>
      <c r="AT403" s="13"/>
      <c r="AU403" s="13"/>
      <c r="AV403" s="13"/>
      <c r="AW403" s="13"/>
      <c r="AX403" s="13"/>
      <c r="AY403" s="13"/>
      <c r="AZ403" s="13"/>
      <c r="BA403" s="13"/>
      <c r="BB403" s="13"/>
      <c r="BC403" s="13"/>
      <c r="BD403" s="13"/>
      <c r="BE403" s="13"/>
      <c r="BF403" s="13"/>
      <c r="BG403" s="13"/>
      <c r="BH403" s="13"/>
      <c r="BI403" s="13"/>
      <c r="BJ403" s="13"/>
      <c r="BK403" s="13"/>
      <c r="BL403" s="13"/>
      <c r="BM403" s="13"/>
      <c r="BN403" s="13"/>
      <c r="BO403" s="13"/>
      <c r="BP403" s="13"/>
      <c r="BQ403" s="13"/>
    </row>
    <row r="404" spans="1:69" ht="15.75" customHeight="1" x14ac:dyDescent="0.2">
      <c r="A404" s="144"/>
      <c r="B404" s="572"/>
      <c r="C404" s="602"/>
      <c r="D404" s="602"/>
      <c r="E404" s="602"/>
      <c r="F404" s="602"/>
      <c r="G404" s="310"/>
      <c r="H404" s="397"/>
      <c r="I404" s="101"/>
      <c r="J404" s="262"/>
      <c r="K404" s="137"/>
      <c r="L404" s="137"/>
      <c r="M404" s="137"/>
      <c r="N404" s="299"/>
      <c r="O404" s="299"/>
      <c r="P404" s="299"/>
      <c r="Q404" s="5"/>
      <c r="R404" s="5"/>
      <c r="S404" s="5"/>
      <c r="T404" s="5"/>
      <c r="U404" s="5"/>
      <c r="V404" s="5"/>
      <c r="W404" s="13"/>
      <c r="X404" s="13"/>
      <c r="AA404" s="13"/>
      <c r="AB404" s="13"/>
      <c r="AC404" s="13"/>
      <c r="AL404" s="13"/>
      <c r="AM404" s="13"/>
      <c r="AN404" s="13"/>
      <c r="AO404" s="13"/>
      <c r="AP404" s="13"/>
      <c r="AQ404" s="13"/>
      <c r="AR404" s="13"/>
      <c r="AS404" s="13"/>
      <c r="AT404" s="13"/>
      <c r="AU404" s="13"/>
      <c r="AV404" s="13"/>
      <c r="AW404" s="13"/>
      <c r="AX404" s="13"/>
      <c r="AY404" s="13"/>
      <c r="AZ404" s="13"/>
      <c r="BA404" s="13"/>
      <c r="BB404" s="13"/>
      <c r="BC404" s="13"/>
      <c r="BD404" s="13"/>
      <c r="BE404" s="13"/>
      <c r="BF404" s="13"/>
      <c r="BG404" s="13"/>
      <c r="BH404" s="13"/>
      <c r="BI404" s="13"/>
      <c r="BJ404" s="13"/>
      <c r="BK404" s="13"/>
      <c r="BL404" s="13"/>
      <c r="BM404" s="13"/>
      <c r="BN404" s="13"/>
      <c r="BO404" s="13"/>
      <c r="BP404" s="13"/>
      <c r="BQ404" s="13"/>
    </row>
    <row r="405" spans="1:69" ht="24" customHeight="1" x14ac:dyDescent="0.2">
      <c r="A405" s="13"/>
      <c r="B405" s="266"/>
      <c r="C405" s="1755" t="s">
        <v>519</v>
      </c>
      <c r="D405" s="817" t="s">
        <v>520</v>
      </c>
      <c r="E405" s="817" t="s">
        <v>521</v>
      </c>
      <c r="F405" s="817" t="s">
        <v>522</v>
      </c>
      <c r="G405" s="1535" t="s">
        <v>73</v>
      </c>
      <c r="H405" s="1523" t="s">
        <v>179</v>
      </c>
      <c r="I405" s="101"/>
      <c r="J405" s="262"/>
      <c r="K405" s="137"/>
      <c r="L405" s="137"/>
      <c r="M405" s="137"/>
      <c r="N405" s="299"/>
      <c r="O405" s="299"/>
      <c r="P405" s="299"/>
      <c r="Q405" s="5"/>
      <c r="R405" s="5"/>
      <c r="S405" s="5"/>
      <c r="T405" s="5"/>
      <c r="U405" s="5"/>
      <c r="V405" s="5"/>
      <c r="W405" s="13"/>
      <c r="X405" s="13"/>
      <c r="AA405" s="311"/>
      <c r="AB405" s="1834"/>
      <c r="AC405" s="1834"/>
      <c r="AL405" s="13"/>
      <c r="AM405" s="13"/>
      <c r="AN405" s="13"/>
      <c r="AO405" s="13"/>
      <c r="AP405" s="13"/>
      <c r="AQ405" s="13"/>
      <c r="AR405" s="13"/>
      <c r="AS405" s="13"/>
      <c r="AT405" s="13"/>
      <c r="AU405" s="13"/>
      <c r="AV405" s="13"/>
      <c r="AW405" s="13"/>
      <c r="AX405" s="13"/>
      <c r="AY405" s="13"/>
      <c r="AZ405" s="13"/>
      <c r="BA405" s="13"/>
      <c r="BB405" s="13"/>
      <c r="BC405" s="13"/>
      <c r="BD405" s="13"/>
      <c r="BE405" s="13"/>
      <c r="BF405" s="13"/>
      <c r="BG405" s="13"/>
      <c r="BH405" s="13"/>
      <c r="BI405" s="13"/>
      <c r="BJ405" s="13"/>
      <c r="BK405" s="13"/>
      <c r="BL405" s="13"/>
      <c r="BM405" s="13"/>
      <c r="BN405" s="13"/>
      <c r="BO405" s="13"/>
      <c r="BP405" s="13"/>
      <c r="BQ405" s="13"/>
    </row>
    <row r="406" spans="1:69" ht="16.5" customHeight="1" x14ac:dyDescent="0.2">
      <c r="A406" s="13"/>
      <c r="B406" s="705"/>
      <c r="C406" s="1756"/>
      <c r="D406" s="682">
        <f>+D332</f>
        <v>0</v>
      </c>
      <c r="E406" s="682">
        <f>+E332</f>
        <v>0</v>
      </c>
      <c r="F406" s="682">
        <f>+F332</f>
        <v>0</v>
      </c>
      <c r="G406" s="682">
        <f>+G332</f>
        <v>0</v>
      </c>
      <c r="H406" s="1517"/>
      <c r="I406" s="101"/>
      <c r="J406" s="262"/>
      <c r="K406" s="137"/>
      <c r="L406" s="137"/>
      <c r="M406" s="137"/>
      <c r="N406" s="299"/>
      <c r="O406" s="299"/>
      <c r="P406" s="299"/>
      <c r="Q406" s="5"/>
      <c r="R406" s="5"/>
      <c r="S406" s="5"/>
      <c r="T406" s="5"/>
      <c r="U406" s="5"/>
      <c r="V406" s="5"/>
      <c r="W406" s="13"/>
      <c r="X406" s="13"/>
      <c r="AA406" s="311"/>
      <c r="AB406" s="1522"/>
      <c r="AC406" s="1522"/>
      <c r="AL406" s="13"/>
      <c r="AM406" s="13"/>
      <c r="AN406" s="13"/>
      <c r="AO406" s="13"/>
      <c r="AP406" s="13"/>
      <c r="AQ406" s="13"/>
      <c r="AR406" s="13"/>
      <c r="AS406" s="13"/>
      <c r="AT406" s="13"/>
      <c r="AU406" s="13"/>
      <c r="AV406" s="13"/>
      <c r="AW406" s="13"/>
      <c r="AX406" s="13"/>
      <c r="AY406" s="13"/>
      <c r="AZ406" s="13"/>
      <c r="BA406" s="13"/>
      <c r="BB406" s="13"/>
      <c r="BC406" s="13"/>
      <c r="BD406" s="13"/>
      <c r="BE406" s="13"/>
      <c r="BF406" s="13"/>
      <c r="BG406" s="13"/>
      <c r="BH406" s="13"/>
      <c r="BI406" s="13"/>
      <c r="BJ406" s="13"/>
      <c r="BK406" s="13"/>
      <c r="BL406" s="13"/>
      <c r="BM406" s="13"/>
      <c r="BN406" s="13"/>
      <c r="BO406" s="13"/>
      <c r="BP406" s="13"/>
      <c r="BQ406" s="13"/>
    </row>
    <row r="407" spans="1:69" ht="20.25" customHeight="1" x14ac:dyDescent="0.2">
      <c r="A407" s="13"/>
      <c r="B407" s="1744" t="s">
        <v>575</v>
      </c>
      <c r="C407" s="551" t="s">
        <v>524</v>
      </c>
      <c r="D407" s="1390"/>
      <c r="E407" s="1391"/>
      <c r="F407" s="1392"/>
      <c r="G407" s="1393"/>
      <c r="H407" s="704">
        <v>0.9</v>
      </c>
      <c r="J407" s="262"/>
      <c r="K407" s="137"/>
      <c r="L407" s="137"/>
      <c r="M407" s="137"/>
      <c r="N407" s="299"/>
      <c r="O407" s="299"/>
      <c r="P407" s="299"/>
      <c r="Q407" s="5"/>
      <c r="R407" s="5"/>
      <c r="S407" s="5"/>
      <c r="T407" s="5"/>
      <c r="U407" s="5"/>
      <c r="V407" s="5"/>
      <c r="W407" s="13"/>
      <c r="X407" s="13"/>
      <c r="Y407" s="13"/>
      <c r="Z407" s="13"/>
      <c r="AA407" s="13"/>
      <c r="AB407" s="13"/>
      <c r="AC407" s="13"/>
      <c r="AL407" s="13"/>
      <c r="AM407" s="13"/>
      <c r="AN407" s="13"/>
      <c r="AO407" s="13"/>
      <c r="AP407" s="13"/>
      <c r="AQ407" s="13"/>
      <c r="AR407" s="13"/>
      <c r="AS407" s="13"/>
      <c r="AT407" s="13"/>
      <c r="AU407" s="13"/>
      <c r="AV407" s="13"/>
      <c r="AW407" s="13"/>
      <c r="AX407" s="13"/>
      <c r="AY407" s="13"/>
      <c r="AZ407" s="13"/>
      <c r="BA407" s="13"/>
      <c r="BB407" s="13"/>
      <c r="BC407" s="13"/>
      <c r="BD407" s="13"/>
      <c r="BE407" s="13"/>
      <c r="BF407" s="13"/>
      <c r="BG407" s="13"/>
      <c r="BH407" s="13"/>
      <c r="BI407" s="13"/>
      <c r="BJ407" s="13"/>
      <c r="BK407" s="13"/>
      <c r="BL407" s="13"/>
      <c r="BM407" s="13"/>
      <c r="BN407" s="13"/>
      <c r="BO407" s="13"/>
      <c r="BP407" s="13"/>
      <c r="BQ407" s="13"/>
    </row>
    <row r="408" spans="1:69" ht="18.75" customHeight="1" x14ac:dyDescent="0.2">
      <c r="A408" s="13"/>
      <c r="B408" s="1745"/>
      <c r="C408" s="551" t="s">
        <v>525</v>
      </c>
      <c r="D408" s="1369"/>
      <c r="E408" s="1370"/>
      <c r="F408" s="1372"/>
      <c r="G408" s="1371"/>
      <c r="H408" s="708">
        <v>0.5</v>
      </c>
      <c r="J408" s="262"/>
      <c r="K408" s="137"/>
      <c r="L408" s="137"/>
      <c r="M408" s="137"/>
      <c r="N408" s="299"/>
      <c r="O408" s="299"/>
      <c r="P408" s="299"/>
      <c r="Q408" s="5"/>
      <c r="R408" s="5"/>
      <c r="S408" s="5"/>
      <c r="T408" s="5"/>
      <c r="U408" s="5"/>
      <c r="V408" s="5"/>
      <c r="W408" s="13"/>
      <c r="X408" s="13"/>
      <c r="Y408" s="13"/>
      <c r="Z408" s="13"/>
      <c r="AA408" s="13"/>
      <c r="AB408" s="13"/>
      <c r="AC408" s="13"/>
      <c r="AL408" s="13"/>
      <c r="AM408" s="13"/>
      <c r="AN408" s="13"/>
      <c r="AO408" s="13"/>
      <c r="AP408" s="13"/>
      <c r="AQ408" s="13"/>
      <c r="AR408" s="13"/>
      <c r="AS408" s="13"/>
      <c r="AT408" s="13"/>
      <c r="AU408" s="13"/>
      <c r="AV408" s="13"/>
      <c r="AW408" s="13"/>
      <c r="AX408" s="13"/>
      <c r="AY408" s="13"/>
      <c r="AZ408" s="13"/>
      <c r="BA408" s="13"/>
      <c r="BB408" s="13"/>
      <c r="BC408" s="13"/>
      <c r="BD408" s="13"/>
      <c r="BE408" s="13"/>
      <c r="BF408" s="13"/>
      <c r="BG408" s="13"/>
      <c r="BH408" s="13"/>
      <c r="BI408" s="13"/>
      <c r="BJ408" s="13"/>
      <c r="BK408" s="13"/>
      <c r="BL408" s="13"/>
      <c r="BM408" s="13"/>
      <c r="BN408" s="13"/>
      <c r="BO408" s="13"/>
      <c r="BP408" s="13"/>
      <c r="BQ408" s="13"/>
    </row>
    <row r="409" spans="1:69" ht="18" customHeight="1" x14ac:dyDescent="0.2">
      <c r="A409" s="13"/>
      <c r="B409" s="1746"/>
      <c r="C409" s="551" t="s">
        <v>576</v>
      </c>
      <c r="D409" s="1369"/>
      <c r="E409" s="1370"/>
      <c r="F409" s="1372"/>
      <c r="G409" s="1371"/>
      <c r="H409" s="708">
        <v>0.1</v>
      </c>
      <c r="J409" s="262"/>
      <c r="K409" s="137"/>
      <c r="L409" s="137"/>
      <c r="M409" s="137"/>
      <c r="N409" s="299"/>
      <c r="O409" s="299"/>
      <c r="P409" s="299"/>
      <c r="Q409" s="5"/>
      <c r="R409" s="5"/>
      <c r="S409" s="5"/>
      <c r="T409" s="5"/>
      <c r="U409" s="5"/>
      <c r="V409" s="5"/>
      <c r="W409" s="13"/>
      <c r="X409" s="13"/>
      <c r="Y409" s="13"/>
      <c r="Z409" s="13"/>
      <c r="AA409" s="13"/>
      <c r="AB409" s="13"/>
      <c r="AC409" s="13"/>
      <c r="AL409" s="13"/>
      <c r="AM409" s="13"/>
      <c r="AN409" s="13"/>
      <c r="AO409" s="13"/>
      <c r="AP409" s="13"/>
      <c r="AQ409" s="13"/>
      <c r="AR409" s="13"/>
      <c r="AS409" s="13"/>
      <c r="AT409" s="13"/>
      <c r="AU409" s="13"/>
      <c r="AV409" s="13"/>
      <c r="AW409" s="13"/>
      <c r="AX409" s="13"/>
      <c r="AY409" s="13"/>
      <c r="AZ409" s="13"/>
      <c r="BA409" s="13"/>
      <c r="BB409" s="13"/>
      <c r="BC409" s="13"/>
      <c r="BD409" s="13"/>
      <c r="BE409" s="13"/>
      <c r="BF409" s="13"/>
      <c r="BG409" s="13"/>
      <c r="BH409" s="13"/>
      <c r="BI409" s="13"/>
      <c r="BJ409" s="13"/>
      <c r="BK409" s="13"/>
      <c r="BL409" s="13"/>
      <c r="BM409" s="13"/>
      <c r="BN409" s="13"/>
      <c r="BO409" s="13"/>
      <c r="BP409" s="13"/>
      <c r="BQ409" s="13"/>
    </row>
    <row r="410" spans="1:69" ht="15.75" customHeight="1" x14ac:dyDescent="0.2">
      <c r="A410" s="13"/>
      <c r="B410" s="1750" t="s">
        <v>577</v>
      </c>
      <c r="C410" s="1751"/>
      <c r="D410" s="1751"/>
      <c r="E410" s="1751"/>
      <c r="F410" s="1751"/>
      <c r="G410" s="1751"/>
      <c r="H410" s="397"/>
      <c r="J410" s="262"/>
      <c r="K410" s="137"/>
      <c r="L410" s="137"/>
      <c r="M410" s="137"/>
      <c r="N410" s="299"/>
      <c r="O410" s="299"/>
      <c r="P410" s="299"/>
      <c r="Q410" s="5"/>
      <c r="R410" s="5"/>
      <c r="S410" s="5"/>
      <c r="T410" s="5"/>
      <c r="U410" s="5"/>
      <c r="V410" s="5"/>
      <c r="W410" s="13"/>
      <c r="X410" s="13"/>
      <c r="Y410" s="13"/>
      <c r="Z410" s="13"/>
      <c r="AA410" s="13"/>
      <c r="AB410" s="13"/>
      <c r="AC410" s="13"/>
      <c r="AL410" s="13"/>
      <c r="AM410" s="13"/>
      <c r="AN410" s="13"/>
      <c r="AO410" s="13"/>
      <c r="AP410" s="13"/>
      <c r="AQ410" s="13"/>
      <c r="AR410" s="13"/>
      <c r="AS410" s="13"/>
      <c r="AT410" s="13"/>
      <c r="AU410" s="13"/>
      <c r="AV410" s="13"/>
      <c r="AW410" s="13"/>
      <c r="AX410" s="13"/>
      <c r="AY410" s="13"/>
      <c r="AZ410" s="13"/>
      <c r="BA410" s="13"/>
      <c r="BB410" s="13"/>
      <c r="BC410" s="13"/>
      <c r="BD410" s="13"/>
      <c r="BE410" s="13"/>
      <c r="BF410" s="13"/>
      <c r="BG410" s="13"/>
      <c r="BH410" s="13"/>
      <c r="BI410" s="13"/>
      <c r="BJ410" s="13"/>
      <c r="BK410" s="13"/>
      <c r="BL410" s="13"/>
      <c r="BM410" s="13"/>
      <c r="BN410" s="13"/>
      <c r="BO410" s="13"/>
      <c r="BP410" s="13"/>
      <c r="BQ410" s="13"/>
    </row>
    <row r="411" spans="1:69" ht="10.5" customHeight="1" x14ac:dyDescent="0.2">
      <c r="A411" s="13"/>
      <c r="B411" s="1918" t="s">
        <v>578</v>
      </c>
      <c r="C411" s="1919"/>
      <c r="D411" s="1919"/>
      <c r="E411" s="1919"/>
      <c r="F411" s="1919"/>
      <c r="G411" s="1919"/>
      <c r="H411" s="1920"/>
      <c r="J411" s="262"/>
      <c r="K411" s="137"/>
      <c r="L411" s="137"/>
      <c r="M411" s="137"/>
      <c r="N411" s="299"/>
      <c r="O411" s="299"/>
      <c r="P411" s="299"/>
      <c r="Q411" s="5"/>
      <c r="R411" s="5"/>
      <c r="S411" s="5"/>
      <c r="T411" s="5"/>
      <c r="U411" s="5"/>
      <c r="V411" s="5"/>
      <c r="W411" s="13"/>
      <c r="X411" s="13"/>
      <c r="AA411" s="13"/>
      <c r="AB411" s="13"/>
      <c r="AC411" s="13"/>
      <c r="AL411" s="13"/>
      <c r="AM411" s="13"/>
      <c r="AN411" s="13"/>
      <c r="AO411" s="13"/>
      <c r="AP411" s="13"/>
      <c r="AQ411" s="13"/>
      <c r="AR411" s="13"/>
      <c r="AS411" s="13"/>
      <c r="AT411" s="13"/>
      <c r="AU411" s="13"/>
      <c r="AV411" s="13"/>
      <c r="AW411" s="13"/>
      <c r="AX411" s="13"/>
      <c r="AY411" s="13"/>
      <c r="AZ411" s="13"/>
      <c r="BA411" s="13"/>
      <c r="BB411" s="13"/>
      <c r="BC411" s="13"/>
      <c r="BD411" s="13"/>
      <c r="BE411" s="13"/>
      <c r="BF411" s="13"/>
      <c r="BG411" s="13"/>
      <c r="BH411" s="13"/>
      <c r="BI411" s="13"/>
      <c r="BJ411" s="13"/>
      <c r="BK411" s="13"/>
      <c r="BL411" s="13"/>
      <c r="BM411" s="13"/>
      <c r="BN411" s="13"/>
      <c r="BO411" s="13"/>
      <c r="BP411" s="13"/>
      <c r="BQ411" s="13"/>
    </row>
    <row r="412" spans="1:69" ht="15.75" customHeight="1" x14ac:dyDescent="0.2">
      <c r="A412" s="13"/>
      <c r="B412" s="686" t="s">
        <v>435</v>
      </c>
      <c r="C412" s="687" t="e">
        <f>('GUIA DE APLICAÇÃO'!M1212*'GUIA DE APLICAÇÃO'!C1210)+('GUIA DE APLICAÇÃO'!M1213*'GUIA DE APLICAÇÃO'!C1211)+('GUIA DE APLICAÇÃO'!M1214*'GUIA DE APLICAÇÃO'!C1212)</f>
        <v>#DIV/0!</v>
      </c>
      <c r="D412" s="387" t="s">
        <v>329</v>
      </c>
      <c r="E412" s="204"/>
      <c r="F412" s="1917" t="s">
        <v>527</v>
      </c>
      <c r="G412" s="1917"/>
      <c r="H412" s="398" t="e">
        <f>SUM(D407:G409)/('1 QUESTIONÁRIO'!D113+'1 QUESTIONÁRIO'!D114+'1 QUESTIONÁRIO'!D115+'1 QUESTIONÁRIO'!D116)</f>
        <v>#DIV/0!</v>
      </c>
      <c r="I412" s="587"/>
      <c r="J412" s="262"/>
      <c r="K412" s="137"/>
      <c r="L412" s="137"/>
      <c r="M412" s="137"/>
      <c r="N412" s="299"/>
      <c r="O412" s="299"/>
      <c r="P412" s="299"/>
      <c r="Q412" s="5"/>
      <c r="R412" s="5"/>
      <c r="S412" s="5"/>
      <c r="T412" s="5"/>
      <c r="U412" s="5"/>
      <c r="V412" s="5"/>
      <c r="W412" s="13"/>
      <c r="X412" s="13"/>
      <c r="AA412" s="13"/>
      <c r="AB412" s="13"/>
      <c r="AC412" s="13"/>
      <c r="AL412" s="13"/>
      <c r="AM412" s="13"/>
      <c r="AN412" s="13"/>
      <c r="AO412" s="13"/>
      <c r="AP412" s="13"/>
      <c r="AQ412" s="13"/>
      <c r="AR412" s="13"/>
      <c r="AS412" s="13"/>
      <c r="AT412" s="13"/>
      <c r="AU412" s="13"/>
      <c r="AV412" s="13"/>
      <c r="AW412" s="13"/>
      <c r="AX412" s="13"/>
      <c r="AY412" s="13"/>
      <c r="AZ412" s="13"/>
      <c r="BA412" s="13"/>
      <c r="BB412" s="13"/>
      <c r="BC412" s="13"/>
      <c r="BD412" s="13"/>
      <c r="BE412" s="13"/>
      <c r="BF412" s="13"/>
      <c r="BG412" s="13"/>
      <c r="BH412" s="13"/>
      <c r="BI412" s="13"/>
      <c r="BJ412" s="13"/>
      <c r="BK412" s="13"/>
      <c r="BL412" s="13"/>
      <c r="BM412" s="13"/>
      <c r="BN412" s="13"/>
      <c r="BO412" s="13"/>
      <c r="BP412" s="13"/>
      <c r="BQ412" s="13"/>
    </row>
    <row r="413" spans="1:69" ht="15.75" customHeight="1" x14ac:dyDescent="0.2">
      <c r="A413" s="13"/>
      <c r="B413" s="312"/>
      <c r="C413" s="38"/>
      <c r="D413" s="38"/>
      <c r="E413" s="307"/>
      <c r="F413" s="649"/>
      <c r="G413" s="649"/>
      <c r="H413" s="649"/>
      <c r="I413" s="587"/>
      <c r="J413" s="262"/>
      <c r="K413" s="137"/>
      <c r="L413" s="137"/>
      <c r="M413" s="137"/>
      <c r="N413" s="299"/>
      <c r="O413" s="299"/>
      <c r="P413" s="299"/>
      <c r="Q413" s="5"/>
      <c r="R413" s="5"/>
      <c r="S413" s="5"/>
      <c r="T413" s="5"/>
      <c r="U413" s="5"/>
      <c r="V413" s="5"/>
      <c r="W413" s="13"/>
      <c r="X413" s="13"/>
      <c r="AA413" s="13"/>
      <c r="AB413" s="13"/>
      <c r="AC413" s="13"/>
      <c r="AL413" s="13"/>
      <c r="AM413" s="13"/>
      <c r="AN413" s="13"/>
      <c r="AO413" s="13"/>
      <c r="AP413" s="13"/>
      <c r="AQ413" s="13"/>
      <c r="AR413" s="13"/>
      <c r="AS413" s="13"/>
      <c r="AT413" s="13"/>
      <c r="AU413" s="13"/>
      <c r="AV413" s="13"/>
      <c r="AW413" s="13"/>
      <c r="AX413" s="13"/>
      <c r="AY413" s="13"/>
      <c r="AZ413" s="13"/>
      <c r="BA413" s="13"/>
      <c r="BB413" s="13"/>
      <c r="BC413" s="13"/>
      <c r="BD413" s="13"/>
      <c r="BE413" s="13"/>
      <c r="BF413" s="13"/>
      <c r="BG413" s="13"/>
      <c r="BH413" s="13"/>
      <c r="BI413" s="13"/>
      <c r="BJ413" s="13"/>
      <c r="BK413" s="13"/>
      <c r="BL413" s="13"/>
      <c r="BM413" s="13"/>
      <c r="BN413" s="13"/>
      <c r="BO413" s="13"/>
      <c r="BP413" s="13"/>
      <c r="BQ413" s="13"/>
    </row>
    <row r="414" spans="1:69" ht="15.75" customHeight="1" x14ac:dyDescent="0.2">
      <c r="A414" s="313"/>
      <c r="B414" s="1792" t="s">
        <v>579</v>
      </c>
      <c r="C414" s="1792"/>
      <c r="D414" s="1792"/>
      <c r="E414" s="1394" t="e">
        <f>'GUIA DE APLICAÇÃO'!L1229</f>
        <v>#DIV/0!</v>
      </c>
      <c r="F414" s="649"/>
      <c r="G414" s="649"/>
      <c r="H414" s="650"/>
      <c r="I414" s="198"/>
      <c r="J414" s="262"/>
      <c r="K414" s="137"/>
      <c r="L414" s="137"/>
      <c r="M414" s="137"/>
      <c r="N414" s="299"/>
      <c r="O414" s="299"/>
      <c r="P414" s="299"/>
      <c r="Q414" s="5"/>
      <c r="R414" s="5"/>
      <c r="S414" s="5"/>
      <c r="T414" s="5"/>
      <c r="U414" s="5"/>
      <c r="V414" s="5"/>
      <c r="W414" s="13"/>
      <c r="X414" s="13"/>
      <c r="AA414" s="13"/>
      <c r="AB414" s="13"/>
      <c r="AC414" s="13"/>
      <c r="AL414" s="13"/>
      <c r="AM414" s="13"/>
      <c r="AN414" s="13"/>
      <c r="AO414" s="13"/>
      <c r="AP414" s="13"/>
      <c r="AQ414" s="13"/>
      <c r="AR414" s="13"/>
      <c r="AS414" s="13"/>
      <c r="AT414" s="13"/>
      <c r="AU414" s="13"/>
      <c r="AV414" s="13"/>
      <c r="AW414" s="13"/>
      <c r="AX414" s="13"/>
      <c r="AY414" s="13"/>
      <c r="AZ414" s="13"/>
      <c r="BA414" s="13"/>
      <c r="BB414" s="13"/>
      <c r="BC414" s="13"/>
      <c r="BD414" s="13"/>
      <c r="BE414" s="13"/>
      <c r="BF414" s="13"/>
      <c r="BG414" s="13"/>
      <c r="BH414" s="13"/>
      <c r="BI414" s="13"/>
      <c r="BJ414" s="13"/>
      <c r="BK414" s="13"/>
      <c r="BL414" s="13"/>
      <c r="BM414" s="13"/>
      <c r="BN414" s="13"/>
      <c r="BO414" s="13"/>
      <c r="BP414" s="13"/>
      <c r="BQ414" s="13"/>
    </row>
    <row r="415" spans="1:69" ht="14.25" customHeight="1" x14ac:dyDescent="0.2">
      <c r="A415" s="13"/>
      <c r="B415" s="1718"/>
      <c r="C415" s="1719"/>
      <c r="D415" s="1719"/>
      <c r="E415" s="1719"/>
      <c r="F415" s="1719"/>
      <c r="G415" s="1719"/>
      <c r="H415" s="1720"/>
      <c r="I415" s="13"/>
      <c r="J415" s="262"/>
      <c r="K415" s="137"/>
      <c r="L415" s="137"/>
      <c r="M415" s="137"/>
      <c r="N415" s="299"/>
      <c r="O415" s="299"/>
      <c r="P415" s="299"/>
      <c r="Q415" s="5"/>
      <c r="R415" s="5"/>
      <c r="S415" s="137"/>
      <c r="T415" s="137"/>
      <c r="U415" s="5"/>
      <c r="V415" s="5"/>
      <c r="W415" s="13"/>
      <c r="X415" s="13"/>
      <c r="AA415" s="13"/>
      <c r="AB415" s="13"/>
      <c r="AC415" s="13"/>
      <c r="AL415" s="13"/>
      <c r="AM415" s="13"/>
      <c r="AN415" s="13"/>
      <c r="AO415" s="13"/>
      <c r="AP415" s="13"/>
      <c r="AQ415" s="13"/>
      <c r="AR415" s="13"/>
      <c r="AS415" s="13"/>
      <c r="AT415" s="13"/>
      <c r="AU415" s="13"/>
      <c r="AV415" s="13"/>
      <c r="AW415" s="13"/>
      <c r="AX415" s="13"/>
      <c r="AY415" s="13"/>
      <c r="AZ415" s="13"/>
      <c r="BA415" s="13"/>
      <c r="BB415" s="13"/>
      <c r="BC415" s="13"/>
      <c r="BD415" s="13"/>
      <c r="BE415" s="13"/>
      <c r="BF415" s="13"/>
      <c r="BG415" s="13"/>
      <c r="BH415" s="13"/>
      <c r="BI415" s="13"/>
      <c r="BJ415" s="13"/>
      <c r="BK415" s="13"/>
      <c r="BL415" s="13"/>
      <c r="BM415" s="13"/>
      <c r="BN415" s="13"/>
      <c r="BO415" s="13"/>
      <c r="BP415" s="13"/>
      <c r="BQ415" s="13"/>
    </row>
    <row r="416" spans="1:69" ht="15.75" customHeight="1" x14ac:dyDescent="0.2">
      <c r="A416" s="13"/>
      <c r="B416" s="686" t="s">
        <v>435</v>
      </c>
      <c r="C416" s="693" t="e">
        <f>'GUIA DE APLICAÇÃO'!F1224*(1-EXP((-'GUIA DE APLICAÇÃO'!F1225)*(E414*100)))</f>
        <v>#DIV/0!</v>
      </c>
      <c r="D416" s="387" t="s">
        <v>329</v>
      </c>
      <c r="E416" s="38"/>
      <c r="F416" s="13"/>
      <c r="G416" s="13"/>
      <c r="H416" s="94"/>
      <c r="I416" s="13"/>
      <c r="J416" s="262"/>
      <c r="K416" s="137"/>
      <c r="L416" s="137"/>
      <c r="M416" s="137"/>
      <c r="N416" s="299"/>
      <c r="O416" s="299"/>
      <c r="P416" s="299"/>
      <c r="Q416" s="5"/>
      <c r="R416" s="5"/>
      <c r="S416" s="137"/>
      <c r="T416" s="137"/>
      <c r="U416" s="5"/>
      <c r="V416" s="5"/>
      <c r="W416" s="13"/>
      <c r="X416" s="13"/>
      <c r="AA416" s="13"/>
      <c r="AB416" s="13"/>
      <c r="AC416" s="13"/>
      <c r="AL416" s="13"/>
      <c r="AM416" s="13"/>
      <c r="AN416" s="13"/>
      <c r="AO416" s="13"/>
      <c r="AP416" s="13"/>
      <c r="AQ416" s="13"/>
      <c r="AR416" s="13"/>
      <c r="AS416" s="13"/>
      <c r="AT416" s="13"/>
      <c r="AU416" s="13"/>
      <c r="AV416" s="13"/>
      <c r="AW416" s="13"/>
      <c r="AX416" s="13"/>
      <c r="AY416" s="13"/>
      <c r="AZ416" s="13"/>
      <c r="BA416" s="13"/>
      <c r="BB416" s="13"/>
      <c r="BC416" s="13"/>
      <c r="BD416" s="13"/>
      <c r="BE416" s="13"/>
      <c r="BF416" s="13"/>
      <c r="BG416" s="13"/>
      <c r="BH416" s="13"/>
      <c r="BI416" s="13"/>
      <c r="BJ416" s="13"/>
      <c r="BK416" s="13"/>
      <c r="BL416" s="13"/>
      <c r="BM416" s="13"/>
      <c r="BN416" s="13"/>
      <c r="BO416" s="13"/>
      <c r="BP416" s="13"/>
      <c r="BQ416" s="13"/>
    </row>
    <row r="417" spans="1:69" ht="12" customHeight="1" x14ac:dyDescent="0.2">
      <c r="A417" s="13"/>
      <c r="B417" s="266"/>
      <c r="C417" s="637"/>
      <c r="D417" s="637"/>
      <c r="E417" s="38"/>
      <c r="F417" s="13"/>
      <c r="G417" s="13"/>
      <c r="H417" s="94"/>
      <c r="I417" s="13"/>
      <c r="J417" s="262"/>
      <c r="K417" s="137"/>
      <c r="L417" s="137"/>
      <c r="M417" s="137"/>
      <c r="N417" s="299"/>
      <c r="O417" s="299"/>
      <c r="P417" s="299"/>
      <c r="Q417" s="5"/>
      <c r="R417" s="5"/>
      <c r="S417" s="137"/>
      <c r="T417" s="137"/>
      <c r="U417" s="5"/>
      <c r="V417" s="5"/>
      <c r="W417" s="13"/>
      <c r="X417" s="13"/>
      <c r="AA417" s="13"/>
      <c r="AB417" s="13"/>
      <c r="AC417" s="13"/>
      <c r="AL417" s="13"/>
      <c r="AM417" s="13"/>
      <c r="AN417" s="13"/>
      <c r="AO417" s="13"/>
      <c r="AP417" s="13"/>
      <c r="AQ417" s="13"/>
      <c r="AR417" s="13"/>
      <c r="AS417" s="13"/>
      <c r="AT417" s="13"/>
      <c r="AU417" s="13"/>
      <c r="AV417" s="13"/>
      <c r="AW417" s="13"/>
      <c r="AX417" s="13"/>
      <c r="AY417" s="13"/>
      <c r="AZ417" s="13"/>
      <c r="BA417" s="13"/>
      <c r="BB417" s="13"/>
      <c r="BC417" s="13"/>
      <c r="BD417" s="13"/>
      <c r="BE417" s="13"/>
      <c r="BF417" s="13"/>
      <c r="BG417" s="13"/>
      <c r="BH417" s="13"/>
      <c r="BI417" s="13"/>
      <c r="BJ417" s="13"/>
      <c r="BK417" s="13"/>
      <c r="BL417" s="13"/>
      <c r="BM417" s="13"/>
      <c r="BN417" s="13"/>
      <c r="BO417" s="13"/>
      <c r="BP417" s="13"/>
      <c r="BQ417" s="13"/>
    </row>
    <row r="418" spans="1:69" ht="13.5" customHeight="1" x14ac:dyDescent="0.2">
      <c r="A418" s="13"/>
      <c r="B418" s="572"/>
      <c r="E418" s="1764" t="s">
        <v>400</v>
      </c>
      <c r="F418" s="1764"/>
      <c r="G418" s="1764"/>
      <c r="H418" s="94"/>
      <c r="I418" s="13"/>
      <c r="J418" s="262"/>
      <c r="K418" s="137"/>
      <c r="L418" s="137"/>
      <c r="M418" s="137"/>
      <c r="N418" s="299"/>
      <c r="O418" s="299"/>
      <c r="P418" s="299"/>
      <c r="Q418" s="5"/>
      <c r="R418" s="5"/>
      <c r="S418" s="137"/>
      <c r="T418" s="137"/>
      <c r="U418" s="5"/>
      <c r="V418" s="5"/>
      <c r="W418" s="13"/>
      <c r="X418" s="13"/>
      <c r="AA418" s="13"/>
      <c r="AB418" s="13"/>
      <c r="AC418" s="13"/>
      <c r="AL418" s="13"/>
      <c r="AM418" s="13"/>
      <c r="AN418" s="13"/>
      <c r="AO418" s="13"/>
      <c r="AP418" s="13"/>
      <c r="AQ418" s="13"/>
      <c r="AR418" s="13"/>
      <c r="AS418" s="13"/>
      <c r="AT418" s="13"/>
      <c r="AU418" s="13"/>
      <c r="AV418" s="13"/>
      <c r="AW418" s="13"/>
      <c r="AX418" s="13"/>
      <c r="AY418" s="13"/>
      <c r="AZ418" s="13"/>
      <c r="BA418" s="13"/>
      <c r="BB418" s="13"/>
      <c r="BC418" s="13"/>
      <c r="BD418" s="13"/>
      <c r="BE418" s="13"/>
      <c r="BF418" s="13"/>
      <c r="BG418" s="13"/>
      <c r="BH418" s="13"/>
      <c r="BI418" s="13"/>
      <c r="BJ418" s="13"/>
      <c r="BK418" s="13"/>
      <c r="BL418" s="13"/>
      <c r="BM418" s="13"/>
      <c r="BN418" s="13"/>
      <c r="BO418" s="13"/>
      <c r="BP418" s="13"/>
      <c r="BQ418" s="13"/>
    </row>
    <row r="419" spans="1:69" ht="14.25" customHeight="1" x14ac:dyDescent="0.2">
      <c r="A419" s="13"/>
      <c r="B419" s="1905" t="s">
        <v>580</v>
      </c>
      <c r="C419" s="1906"/>
      <c r="D419" s="1906"/>
      <c r="E419" s="1906"/>
      <c r="F419" s="1907"/>
      <c r="G419" s="656"/>
      <c r="H419" s="94"/>
      <c r="I419" s="13"/>
      <c r="J419" s="262"/>
      <c r="K419" s="137"/>
      <c r="L419" s="137"/>
      <c r="M419" s="137"/>
      <c r="N419" s="299"/>
      <c r="O419" s="299"/>
      <c r="P419" s="299"/>
      <c r="Q419" s="5"/>
      <c r="R419" s="5"/>
      <c r="S419" s="137"/>
      <c r="T419" s="137"/>
      <c r="U419" s="5"/>
      <c r="V419" s="5"/>
      <c r="W419" s="13"/>
      <c r="X419" s="13"/>
      <c r="AA419" s="13"/>
      <c r="AB419" s="13"/>
      <c r="AC419" s="13"/>
      <c r="AL419" s="13"/>
      <c r="AM419" s="13"/>
      <c r="AN419" s="13"/>
      <c r="AO419" s="13"/>
      <c r="AP419" s="13"/>
      <c r="AQ419" s="13"/>
      <c r="AR419" s="13"/>
      <c r="AS419" s="13"/>
      <c r="AT419" s="13"/>
      <c r="AU419" s="13"/>
      <c r="AV419" s="13"/>
      <c r="AW419" s="13"/>
      <c r="AX419" s="13"/>
      <c r="AY419" s="13"/>
      <c r="AZ419" s="13"/>
      <c r="BA419" s="13"/>
      <c r="BB419" s="13"/>
      <c r="BC419" s="13"/>
      <c r="BD419" s="13"/>
      <c r="BE419" s="13"/>
      <c r="BF419" s="13"/>
      <c r="BG419" s="13"/>
      <c r="BH419" s="13"/>
      <c r="BI419" s="13"/>
      <c r="BJ419" s="13"/>
      <c r="BK419" s="13"/>
      <c r="BL419" s="13"/>
      <c r="BM419" s="13"/>
      <c r="BN419" s="13"/>
      <c r="BO419" s="13"/>
      <c r="BP419" s="13"/>
      <c r="BQ419" s="13"/>
    </row>
    <row r="420" spans="1:69" ht="15" customHeight="1" x14ac:dyDescent="0.2">
      <c r="A420" s="13"/>
      <c r="B420" s="266"/>
      <c r="C420" s="314"/>
      <c r="D420" s="637"/>
      <c r="E420" s="38"/>
      <c r="F420" s="13"/>
      <c r="G420" s="13"/>
      <c r="H420" s="94"/>
      <c r="I420" s="13"/>
      <c r="J420" s="262"/>
      <c r="K420" s="137"/>
      <c r="L420" s="137"/>
      <c r="M420" s="137"/>
      <c r="N420" s="299"/>
      <c r="O420" s="299"/>
      <c r="P420" s="299"/>
      <c r="Q420" s="5"/>
      <c r="R420" s="5"/>
      <c r="S420" s="137"/>
      <c r="T420" s="137"/>
      <c r="U420" s="5"/>
      <c r="V420" s="5"/>
      <c r="W420" s="13"/>
      <c r="X420" s="13"/>
      <c r="AA420" s="13"/>
      <c r="AB420" s="13"/>
      <c r="AC420" s="13"/>
      <c r="AL420" s="13"/>
      <c r="AM420" s="13"/>
      <c r="AN420" s="13"/>
      <c r="AO420" s="13"/>
      <c r="AP420" s="13"/>
      <c r="AQ420" s="13"/>
      <c r="AR420" s="13"/>
      <c r="AS420" s="13"/>
      <c r="AT420" s="13"/>
      <c r="AU420" s="13"/>
      <c r="AV420" s="13"/>
      <c r="AW420" s="13"/>
      <c r="AX420" s="13"/>
      <c r="AY420" s="13"/>
      <c r="AZ420" s="13"/>
      <c r="BA420" s="13"/>
      <c r="BB420" s="13"/>
      <c r="BC420" s="13"/>
      <c r="BD420" s="13"/>
      <c r="BE420" s="13"/>
      <c r="BF420" s="13"/>
      <c r="BG420" s="13"/>
      <c r="BH420" s="13"/>
      <c r="BI420" s="13"/>
      <c r="BJ420" s="13"/>
      <c r="BK420" s="13"/>
      <c r="BL420" s="13"/>
      <c r="BM420" s="13"/>
      <c r="BN420" s="13"/>
      <c r="BO420" s="13"/>
      <c r="BP420" s="13"/>
      <c r="BQ420" s="13"/>
    </row>
    <row r="421" spans="1:69" ht="15.75" customHeight="1" x14ac:dyDescent="0.2">
      <c r="A421" s="13"/>
      <c r="B421" s="290" t="s">
        <v>274</v>
      </c>
      <c r="C421" s="683" t="e">
        <f>IF(G419="x",((((C412*3)+(C416*2))/5)*0.9),(((C412*3)+(C416*2))/5))</f>
        <v>#DIV/0!</v>
      </c>
      <c r="D421" s="121"/>
      <c r="E421" s="121"/>
      <c r="F421" s="303"/>
      <c r="G421" s="140"/>
      <c r="H421" s="141"/>
      <c r="I421" s="137"/>
      <c r="J421" s="137"/>
      <c r="K421" s="137"/>
      <c r="L421" s="137"/>
      <c r="M421" s="137"/>
      <c r="N421" s="299"/>
      <c r="O421" s="299"/>
      <c r="P421" s="299"/>
      <c r="Q421" s="5"/>
      <c r="R421" s="5"/>
      <c r="S421" s="5"/>
      <c r="T421" s="5"/>
      <c r="U421" s="5"/>
      <c r="V421" s="5"/>
      <c r="W421" s="13"/>
      <c r="X421" s="13"/>
      <c r="Y421" s="13"/>
      <c r="Z421" s="13"/>
      <c r="AA421" s="13"/>
      <c r="AB421" s="13"/>
      <c r="AC421" s="13"/>
      <c r="AD421" s="13"/>
      <c r="AE421" s="13"/>
      <c r="AF421" s="13"/>
      <c r="AG421" s="13"/>
      <c r="AH421" s="13"/>
      <c r="AI421" s="13"/>
      <c r="AJ421" s="13"/>
      <c r="AK421" s="13"/>
      <c r="AL421" s="13"/>
      <c r="AM421" s="13"/>
      <c r="AN421" s="13"/>
      <c r="AO421" s="13"/>
      <c r="AP421" s="13"/>
      <c r="AQ421" s="13"/>
      <c r="AR421" s="13"/>
      <c r="AS421" s="13"/>
      <c r="AT421" s="13"/>
      <c r="AU421" s="13"/>
      <c r="AV421" s="13"/>
      <c r="AW421" s="13"/>
      <c r="AX421" s="13"/>
      <c r="AY421" s="13"/>
      <c r="AZ421" s="13"/>
      <c r="BA421" s="13"/>
      <c r="BB421" s="13"/>
      <c r="BC421" s="13"/>
      <c r="BD421" s="13"/>
      <c r="BE421" s="13"/>
      <c r="BF421" s="13"/>
      <c r="BG421" s="13"/>
      <c r="BH421" s="13"/>
      <c r="BI421" s="13"/>
      <c r="BJ421" s="13"/>
      <c r="BK421" s="13"/>
      <c r="BL421" s="13"/>
      <c r="BM421" s="13"/>
      <c r="BN421" s="13"/>
      <c r="BO421" s="13"/>
      <c r="BP421" s="13"/>
      <c r="BQ421" s="13"/>
    </row>
    <row r="422" spans="1:69" ht="15.75" hidden="1" customHeight="1" x14ac:dyDescent="0.2">
      <c r="A422" s="13"/>
      <c r="B422" s="13"/>
      <c r="C422" s="315"/>
      <c r="D422" s="13"/>
      <c r="E422" s="13"/>
      <c r="F422" s="198"/>
      <c r="G422" s="137"/>
      <c r="H422" s="137"/>
      <c r="I422" s="137"/>
      <c r="J422" s="137"/>
      <c r="K422" s="137"/>
      <c r="L422" s="137"/>
      <c r="M422" s="137"/>
      <c r="N422" s="299"/>
      <c r="O422" s="299"/>
      <c r="P422" s="299"/>
      <c r="Q422" s="5"/>
      <c r="R422" s="5"/>
      <c r="S422" s="5"/>
      <c r="T422" s="5"/>
      <c r="U422" s="5"/>
      <c r="V422" s="5"/>
      <c r="W422" s="13"/>
      <c r="X422" s="13"/>
      <c r="Y422" s="13"/>
      <c r="Z422" s="13"/>
      <c r="AA422" s="13"/>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P422" s="13"/>
      <c r="BQ422" s="13"/>
    </row>
    <row r="423" spans="1:69" ht="15.75" hidden="1" customHeight="1" x14ac:dyDescent="0.2">
      <c r="A423" s="13"/>
      <c r="B423" s="5"/>
      <c r="C423" s="198"/>
      <c r="D423" s="198"/>
      <c r="E423" s="198"/>
      <c r="F423" s="198"/>
      <c r="G423" s="137"/>
      <c r="H423" s="137"/>
      <c r="I423" s="137"/>
      <c r="J423" s="137"/>
      <c r="K423" s="13"/>
      <c r="L423" s="137"/>
      <c r="M423" s="137"/>
      <c r="N423" s="299"/>
      <c r="O423" s="299"/>
      <c r="P423" s="299"/>
      <c r="Q423" s="5"/>
      <c r="R423" s="5"/>
      <c r="S423" s="5"/>
      <c r="T423" s="5"/>
      <c r="U423" s="5"/>
      <c r="V423" s="5"/>
      <c r="W423" s="13"/>
      <c r="X423" s="13"/>
      <c r="Y423" s="13"/>
      <c r="Z423" s="13"/>
      <c r="AA423" s="13"/>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c r="BL423" s="13"/>
      <c r="BM423" s="13"/>
      <c r="BN423" s="13"/>
      <c r="BO423" s="13"/>
      <c r="BP423" s="13"/>
      <c r="BQ423" s="13"/>
    </row>
    <row r="424" spans="1:69" ht="15.75" hidden="1" customHeight="1" x14ac:dyDescent="0.2">
      <c r="A424" s="13"/>
      <c r="B424" s="5"/>
      <c r="C424" s="198"/>
      <c r="D424" s="198"/>
      <c r="E424" s="198"/>
      <c r="F424" s="198"/>
      <c r="G424" s="137"/>
      <c r="H424" s="137"/>
      <c r="I424" s="137"/>
      <c r="J424" s="137"/>
      <c r="K424" s="137"/>
      <c r="L424" s="137"/>
      <c r="M424" s="137"/>
      <c r="N424" s="299"/>
      <c r="O424" s="299"/>
      <c r="P424" s="299"/>
      <c r="Q424" s="5"/>
      <c r="R424" s="5"/>
      <c r="S424" s="5"/>
      <c r="T424" s="5"/>
      <c r="U424" s="5"/>
      <c r="V424" s="5"/>
      <c r="W424" s="13"/>
      <c r="X424" s="13"/>
      <c r="Y424" s="13"/>
      <c r="Z424" s="13"/>
      <c r="AA424" s="13"/>
      <c r="AB424" s="13"/>
      <c r="AC424" s="13"/>
      <c r="AD424" s="13"/>
      <c r="AE424" s="13"/>
      <c r="AF424" s="13"/>
      <c r="AG424" s="13"/>
      <c r="AH424" s="13"/>
      <c r="AI424" s="13"/>
      <c r="AJ424" s="13"/>
      <c r="AK424" s="13"/>
      <c r="AL424" s="13"/>
      <c r="AM424" s="13"/>
      <c r="AN424" s="13"/>
      <c r="AO424" s="13"/>
      <c r="AP424" s="13"/>
      <c r="AQ424" s="13"/>
      <c r="AR424" s="13"/>
      <c r="AS424" s="13"/>
      <c r="AT424" s="13"/>
      <c r="AU424" s="13"/>
      <c r="AV424" s="13"/>
      <c r="AW424" s="13"/>
      <c r="AX424" s="13"/>
      <c r="AY424" s="13"/>
      <c r="AZ424" s="13"/>
      <c r="BA424" s="13"/>
      <c r="BB424" s="13"/>
      <c r="BC424" s="13"/>
      <c r="BD424" s="13"/>
      <c r="BE424" s="13"/>
      <c r="BF424" s="13"/>
      <c r="BG424" s="13"/>
      <c r="BH424" s="13"/>
      <c r="BI424" s="13"/>
      <c r="BJ424" s="13"/>
      <c r="BK424" s="13"/>
      <c r="BL424" s="13"/>
      <c r="BM424" s="13"/>
      <c r="BN424" s="13"/>
      <c r="BO424" s="13"/>
      <c r="BP424" s="13"/>
      <c r="BQ424" s="13"/>
    </row>
    <row r="425" spans="1:69" ht="15.75" hidden="1" customHeight="1" x14ac:dyDescent="0.2">
      <c r="A425" s="13"/>
      <c r="B425" s="5"/>
      <c r="C425" s="198"/>
      <c r="D425" s="198"/>
      <c r="E425" s="198"/>
      <c r="F425" s="198"/>
      <c r="G425" s="137"/>
      <c r="H425" s="137"/>
      <c r="I425" s="137"/>
      <c r="J425" s="137"/>
      <c r="K425" s="137"/>
      <c r="L425" s="137"/>
      <c r="M425" s="137"/>
      <c r="N425" s="299"/>
      <c r="O425" s="299"/>
      <c r="P425" s="299"/>
      <c r="Q425" s="5"/>
      <c r="R425" s="5"/>
      <c r="S425" s="5"/>
      <c r="T425" s="5"/>
      <c r="U425" s="5"/>
      <c r="V425" s="5"/>
      <c r="W425" s="13"/>
      <c r="X425" s="13"/>
      <c r="Y425" s="13"/>
      <c r="Z425" s="13"/>
      <c r="AA425" s="13"/>
      <c r="AB425" s="13"/>
      <c r="AC425" s="13"/>
      <c r="AD425" s="13"/>
      <c r="AE425" s="13"/>
      <c r="AF425" s="13"/>
      <c r="AG425" s="13"/>
      <c r="AH425" s="13"/>
      <c r="AI425" s="13"/>
      <c r="AJ425" s="13"/>
      <c r="AK425" s="13"/>
      <c r="AL425" s="13"/>
      <c r="AM425" s="13"/>
      <c r="AN425" s="13"/>
      <c r="AO425" s="13"/>
      <c r="AP425" s="13"/>
      <c r="AQ425" s="13"/>
      <c r="AR425" s="13"/>
      <c r="AS425" s="13"/>
      <c r="AT425" s="13"/>
      <c r="AU425" s="13"/>
      <c r="AV425" s="13"/>
      <c r="AW425" s="13"/>
      <c r="AX425" s="13"/>
      <c r="AY425" s="13"/>
      <c r="AZ425" s="13"/>
      <c r="BA425" s="13"/>
      <c r="BB425" s="13"/>
      <c r="BC425" s="13"/>
      <c r="BD425" s="13"/>
      <c r="BE425" s="13"/>
      <c r="BF425" s="13"/>
      <c r="BG425" s="13"/>
      <c r="BH425" s="13"/>
      <c r="BI425" s="13"/>
      <c r="BJ425" s="13"/>
      <c r="BK425" s="13"/>
      <c r="BL425" s="13"/>
      <c r="BM425" s="13"/>
      <c r="BN425" s="13"/>
      <c r="BO425" s="13"/>
      <c r="BP425" s="13"/>
      <c r="BQ425" s="13"/>
    </row>
    <row r="426" spans="1:69" ht="15.75" hidden="1" customHeight="1" x14ac:dyDescent="0.2">
      <c r="A426" s="13"/>
      <c r="B426" s="5"/>
      <c r="C426" s="198"/>
      <c r="D426" s="198"/>
      <c r="E426" s="198"/>
      <c r="F426" s="198"/>
      <c r="G426" s="137"/>
      <c r="H426" s="137"/>
      <c r="I426" s="137"/>
      <c r="J426" s="137"/>
      <c r="K426" s="137"/>
      <c r="L426" s="137"/>
      <c r="M426" s="137"/>
      <c r="N426" s="299"/>
      <c r="O426" s="299"/>
      <c r="P426" s="299"/>
      <c r="Q426" s="5"/>
      <c r="R426" s="5"/>
      <c r="S426" s="5"/>
      <c r="T426" s="5"/>
      <c r="U426" s="5"/>
      <c r="V426" s="5"/>
      <c r="W426" s="13"/>
      <c r="X426" s="13"/>
      <c r="Y426" s="13"/>
      <c r="Z426" s="13"/>
      <c r="AA426" s="13"/>
      <c r="AB426" s="13"/>
      <c r="AC426" s="13"/>
      <c r="AD426" s="13"/>
      <c r="AE426" s="13"/>
      <c r="AF426" s="13"/>
      <c r="AG426" s="13"/>
      <c r="AH426" s="13"/>
      <c r="AI426" s="13"/>
      <c r="AJ426" s="13"/>
      <c r="AK426" s="13"/>
      <c r="AL426" s="13"/>
      <c r="AM426" s="13"/>
      <c r="AN426" s="13"/>
      <c r="AO426" s="13"/>
      <c r="AP426" s="13"/>
      <c r="AQ426" s="13"/>
      <c r="AR426" s="13"/>
      <c r="AS426" s="13"/>
      <c r="AT426" s="13"/>
      <c r="AU426" s="13"/>
      <c r="AV426" s="13"/>
      <c r="AW426" s="13"/>
      <c r="AX426" s="13"/>
      <c r="AY426" s="13"/>
      <c r="AZ426" s="13"/>
      <c r="BA426" s="13"/>
      <c r="BB426" s="13"/>
      <c r="BC426" s="13"/>
      <c r="BD426" s="13"/>
      <c r="BE426" s="13"/>
      <c r="BF426" s="13"/>
      <c r="BG426" s="13"/>
      <c r="BH426" s="13"/>
      <c r="BI426" s="13"/>
      <c r="BJ426" s="13"/>
      <c r="BK426" s="13"/>
      <c r="BL426" s="13"/>
      <c r="BM426" s="13"/>
      <c r="BN426" s="13"/>
      <c r="BO426" s="13"/>
      <c r="BP426" s="13"/>
      <c r="BQ426" s="13"/>
    </row>
    <row r="427" spans="1:69" ht="15.75" hidden="1" customHeight="1" x14ac:dyDescent="0.2">
      <c r="A427" s="13"/>
      <c r="B427" s="5"/>
      <c r="C427" s="198"/>
      <c r="D427" s="198"/>
      <c r="E427" s="198"/>
      <c r="F427" s="198"/>
      <c r="G427" s="137"/>
      <c r="H427" s="137"/>
      <c r="I427" s="137"/>
      <c r="J427" s="137"/>
      <c r="K427" s="137"/>
      <c r="L427" s="137"/>
      <c r="M427" s="137"/>
      <c r="N427" s="299"/>
      <c r="O427" s="299"/>
      <c r="P427" s="299"/>
      <c r="Q427" s="5"/>
      <c r="R427" s="5"/>
      <c r="S427" s="5"/>
      <c r="T427" s="5"/>
      <c r="U427" s="5"/>
      <c r="V427" s="5"/>
      <c r="W427" s="13"/>
      <c r="X427" s="13"/>
      <c r="Y427" s="13"/>
      <c r="Z427" s="13"/>
      <c r="AA427" s="13"/>
      <c r="AB427" s="13"/>
      <c r="AC427" s="13"/>
      <c r="AD427" s="13"/>
      <c r="AE427" s="13"/>
      <c r="AF427" s="13"/>
      <c r="AG427" s="13"/>
      <c r="AH427" s="13"/>
      <c r="AI427" s="13"/>
      <c r="AJ427" s="13"/>
      <c r="AK427" s="13"/>
      <c r="AL427" s="13"/>
      <c r="AM427" s="13"/>
      <c r="AN427" s="13"/>
      <c r="AO427" s="13"/>
      <c r="AP427" s="13"/>
      <c r="AQ427" s="13"/>
      <c r="AR427" s="13"/>
      <c r="AS427" s="13"/>
      <c r="AT427" s="13"/>
      <c r="AU427" s="13"/>
      <c r="AV427" s="13"/>
      <c r="AW427" s="13"/>
      <c r="AX427" s="13"/>
      <c r="AY427" s="13"/>
      <c r="AZ427" s="13"/>
      <c r="BA427" s="13"/>
      <c r="BB427" s="13"/>
      <c r="BC427" s="13"/>
      <c r="BD427" s="13"/>
      <c r="BE427" s="13"/>
      <c r="BF427" s="13"/>
      <c r="BG427" s="13"/>
      <c r="BH427" s="13"/>
      <c r="BI427" s="13"/>
      <c r="BJ427" s="13"/>
      <c r="BK427" s="13"/>
      <c r="BL427" s="13"/>
      <c r="BM427" s="13"/>
      <c r="BN427" s="13"/>
      <c r="BO427" s="13"/>
      <c r="BP427" s="13"/>
      <c r="BQ427" s="13"/>
    </row>
    <row r="428" spans="1:69" ht="15.75" hidden="1" customHeight="1" x14ac:dyDescent="0.2">
      <c r="A428" s="13"/>
      <c r="B428" s="5"/>
      <c r="C428" s="198"/>
      <c r="D428" s="198"/>
      <c r="E428" s="198"/>
      <c r="F428" s="198"/>
      <c r="G428" s="137"/>
      <c r="H428" s="137"/>
      <c r="I428" s="137"/>
      <c r="J428" s="137"/>
      <c r="K428" s="137"/>
      <c r="L428" s="137"/>
      <c r="M428" s="137"/>
      <c r="N428" s="299"/>
      <c r="O428" s="299"/>
      <c r="P428" s="299"/>
      <c r="Q428" s="5"/>
      <c r="R428" s="5"/>
      <c r="S428" s="5"/>
      <c r="T428" s="5"/>
      <c r="U428" s="5"/>
      <c r="V428" s="5"/>
      <c r="W428" s="13"/>
      <c r="X428" s="13"/>
      <c r="Y428" s="13"/>
      <c r="Z428" s="13"/>
      <c r="AA428" s="13"/>
      <c r="AB428" s="13"/>
      <c r="AC428" s="13"/>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row>
    <row r="429" spans="1:69" ht="15.75" hidden="1" customHeight="1" x14ac:dyDescent="0.2">
      <c r="A429" s="13"/>
      <c r="B429" s="5"/>
      <c r="C429" s="198"/>
      <c r="D429" s="198"/>
      <c r="E429" s="198"/>
      <c r="F429" s="198"/>
      <c r="G429" s="137"/>
      <c r="H429" s="137"/>
      <c r="I429" s="137"/>
      <c r="J429" s="137"/>
      <c r="K429" s="137"/>
      <c r="L429" s="137"/>
      <c r="M429" s="137"/>
      <c r="N429" s="299"/>
      <c r="O429" s="299"/>
      <c r="P429" s="299"/>
      <c r="Q429" s="5"/>
      <c r="R429" s="5"/>
      <c r="S429" s="5"/>
      <c r="T429" s="5"/>
      <c r="U429" s="5"/>
      <c r="V429" s="5"/>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row>
    <row r="430" spans="1:69" ht="15.75" hidden="1" customHeight="1" x14ac:dyDescent="0.2">
      <c r="A430" s="13"/>
      <c r="B430" s="5"/>
      <c r="C430" s="198"/>
      <c r="D430" s="198"/>
      <c r="E430" s="198"/>
      <c r="F430" s="198"/>
      <c r="G430" s="137"/>
      <c r="H430" s="137"/>
      <c r="I430" s="137"/>
      <c r="J430" s="137"/>
      <c r="K430" s="137"/>
      <c r="L430" s="137"/>
      <c r="M430" s="137"/>
      <c r="N430" s="299"/>
      <c r="O430" s="299"/>
      <c r="P430" s="299"/>
      <c r="Q430" s="5"/>
      <c r="R430" s="5"/>
      <c r="S430" s="5"/>
      <c r="T430" s="5"/>
      <c r="U430" s="5"/>
      <c r="V430" s="5"/>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row>
    <row r="431" spans="1:69" ht="15.75" hidden="1" customHeight="1" x14ac:dyDescent="0.2">
      <c r="A431" s="13"/>
      <c r="B431" s="5"/>
      <c r="C431" s="198"/>
      <c r="D431" s="198"/>
      <c r="E431" s="198"/>
      <c r="F431" s="198"/>
      <c r="G431" s="137"/>
      <c r="H431" s="137"/>
      <c r="I431" s="137"/>
      <c r="J431" s="137"/>
      <c r="K431" s="137"/>
      <c r="L431" s="137"/>
      <c r="M431" s="137"/>
      <c r="N431" s="299"/>
      <c r="O431" s="299"/>
      <c r="P431" s="299"/>
      <c r="Q431" s="5"/>
      <c r="R431" s="5"/>
      <c r="S431" s="5"/>
      <c r="T431" s="5"/>
      <c r="U431" s="5"/>
      <c r="V431" s="5"/>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row>
    <row r="432" spans="1:69" ht="15.75" hidden="1" customHeight="1" x14ac:dyDescent="0.2">
      <c r="A432" s="13"/>
      <c r="B432" s="5"/>
      <c r="C432" s="198"/>
      <c r="D432" s="198"/>
      <c r="E432" s="198"/>
      <c r="F432" s="198"/>
      <c r="G432" s="137"/>
      <c r="H432" s="137"/>
      <c r="I432" s="137"/>
      <c r="J432" s="137"/>
      <c r="K432" s="137"/>
      <c r="L432" s="137"/>
      <c r="M432" s="137"/>
      <c r="N432" s="299"/>
      <c r="O432" s="299"/>
      <c r="P432" s="299"/>
      <c r="Q432" s="5"/>
      <c r="R432" s="5"/>
      <c r="S432" s="5"/>
      <c r="T432" s="5"/>
      <c r="U432" s="5"/>
      <c r="V432" s="5"/>
      <c r="W432" s="13"/>
      <c r="X432" s="13"/>
      <c r="Y432" s="13"/>
      <c r="Z432" s="13"/>
      <c r="AA432" s="13"/>
      <c r="AB432" s="13"/>
      <c r="AC432" s="13"/>
      <c r="AD432" s="13"/>
      <c r="AE432" s="13"/>
      <c r="AF432" s="13"/>
      <c r="AG432" s="13"/>
      <c r="AH432" s="13"/>
      <c r="AI432" s="13"/>
      <c r="AJ432" s="13"/>
      <c r="AK432" s="13"/>
      <c r="AL432" s="13"/>
      <c r="AM432" s="13"/>
      <c r="AN432" s="13"/>
      <c r="AO432" s="13"/>
      <c r="AP432" s="13"/>
      <c r="AQ432" s="13"/>
      <c r="AR432" s="13"/>
      <c r="AS432" s="13"/>
      <c r="AT432" s="13"/>
      <c r="AU432" s="13"/>
      <c r="AV432" s="13"/>
      <c r="AW432" s="13"/>
      <c r="AX432" s="13"/>
      <c r="AY432" s="13"/>
      <c r="AZ432" s="13"/>
      <c r="BA432" s="13"/>
      <c r="BB432" s="13"/>
      <c r="BC432" s="13"/>
      <c r="BD432" s="13"/>
      <c r="BE432" s="13"/>
      <c r="BF432" s="13"/>
      <c r="BG432" s="13"/>
      <c r="BH432" s="13"/>
      <c r="BI432" s="13"/>
      <c r="BJ432" s="13"/>
      <c r="BK432" s="13"/>
      <c r="BL432" s="13"/>
      <c r="BM432" s="13"/>
      <c r="BN432" s="13"/>
      <c r="BO432" s="13"/>
      <c r="BP432" s="13"/>
      <c r="BQ432" s="13"/>
    </row>
    <row r="433" spans="1:69" ht="15.75" hidden="1" customHeight="1" x14ac:dyDescent="0.2">
      <c r="A433" s="13"/>
      <c r="B433" s="5"/>
      <c r="C433" s="198"/>
      <c r="D433" s="198"/>
      <c r="E433" s="198"/>
      <c r="F433" s="198"/>
      <c r="G433" s="137"/>
      <c r="H433" s="137"/>
      <c r="I433" s="137"/>
      <c r="J433" s="137"/>
      <c r="K433" s="137"/>
      <c r="L433" s="137"/>
      <c r="M433" s="137"/>
      <c r="N433" s="299"/>
      <c r="O433" s="299"/>
      <c r="P433" s="299"/>
      <c r="Q433" s="5"/>
      <c r="R433" s="5"/>
      <c r="S433" s="5"/>
      <c r="T433" s="5"/>
      <c r="U433" s="5"/>
      <c r="V433" s="5"/>
      <c r="W433" s="13"/>
      <c r="X433" s="13"/>
      <c r="Y433" s="13"/>
      <c r="Z433" s="13"/>
      <c r="AA433" s="13"/>
      <c r="AB433" s="13"/>
      <c r="AC433" s="13"/>
      <c r="AD433" s="13"/>
      <c r="AE433" s="13"/>
      <c r="AF433" s="13"/>
      <c r="AG433" s="13"/>
      <c r="AH433" s="13"/>
      <c r="AI433" s="13"/>
      <c r="AJ433" s="13"/>
      <c r="AK433" s="13"/>
      <c r="AL433" s="13"/>
      <c r="AM433" s="13"/>
      <c r="AN433" s="13"/>
      <c r="AO433" s="13"/>
      <c r="AP433" s="13"/>
      <c r="AQ433" s="13"/>
      <c r="AR433" s="13"/>
      <c r="AS433" s="13"/>
      <c r="AT433" s="13"/>
      <c r="AU433" s="13"/>
      <c r="AV433" s="13"/>
      <c r="AW433" s="13"/>
      <c r="AX433" s="13"/>
      <c r="AY433" s="13"/>
      <c r="AZ433" s="13"/>
      <c r="BA433" s="13"/>
      <c r="BB433" s="13"/>
      <c r="BC433" s="13"/>
      <c r="BD433" s="13"/>
      <c r="BE433" s="13"/>
      <c r="BF433" s="13"/>
      <c r="BG433" s="13"/>
      <c r="BH433" s="13"/>
      <c r="BI433" s="13"/>
      <c r="BJ433" s="13"/>
      <c r="BK433" s="13"/>
      <c r="BL433" s="13"/>
      <c r="BM433" s="13"/>
      <c r="BN433" s="13"/>
      <c r="BO433" s="13"/>
      <c r="BP433" s="13"/>
      <c r="BQ433" s="13"/>
    </row>
    <row r="434" spans="1:69" ht="15.75" hidden="1" customHeight="1" x14ac:dyDescent="0.2">
      <c r="A434" s="13"/>
      <c r="B434" s="5"/>
      <c r="C434" s="198"/>
      <c r="D434" s="198"/>
      <c r="E434" s="198"/>
      <c r="F434" s="198"/>
      <c r="G434" s="137"/>
      <c r="H434" s="137"/>
      <c r="I434" s="137"/>
      <c r="J434" s="137"/>
      <c r="K434" s="137"/>
      <c r="L434" s="137"/>
      <c r="M434" s="137"/>
      <c r="N434" s="299"/>
      <c r="O434" s="299"/>
      <c r="P434" s="299"/>
      <c r="Q434" s="5"/>
      <c r="R434" s="5"/>
      <c r="S434" s="5"/>
      <c r="T434" s="5"/>
      <c r="U434" s="5"/>
      <c r="V434" s="5"/>
      <c r="W434" s="13"/>
      <c r="X434" s="13"/>
      <c r="Y434" s="13"/>
      <c r="Z434" s="13"/>
      <c r="AA434" s="13"/>
      <c r="AB434" s="13"/>
      <c r="AC434" s="13"/>
      <c r="AD434" s="13"/>
      <c r="AE434" s="13"/>
      <c r="AF434" s="13"/>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Q434" s="13"/>
    </row>
    <row r="435" spans="1:69" ht="15.75" hidden="1" customHeight="1" x14ac:dyDescent="0.2">
      <c r="A435" s="13"/>
      <c r="B435" s="5"/>
      <c r="C435" s="198"/>
      <c r="D435" s="198"/>
      <c r="E435" s="198"/>
      <c r="F435" s="198"/>
      <c r="G435" s="137"/>
      <c r="H435" s="137"/>
      <c r="I435" s="137"/>
      <c r="J435" s="137"/>
      <c r="K435" s="137"/>
      <c r="L435" s="137"/>
      <c r="M435" s="137"/>
      <c r="N435" s="299"/>
      <c r="O435" s="299"/>
      <c r="P435" s="299"/>
      <c r="Q435" s="5"/>
      <c r="R435" s="5"/>
      <c r="S435" s="5"/>
      <c r="T435" s="5"/>
      <c r="U435" s="5"/>
      <c r="V435" s="5"/>
      <c r="W435" s="13"/>
      <c r="X435" s="13"/>
      <c r="Y435" s="13"/>
      <c r="Z435" s="13"/>
      <c r="AA435" s="13"/>
      <c r="AB435" s="13"/>
      <c r="AC435" s="13"/>
      <c r="AD435" s="13"/>
      <c r="AE435" s="13"/>
      <c r="AF435" s="13"/>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Q435" s="13"/>
    </row>
    <row r="436" spans="1:69" ht="15.75" hidden="1" customHeight="1" x14ac:dyDescent="0.2">
      <c r="A436" s="13"/>
      <c r="B436" s="5"/>
      <c r="C436" s="198"/>
      <c r="D436" s="198"/>
      <c r="E436" s="198"/>
      <c r="F436" s="198"/>
      <c r="G436" s="137"/>
      <c r="H436" s="137"/>
      <c r="I436" s="137"/>
      <c r="J436" s="137"/>
      <c r="K436" s="137"/>
      <c r="L436" s="137"/>
      <c r="M436" s="137"/>
      <c r="N436" s="299"/>
      <c r="O436" s="299"/>
      <c r="P436" s="299"/>
      <c r="Q436" s="5"/>
      <c r="R436" s="5"/>
      <c r="S436" s="5"/>
      <c r="T436" s="5"/>
      <c r="U436" s="5"/>
      <c r="V436" s="5"/>
      <c r="W436" s="13"/>
      <c r="X436" s="13"/>
      <c r="Y436" s="13"/>
      <c r="Z436" s="13"/>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BQ436" s="13"/>
    </row>
    <row r="437" spans="1:69" ht="15.75" hidden="1" customHeight="1" x14ac:dyDescent="0.2">
      <c r="A437" s="13"/>
      <c r="B437" s="5"/>
      <c r="C437" s="198"/>
      <c r="D437" s="198"/>
      <c r="E437" s="198"/>
      <c r="F437" s="198"/>
      <c r="G437" s="137"/>
      <c r="H437" s="137"/>
      <c r="I437" s="137"/>
      <c r="J437" s="137"/>
      <c r="K437" s="137"/>
      <c r="L437" s="137"/>
      <c r="M437" s="137"/>
      <c r="N437" s="299"/>
      <c r="O437" s="299"/>
      <c r="P437" s="299"/>
      <c r="Q437" s="5"/>
      <c r="R437" s="5"/>
      <c r="S437" s="5"/>
      <c r="T437" s="5"/>
      <c r="U437" s="5"/>
      <c r="V437" s="5"/>
      <c r="W437" s="13"/>
      <c r="X437" s="13"/>
      <c r="Y437" s="13"/>
      <c r="Z437" s="13"/>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BQ437" s="13"/>
    </row>
    <row r="438" spans="1:69" ht="15.75" hidden="1" customHeight="1" x14ac:dyDescent="0.2">
      <c r="A438" s="13"/>
      <c r="B438" s="5"/>
      <c r="C438" s="198"/>
      <c r="D438" s="198"/>
      <c r="E438" s="198"/>
      <c r="F438" s="198"/>
      <c r="G438" s="137"/>
      <c r="H438" s="137"/>
      <c r="I438" s="137"/>
      <c r="J438" s="137"/>
      <c r="K438" s="137"/>
      <c r="L438" s="137"/>
      <c r="M438" s="137"/>
      <c r="N438" s="299"/>
      <c r="O438" s="299"/>
      <c r="P438" s="299"/>
      <c r="Q438" s="5"/>
      <c r="R438" s="5"/>
      <c r="S438" s="5"/>
      <c r="T438" s="5"/>
      <c r="U438" s="5"/>
      <c r="V438" s="5"/>
      <c r="W438" s="13"/>
      <c r="X438" s="13"/>
      <c r="Y438" s="13"/>
      <c r="Z438" s="13"/>
      <c r="AA438" s="13"/>
      <c r="AB438" s="13"/>
      <c r="AC438" s="13"/>
      <c r="AD438" s="13"/>
      <c r="AE438" s="13"/>
      <c r="AF438" s="13"/>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3"/>
      <c r="BH438" s="13"/>
      <c r="BI438" s="13"/>
      <c r="BJ438" s="13"/>
      <c r="BK438" s="13"/>
      <c r="BL438" s="13"/>
      <c r="BM438" s="13"/>
      <c r="BN438" s="13"/>
      <c r="BO438" s="13"/>
      <c r="BP438" s="13"/>
      <c r="BQ438" s="13"/>
    </row>
    <row r="439" spans="1:69" ht="15.75" hidden="1" customHeight="1" x14ac:dyDescent="0.2">
      <c r="A439" s="13"/>
      <c r="B439" s="5"/>
      <c r="C439" s="198"/>
      <c r="D439" s="198"/>
      <c r="E439" s="198"/>
      <c r="F439" s="198"/>
      <c r="G439" s="137"/>
      <c r="H439" s="137"/>
      <c r="I439" s="137"/>
      <c r="J439" s="137"/>
      <c r="K439" s="137"/>
      <c r="L439" s="137"/>
      <c r="M439" s="137"/>
      <c r="N439" s="299"/>
      <c r="O439" s="299"/>
      <c r="P439" s="299"/>
      <c r="Q439" s="5"/>
      <c r="R439" s="5"/>
      <c r="S439" s="5"/>
      <c r="T439" s="5"/>
      <c r="U439" s="5"/>
      <c r="V439" s="5"/>
      <c r="W439" s="13"/>
      <c r="X439" s="13"/>
      <c r="Y439" s="13"/>
      <c r="Z439" s="13"/>
      <c r="AA439" s="13"/>
      <c r="AB439" s="13"/>
      <c r="AC439" s="13"/>
      <c r="AD439" s="13"/>
      <c r="AE439" s="13"/>
      <c r="AF439" s="13"/>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Q439" s="13"/>
    </row>
    <row r="440" spans="1:69" ht="15.75" hidden="1" customHeight="1" x14ac:dyDescent="0.2">
      <c r="A440" s="13"/>
      <c r="B440" s="5"/>
      <c r="C440" s="198"/>
      <c r="D440" s="198"/>
      <c r="E440" s="198"/>
      <c r="F440" s="198"/>
      <c r="G440" s="137"/>
      <c r="H440" s="137"/>
      <c r="I440" s="137"/>
      <c r="J440" s="137"/>
      <c r="K440" s="137"/>
      <c r="L440" s="137"/>
      <c r="M440" s="137"/>
      <c r="N440" s="299"/>
      <c r="O440" s="299"/>
      <c r="P440" s="299"/>
      <c r="Q440" s="5"/>
      <c r="R440" s="5"/>
      <c r="S440" s="5"/>
      <c r="T440" s="5"/>
      <c r="U440" s="5"/>
      <c r="V440" s="5"/>
      <c r="W440" s="13"/>
      <c r="X440" s="13"/>
      <c r="Y440" s="13"/>
      <c r="Z440" s="13"/>
      <c r="AA440" s="13"/>
      <c r="AB440" s="13"/>
      <c r="AC440" s="13"/>
      <c r="AD440" s="13"/>
      <c r="AE440" s="13"/>
      <c r="AF440" s="13"/>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BQ440" s="13"/>
    </row>
    <row r="441" spans="1:69" ht="15.75" hidden="1" customHeight="1" x14ac:dyDescent="0.2">
      <c r="A441" s="13"/>
      <c r="B441" s="5"/>
      <c r="C441" s="198"/>
      <c r="D441" s="198"/>
      <c r="E441" s="198"/>
      <c r="F441" s="198"/>
      <c r="G441" s="137"/>
      <c r="H441" s="137"/>
      <c r="I441" s="137"/>
      <c r="J441" s="137"/>
      <c r="K441" s="137"/>
      <c r="L441" s="137"/>
      <c r="M441" s="137"/>
      <c r="N441" s="299"/>
      <c r="O441" s="299"/>
      <c r="P441" s="299"/>
      <c r="Q441" s="5"/>
      <c r="R441" s="5"/>
      <c r="S441" s="5"/>
      <c r="T441" s="5"/>
      <c r="U441" s="5"/>
      <c r="V441" s="5"/>
      <c r="W441" s="13"/>
      <c r="X441" s="13"/>
      <c r="Y441" s="13"/>
      <c r="Z441" s="13"/>
      <c r="AA441" s="13"/>
      <c r="AB441" s="13"/>
      <c r="AC441" s="13"/>
      <c r="AD441" s="13"/>
      <c r="AE441" s="13"/>
      <c r="AF441" s="13"/>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c r="BL441" s="13"/>
      <c r="BM441" s="13"/>
      <c r="BN441" s="13"/>
      <c r="BO441" s="13"/>
      <c r="BP441" s="13"/>
      <c r="BQ441" s="13"/>
    </row>
    <row r="442" spans="1:69" ht="15.75" hidden="1" customHeight="1" x14ac:dyDescent="0.2">
      <c r="A442" s="13"/>
      <c r="B442" s="5"/>
      <c r="C442" s="198"/>
      <c r="D442" s="198"/>
      <c r="E442" s="198"/>
      <c r="F442" s="198"/>
      <c r="G442" s="137"/>
      <c r="H442" s="137"/>
      <c r="I442" s="137"/>
      <c r="J442" s="137"/>
      <c r="K442" s="137"/>
      <c r="L442" s="137"/>
      <c r="M442" s="137"/>
      <c r="N442" s="299"/>
      <c r="O442" s="299"/>
      <c r="P442" s="299"/>
      <c r="Q442" s="5"/>
      <c r="R442" s="5"/>
      <c r="S442" s="5"/>
      <c r="T442" s="5"/>
      <c r="U442" s="5"/>
      <c r="V442" s="5"/>
      <c r="W442" s="13"/>
      <c r="X442" s="13"/>
      <c r="Y442" s="13"/>
      <c r="Z442" s="13"/>
      <c r="AA442" s="13"/>
      <c r="AB442" s="13"/>
      <c r="AC442" s="13"/>
      <c r="AD442" s="13"/>
      <c r="AE442" s="13"/>
      <c r="AF442" s="13"/>
      <c r="AG442" s="13"/>
      <c r="AH442" s="13"/>
      <c r="AI442" s="13"/>
      <c r="AJ442" s="13"/>
      <c r="AK442" s="13"/>
      <c r="AL442" s="13"/>
      <c r="AM442" s="13"/>
      <c r="AN442" s="13"/>
      <c r="AO442" s="13"/>
      <c r="AP442" s="13"/>
      <c r="AQ442" s="13"/>
      <c r="AR442" s="13"/>
      <c r="AS442" s="13"/>
      <c r="AT442" s="13"/>
      <c r="AU442" s="13"/>
      <c r="AV442" s="13"/>
      <c r="AW442" s="13"/>
      <c r="AX442" s="13"/>
      <c r="AY442" s="13"/>
      <c r="AZ442" s="13"/>
      <c r="BA442" s="13"/>
      <c r="BB442" s="13"/>
      <c r="BC442" s="13"/>
      <c r="BD442" s="13"/>
      <c r="BE442" s="13"/>
      <c r="BF442" s="13"/>
      <c r="BG442" s="13"/>
      <c r="BH442" s="13"/>
      <c r="BI442" s="13"/>
      <c r="BJ442" s="13"/>
      <c r="BK442" s="13"/>
      <c r="BL442" s="13"/>
      <c r="BM442" s="13"/>
      <c r="BN442" s="13"/>
      <c r="BO442" s="13"/>
      <c r="BP442" s="13"/>
      <c r="BQ442" s="13"/>
    </row>
    <row r="443" spans="1:69" ht="15.75" hidden="1" customHeight="1" x14ac:dyDescent="0.2">
      <c r="A443" s="13"/>
      <c r="B443" s="5"/>
      <c r="C443" s="198"/>
      <c r="D443" s="198"/>
      <c r="E443" s="198"/>
      <c r="F443" s="198"/>
      <c r="G443" s="137"/>
      <c r="H443" s="137"/>
      <c r="I443" s="137"/>
      <c r="J443" s="137"/>
      <c r="K443" s="137"/>
      <c r="L443" s="137"/>
      <c r="M443" s="137"/>
      <c r="N443" s="299"/>
      <c r="O443" s="299"/>
      <c r="P443" s="299"/>
      <c r="Q443" s="5"/>
      <c r="R443" s="5"/>
      <c r="S443" s="5"/>
      <c r="T443" s="5"/>
      <c r="U443" s="5"/>
      <c r="V443" s="5"/>
      <c r="W443" s="13"/>
      <c r="X443" s="13"/>
      <c r="Y443" s="13"/>
      <c r="Z443" s="13"/>
      <c r="AA443" s="13"/>
      <c r="AB443" s="13"/>
      <c r="AC443" s="13"/>
      <c r="AD443" s="13"/>
      <c r="AE443" s="13"/>
      <c r="AF443" s="13"/>
      <c r="AG443" s="13"/>
      <c r="AH443" s="13"/>
      <c r="AI443" s="13"/>
      <c r="AJ443" s="13"/>
      <c r="AK443" s="13"/>
      <c r="AL443" s="13"/>
      <c r="AM443" s="13"/>
      <c r="AN443" s="13"/>
      <c r="AO443" s="13"/>
      <c r="AP443" s="13"/>
      <c r="AQ443" s="13"/>
      <c r="AR443" s="13"/>
      <c r="AS443" s="13"/>
      <c r="AT443" s="13"/>
      <c r="AU443" s="13"/>
      <c r="AV443" s="13"/>
      <c r="AW443" s="13"/>
      <c r="AX443" s="13"/>
      <c r="AY443" s="13"/>
      <c r="AZ443" s="13"/>
      <c r="BA443" s="13"/>
      <c r="BB443" s="13"/>
      <c r="BC443" s="13"/>
      <c r="BD443" s="13"/>
      <c r="BE443" s="13"/>
      <c r="BF443" s="13"/>
      <c r="BG443" s="13"/>
      <c r="BH443" s="13"/>
      <c r="BI443" s="13"/>
      <c r="BJ443" s="13"/>
      <c r="BK443" s="13"/>
      <c r="BL443" s="13"/>
      <c r="BM443" s="13"/>
      <c r="BN443" s="13"/>
      <c r="BO443" s="13"/>
      <c r="BP443" s="13"/>
      <c r="BQ443" s="13"/>
    </row>
    <row r="444" spans="1:69" ht="15.75" hidden="1" customHeight="1" x14ac:dyDescent="0.2">
      <c r="A444" s="13"/>
      <c r="B444" s="5"/>
      <c r="C444" s="198"/>
      <c r="D444" s="198"/>
      <c r="E444" s="198"/>
      <c r="F444" s="198"/>
      <c r="G444" s="137"/>
      <c r="H444" s="137"/>
      <c r="I444" s="137"/>
      <c r="J444" s="137"/>
      <c r="K444" s="137"/>
      <c r="L444" s="137"/>
      <c r="M444" s="137"/>
      <c r="N444" s="299"/>
      <c r="O444" s="299"/>
      <c r="P444" s="299"/>
      <c r="Q444" s="5"/>
      <c r="R444" s="5"/>
      <c r="S444" s="5"/>
      <c r="T444" s="5"/>
      <c r="U444" s="5"/>
      <c r="V444" s="5"/>
      <c r="W444" s="13"/>
      <c r="X444" s="13"/>
      <c r="Y444" s="13"/>
      <c r="Z444" s="13"/>
      <c r="AA444" s="13"/>
      <c r="AB444" s="13"/>
      <c r="AC444" s="13"/>
      <c r="AD444" s="13"/>
      <c r="AE444" s="13"/>
      <c r="AF444" s="13"/>
      <c r="AG444" s="13"/>
      <c r="AH444" s="13"/>
      <c r="AI444" s="13"/>
      <c r="AJ444" s="13"/>
      <c r="AK444" s="13"/>
      <c r="AL444" s="13"/>
      <c r="AM444" s="13"/>
      <c r="AN444" s="13"/>
      <c r="AO444" s="13"/>
      <c r="AP444" s="13"/>
      <c r="AQ444" s="13"/>
      <c r="AR444" s="13"/>
      <c r="AS444" s="13"/>
      <c r="AT444" s="13"/>
      <c r="AU444" s="13"/>
      <c r="AV444" s="13"/>
      <c r="AW444" s="13"/>
      <c r="AX444" s="13"/>
      <c r="AY444" s="13"/>
      <c r="AZ444" s="13"/>
      <c r="BA444" s="13"/>
      <c r="BB444" s="13"/>
      <c r="BC444" s="13"/>
      <c r="BD444" s="13"/>
      <c r="BE444" s="13"/>
      <c r="BF444" s="13"/>
      <c r="BG444" s="13"/>
      <c r="BH444" s="13"/>
      <c r="BI444" s="13"/>
      <c r="BJ444" s="13"/>
      <c r="BK444" s="13"/>
      <c r="BL444" s="13"/>
      <c r="BM444" s="13"/>
      <c r="BN444" s="13"/>
      <c r="BO444" s="13"/>
      <c r="BP444" s="13"/>
      <c r="BQ444" s="13"/>
    </row>
    <row r="445" spans="1:69" ht="15.75" hidden="1" customHeight="1" x14ac:dyDescent="0.2">
      <c r="A445" s="13"/>
      <c r="B445" s="5"/>
      <c r="C445" s="198"/>
      <c r="D445" s="198"/>
      <c r="E445" s="198"/>
      <c r="F445" s="198"/>
      <c r="G445" s="137"/>
      <c r="H445" s="137"/>
      <c r="I445" s="137"/>
      <c r="J445" s="137"/>
      <c r="K445" s="137"/>
      <c r="L445" s="137"/>
      <c r="M445" s="137"/>
      <c r="N445" s="299"/>
      <c r="O445" s="299"/>
      <c r="P445" s="299"/>
      <c r="Q445" s="5"/>
      <c r="R445" s="5"/>
      <c r="S445" s="5"/>
      <c r="T445" s="5"/>
      <c r="U445" s="5"/>
      <c r="V445" s="5"/>
      <c r="W445" s="13"/>
      <c r="X445" s="13"/>
      <c r="Y445" s="13"/>
      <c r="Z445" s="13"/>
      <c r="AA445" s="13"/>
      <c r="AB445" s="13"/>
      <c r="AC445" s="13"/>
      <c r="AD445" s="13"/>
      <c r="AE445" s="13"/>
      <c r="AF445" s="13"/>
      <c r="AG445" s="13"/>
      <c r="AH445" s="13"/>
      <c r="AI445" s="13"/>
      <c r="AJ445" s="13"/>
      <c r="AK445" s="13"/>
      <c r="AL445" s="13"/>
      <c r="AM445" s="13"/>
      <c r="AN445" s="13"/>
      <c r="AO445" s="13"/>
      <c r="AP445" s="13"/>
      <c r="AQ445" s="13"/>
      <c r="AR445" s="13"/>
      <c r="AS445" s="13"/>
      <c r="AT445" s="13"/>
      <c r="AU445" s="13"/>
      <c r="AV445" s="13"/>
      <c r="AW445" s="13"/>
      <c r="AX445" s="13"/>
      <c r="AY445" s="13"/>
      <c r="AZ445" s="13"/>
      <c r="BA445" s="13"/>
      <c r="BB445" s="13"/>
      <c r="BC445" s="13"/>
      <c r="BD445" s="13"/>
      <c r="BE445" s="13"/>
      <c r="BF445" s="13"/>
      <c r="BG445" s="13"/>
      <c r="BH445" s="13"/>
      <c r="BI445" s="13"/>
      <c r="BJ445" s="13"/>
      <c r="BK445" s="13"/>
      <c r="BL445" s="13"/>
      <c r="BM445" s="13"/>
      <c r="BN445" s="13"/>
      <c r="BO445" s="13"/>
      <c r="BP445" s="13"/>
      <c r="BQ445" s="13"/>
    </row>
    <row r="446" spans="1:69" ht="15.75" hidden="1" customHeight="1" x14ac:dyDescent="0.2">
      <c r="A446" s="13"/>
      <c r="B446" s="5"/>
      <c r="C446" s="198"/>
      <c r="D446" s="198"/>
      <c r="E446" s="198"/>
      <c r="F446" s="198"/>
      <c r="G446" s="137"/>
      <c r="H446" s="137"/>
      <c r="I446" s="137"/>
      <c r="J446" s="137"/>
      <c r="K446" s="137"/>
      <c r="L446" s="137"/>
      <c r="M446" s="137"/>
      <c r="N446" s="299"/>
      <c r="O446" s="299"/>
      <c r="P446" s="299"/>
      <c r="Q446" s="5"/>
      <c r="R446" s="5"/>
      <c r="S446" s="5"/>
      <c r="T446" s="5"/>
      <c r="U446" s="5"/>
      <c r="V446" s="5"/>
      <c r="W446" s="13"/>
      <c r="X446" s="13"/>
      <c r="Y446" s="13"/>
      <c r="Z446" s="13"/>
      <c r="AA446" s="13"/>
      <c r="AB446" s="13"/>
      <c r="AC446" s="13"/>
      <c r="AD446" s="13"/>
      <c r="AE446" s="13"/>
      <c r="AF446" s="13"/>
      <c r="AG446" s="13"/>
      <c r="AH446" s="13"/>
      <c r="AI446" s="13"/>
      <c r="AJ446" s="13"/>
      <c r="AK446" s="13"/>
      <c r="AL446" s="13"/>
      <c r="AM446" s="13"/>
      <c r="AN446" s="13"/>
      <c r="AO446" s="13"/>
      <c r="AP446" s="13"/>
      <c r="AQ446" s="13"/>
      <c r="AR446" s="13"/>
      <c r="AS446" s="13"/>
      <c r="AT446" s="13"/>
      <c r="AU446" s="13"/>
      <c r="AV446" s="13"/>
      <c r="AW446" s="13"/>
      <c r="AX446" s="13"/>
      <c r="AY446" s="13"/>
      <c r="AZ446" s="13"/>
      <c r="BA446" s="13"/>
      <c r="BB446" s="13"/>
      <c r="BC446" s="13"/>
      <c r="BD446" s="13"/>
      <c r="BE446" s="13"/>
      <c r="BF446" s="13"/>
      <c r="BG446" s="13"/>
      <c r="BH446" s="13"/>
      <c r="BI446" s="13"/>
      <c r="BJ446" s="13"/>
      <c r="BK446" s="13"/>
      <c r="BL446" s="13"/>
      <c r="BM446" s="13"/>
      <c r="BN446" s="13"/>
      <c r="BO446" s="13"/>
      <c r="BP446" s="13"/>
      <c r="BQ446" s="13"/>
    </row>
    <row r="447" spans="1:69" ht="15.75" hidden="1" customHeight="1" x14ac:dyDescent="0.2">
      <c r="A447" s="13"/>
      <c r="B447" s="5"/>
      <c r="C447" s="198"/>
      <c r="D447" s="198"/>
      <c r="E447" s="198"/>
      <c r="F447" s="198"/>
      <c r="G447" s="137"/>
      <c r="H447" s="137"/>
      <c r="I447" s="137"/>
      <c r="J447" s="137"/>
      <c r="K447" s="137"/>
      <c r="L447" s="137"/>
      <c r="M447" s="137"/>
      <c r="N447" s="299"/>
      <c r="O447" s="299"/>
      <c r="P447" s="299"/>
      <c r="Q447" s="5"/>
      <c r="R447" s="5"/>
      <c r="S447" s="5"/>
      <c r="T447" s="5"/>
      <c r="U447" s="5"/>
      <c r="V447" s="5"/>
      <c r="W447" s="13"/>
      <c r="X447" s="13"/>
      <c r="Y447" s="13"/>
      <c r="Z447" s="13"/>
      <c r="AA447" s="13"/>
      <c r="AB447" s="13"/>
      <c r="AC447" s="13"/>
      <c r="AD447" s="13"/>
      <c r="AE447" s="13"/>
      <c r="AF447" s="13"/>
      <c r="AG447" s="13"/>
      <c r="AH447" s="13"/>
      <c r="AI447" s="13"/>
      <c r="AJ447" s="13"/>
      <c r="AK447" s="13"/>
      <c r="AL447" s="13"/>
      <c r="AM447" s="13"/>
      <c r="AN447" s="13"/>
      <c r="AO447" s="13"/>
      <c r="AP447" s="13"/>
      <c r="AQ447" s="13"/>
      <c r="AR447" s="13"/>
      <c r="AS447" s="13"/>
      <c r="AT447" s="13"/>
      <c r="AU447" s="13"/>
      <c r="AV447" s="13"/>
      <c r="AW447" s="13"/>
      <c r="AX447" s="13"/>
      <c r="AY447" s="13"/>
      <c r="AZ447" s="13"/>
      <c r="BA447" s="13"/>
      <c r="BB447" s="13"/>
      <c r="BC447" s="13"/>
      <c r="BD447" s="13"/>
      <c r="BE447" s="13"/>
      <c r="BF447" s="13"/>
      <c r="BG447" s="13"/>
      <c r="BH447" s="13"/>
      <c r="BI447" s="13"/>
      <c r="BJ447" s="13"/>
      <c r="BK447" s="13"/>
      <c r="BL447" s="13"/>
      <c r="BM447" s="13"/>
      <c r="BN447" s="13"/>
      <c r="BO447" s="13"/>
      <c r="BP447" s="13"/>
      <c r="BQ447" s="13"/>
    </row>
    <row r="448" spans="1:69" ht="15.75" hidden="1" customHeight="1" x14ac:dyDescent="0.2">
      <c r="A448" s="13"/>
      <c r="B448" s="5"/>
      <c r="C448" s="198"/>
      <c r="D448" s="198"/>
      <c r="E448" s="198"/>
      <c r="F448" s="198"/>
      <c r="G448" s="137"/>
      <c r="H448" s="137"/>
      <c r="I448" s="137"/>
      <c r="J448" s="137"/>
      <c r="K448" s="137"/>
      <c r="L448" s="137"/>
      <c r="M448" s="137"/>
      <c r="N448" s="299"/>
      <c r="O448" s="299"/>
      <c r="P448" s="299"/>
      <c r="Q448" s="5"/>
      <c r="R448" s="5"/>
      <c r="S448" s="5"/>
      <c r="T448" s="5"/>
      <c r="U448" s="5"/>
      <c r="V448" s="5"/>
      <c r="W448" s="13"/>
      <c r="X448" s="13"/>
      <c r="Y448" s="13"/>
      <c r="Z448" s="13"/>
      <c r="AA448" s="13"/>
      <c r="AB448" s="13"/>
      <c r="AC448" s="13"/>
      <c r="AD448" s="13"/>
      <c r="AE448" s="13"/>
      <c r="AF448" s="13"/>
      <c r="AG448" s="13"/>
      <c r="AH448" s="13"/>
      <c r="AI448" s="13"/>
      <c r="AJ448" s="13"/>
      <c r="AK448" s="13"/>
      <c r="AL448" s="13"/>
      <c r="AM448" s="13"/>
      <c r="AN448" s="13"/>
      <c r="AO448" s="13"/>
      <c r="AP448" s="13"/>
      <c r="AQ448" s="13"/>
      <c r="AR448" s="13"/>
      <c r="AS448" s="13"/>
      <c r="AT448" s="13"/>
      <c r="AU448" s="13"/>
      <c r="AV448" s="13"/>
      <c r="AW448" s="13"/>
      <c r="AX448" s="13"/>
      <c r="AY448" s="13"/>
      <c r="AZ448" s="13"/>
      <c r="BA448" s="13"/>
      <c r="BB448" s="13"/>
      <c r="BC448" s="13"/>
      <c r="BD448" s="13"/>
      <c r="BE448" s="13"/>
      <c r="BF448" s="13"/>
      <c r="BG448" s="13"/>
      <c r="BH448" s="13"/>
      <c r="BI448" s="13"/>
      <c r="BJ448" s="13"/>
      <c r="BK448" s="13"/>
      <c r="BL448" s="13"/>
      <c r="BM448" s="13"/>
      <c r="BN448" s="13"/>
      <c r="BO448" s="13"/>
      <c r="BP448" s="13"/>
      <c r="BQ448" s="13"/>
    </row>
    <row r="449" spans="1:69" ht="15.75" hidden="1" customHeight="1" x14ac:dyDescent="0.2">
      <c r="A449" s="13"/>
      <c r="B449" s="5"/>
      <c r="C449" s="198"/>
      <c r="D449" s="198"/>
      <c r="E449" s="198"/>
      <c r="F449" s="198"/>
      <c r="G449" s="137"/>
      <c r="H449" s="137"/>
      <c r="I449" s="137"/>
      <c r="J449" s="137"/>
      <c r="K449" s="137"/>
      <c r="L449" s="137"/>
      <c r="M449" s="137"/>
      <c r="N449" s="299"/>
      <c r="O449" s="299"/>
      <c r="P449" s="299"/>
      <c r="Q449" s="5"/>
      <c r="R449" s="5"/>
      <c r="S449" s="5"/>
      <c r="T449" s="5"/>
      <c r="U449" s="5"/>
      <c r="V449" s="5"/>
      <c r="W449" s="13"/>
      <c r="X449" s="13"/>
      <c r="Y449" s="13"/>
      <c r="Z449" s="13"/>
      <c r="AA449" s="13"/>
      <c r="AB449" s="13"/>
      <c r="AC449" s="13"/>
      <c r="AD449" s="13"/>
      <c r="AE449" s="13"/>
      <c r="AF449" s="13"/>
      <c r="AG449" s="13"/>
      <c r="AH449" s="13"/>
      <c r="AI449" s="13"/>
      <c r="AJ449" s="13"/>
      <c r="AK449" s="13"/>
      <c r="AL449" s="13"/>
      <c r="AM449" s="13"/>
      <c r="AN449" s="13"/>
      <c r="AO449" s="13"/>
      <c r="AP449" s="13"/>
      <c r="AQ449" s="13"/>
      <c r="AR449" s="13"/>
      <c r="AS449" s="13"/>
      <c r="AT449" s="13"/>
      <c r="AU449" s="13"/>
      <c r="AV449" s="13"/>
      <c r="AW449" s="13"/>
      <c r="AX449" s="13"/>
      <c r="AY449" s="13"/>
      <c r="AZ449" s="13"/>
      <c r="BA449" s="13"/>
      <c r="BB449" s="13"/>
      <c r="BC449" s="13"/>
      <c r="BD449" s="13"/>
      <c r="BE449" s="13"/>
      <c r="BF449" s="13"/>
      <c r="BG449" s="13"/>
      <c r="BH449" s="13"/>
      <c r="BI449" s="13"/>
      <c r="BJ449" s="13"/>
      <c r="BK449" s="13"/>
      <c r="BL449" s="13"/>
      <c r="BM449" s="13"/>
      <c r="BN449" s="13"/>
      <c r="BO449" s="13"/>
      <c r="BP449" s="13"/>
      <c r="BQ449" s="13"/>
    </row>
    <row r="450" spans="1:69" ht="15.75" hidden="1" customHeight="1" x14ac:dyDescent="0.2">
      <c r="A450" s="13"/>
      <c r="B450" s="5"/>
      <c r="C450" s="198"/>
      <c r="D450" s="198"/>
      <c r="E450" s="198"/>
      <c r="F450" s="198"/>
      <c r="G450" s="137"/>
      <c r="H450" s="137"/>
      <c r="I450" s="137"/>
      <c r="J450" s="137"/>
      <c r="K450" s="137"/>
      <c r="L450" s="137"/>
      <c r="M450" s="137"/>
      <c r="N450" s="299"/>
      <c r="O450" s="299"/>
      <c r="P450" s="299"/>
      <c r="Q450" s="5"/>
      <c r="R450" s="5"/>
      <c r="S450" s="5"/>
      <c r="T450" s="5"/>
      <c r="U450" s="5"/>
      <c r="V450" s="5"/>
      <c r="W450" s="13"/>
      <c r="X450" s="13"/>
      <c r="Y450" s="13"/>
      <c r="Z450" s="13"/>
      <c r="AA450" s="13"/>
      <c r="AB450" s="13"/>
      <c r="AC450" s="13"/>
      <c r="AD450" s="13"/>
      <c r="AE450" s="13"/>
      <c r="AF450" s="13"/>
      <c r="AG450" s="13"/>
      <c r="AH450" s="13"/>
      <c r="AI450" s="13"/>
      <c r="AJ450" s="13"/>
      <c r="AK450" s="13"/>
      <c r="AL450" s="13"/>
      <c r="AM450" s="13"/>
      <c r="AN450" s="13"/>
      <c r="AO450" s="13"/>
      <c r="AP450" s="13"/>
      <c r="AQ450" s="13"/>
      <c r="AR450" s="13"/>
      <c r="AS450" s="13"/>
      <c r="AT450" s="13"/>
      <c r="AU450" s="13"/>
      <c r="AV450" s="13"/>
      <c r="AW450" s="13"/>
      <c r="AX450" s="13"/>
      <c r="AY450" s="13"/>
      <c r="AZ450" s="13"/>
      <c r="BA450" s="13"/>
      <c r="BB450" s="13"/>
      <c r="BC450" s="13"/>
      <c r="BD450" s="13"/>
      <c r="BE450" s="13"/>
      <c r="BF450" s="13"/>
      <c r="BG450" s="13"/>
      <c r="BH450" s="13"/>
      <c r="BI450" s="13"/>
      <c r="BJ450" s="13"/>
      <c r="BK450" s="13"/>
      <c r="BL450" s="13"/>
      <c r="BM450" s="13"/>
      <c r="BN450" s="13"/>
      <c r="BO450" s="13"/>
      <c r="BP450" s="13"/>
      <c r="BQ450" s="13"/>
    </row>
    <row r="451" spans="1:69" ht="15.75" hidden="1" customHeight="1" x14ac:dyDescent="0.2">
      <c r="A451" s="13"/>
      <c r="B451" s="5"/>
      <c r="C451" s="198"/>
      <c r="D451" s="198"/>
      <c r="E451" s="198"/>
      <c r="F451" s="198"/>
      <c r="G451" s="137"/>
      <c r="H451" s="137"/>
      <c r="I451" s="137"/>
      <c r="J451" s="137"/>
      <c r="K451" s="137"/>
      <c r="L451" s="137"/>
      <c r="M451" s="137"/>
      <c r="N451" s="299"/>
      <c r="O451" s="299"/>
      <c r="P451" s="299"/>
      <c r="Q451" s="5"/>
      <c r="R451" s="5"/>
      <c r="S451" s="5"/>
      <c r="T451" s="5"/>
      <c r="U451" s="5"/>
      <c r="V451" s="5"/>
      <c r="W451" s="13"/>
      <c r="X451" s="13"/>
      <c r="Y451" s="13"/>
      <c r="Z451" s="13"/>
      <c r="AA451" s="13"/>
      <c r="AB451" s="13"/>
      <c r="AC451" s="13"/>
      <c r="AD451" s="13"/>
      <c r="AE451" s="13"/>
      <c r="AF451" s="13"/>
      <c r="AG451" s="13"/>
      <c r="AH451" s="13"/>
      <c r="AI451" s="13"/>
      <c r="AJ451" s="13"/>
      <c r="AK451" s="13"/>
      <c r="AL451" s="13"/>
      <c r="AM451" s="13"/>
      <c r="AN451" s="13"/>
      <c r="AO451" s="13"/>
      <c r="AP451" s="13"/>
      <c r="AQ451" s="13"/>
      <c r="AR451" s="13"/>
      <c r="AS451" s="13"/>
      <c r="AT451" s="13"/>
      <c r="AU451" s="13"/>
      <c r="AV451" s="13"/>
      <c r="AW451" s="13"/>
      <c r="AX451" s="13"/>
      <c r="AY451" s="13"/>
      <c r="AZ451" s="13"/>
      <c r="BA451" s="13"/>
      <c r="BB451" s="13"/>
      <c r="BC451" s="13"/>
      <c r="BD451" s="13"/>
      <c r="BE451" s="13"/>
      <c r="BF451" s="13"/>
      <c r="BG451" s="13"/>
      <c r="BH451" s="13"/>
      <c r="BI451" s="13"/>
      <c r="BJ451" s="13"/>
      <c r="BK451" s="13"/>
      <c r="BL451" s="13"/>
      <c r="BM451" s="13"/>
      <c r="BN451" s="13"/>
      <c r="BO451" s="13"/>
      <c r="BP451" s="13"/>
      <c r="BQ451" s="13"/>
    </row>
    <row r="452" spans="1:69" ht="15.75" hidden="1" customHeight="1" x14ac:dyDescent="0.2">
      <c r="A452" s="13"/>
      <c r="B452" s="5"/>
      <c r="C452" s="198"/>
      <c r="D452" s="198"/>
      <c r="E452" s="198"/>
      <c r="F452" s="198"/>
      <c r="G452" s="137"/>
      <c r="H452" s="137"/>
      <c r="I452" s="137"/>
      <c r="J452" s="137"/>
      <c r="K452" s="137"/>
      <c r="L452" s="137"/>
      <c r="M452" s="137"/>
      <c r="N452" s="299"/>
      <c r="O452" s="299"/>
      <c r="P452" s="299"/>
      <c r="Q452" s="5"/>
      <c r="R452" s="5"/>
      <c r="S452" s="5"/>
      <c r="T452" s="5"/>
      <c r="U452" s="5"/>
      <c r="V452" s="5"/>
      <c r="W452" s="13"/>
      <c r="X452" s="13"/>
      <c r="Y452" s="13"/>
      <c r="Z452" s="13"/>
      <c r="AA452" s="13"/>
      <c r="AB452" s="13"/>
      <c r="AC452" s="13"/>
      <c r="AD452" s="13"/>
      <c r="AE452" s="13"/>
      <c r="AF452" s="13"/>
      <c r="AG452" s="13"/>
      <c r="AH452" s="13"/>
      <c r="AI452" s="13"/>
      <c r="AJ452" s="13"/>
      <c r="AK452" s="13"/>
      <c r="AL452" s="13"/>
      <c r="AM452" s="13"/>
      <c r="AN452" s="13"/>
      <c r="AO452" s="13"/>
      <c r="AP452" s="13"/>
      <c r="AQ452" s="13"/>
      <c r="AR452" s="13"/>
      <c r="AS452" s="13"/>
      <c r="AT452" s="13"/>
      <c r="AU452" s="13"/>
      <c r="AV452" s="13"/>
      <c r="AW452" s="13"/>
      <c r="AX452" s="13"/>
      <c r="AY452" s="13"/>
      <c r="AZ452" s="13"/>
      <c r="BA452" s="13"/>
      <c r="BB452" s="13"/>
      <c r="BC452" s="13"/>
      <c r="BD452" s="13"/>
      <c r="BE452" s="13"/>
      <c r="BF452" s="13"/>
      <c r="BG452" s="13"/>
      <c r="BH452" s="13"/>
      <c r="BI452" s="13"/>
      <c r="BJ452" s="13"/>
      <c r="BK452" s="13"/>
      <c r="BL452" s="13"/>
      <c r="BM452" s="13"/>
      <c r="BN452" s="13"/>
      <c r="BO452" s="13"/>
      <c r="BP452" s="13"/>
      <c r="BQ452" s="13"/>
    </row>
    <row r="453" spans="1:69" ht="15.75" hidden="1" customHeight="1" x14ac:dyDescent="0.2">
      <c r="A453" s="13"/>
      <c r="B453" s="5"/>
      <c r="C453" s="198"/>
      <c r="D453" s="198"/>
      <c r="E453" s="198"/>
      <c r="F453" s="198"/>
      <c r="G453" s="137"/>
      <c r="H453" s="137"/>
      <c r="I453" s="137"/>
      <c r="J453" s="137"/>
      <c r="K453" s="137"/>
      <c r="L453" s="137"/>
      <c r="M453" s="137"/>
      <c r="N453" s="299"/>
      <c r="O453" s="299"/>
      <c r="P453" s="299"/>
      <c r="Q453" s="5"/>
      <c r="R453" s="5"/>
      <c r="S453" s="5"/>
      <c r="T453" s="5"/>
      <c r="U453" s="5"/>
      <c r="V453" s="5"/>
      <c r="W453" s="13"/>
      <c r="X453" s="13"/>
      <c r="Y453" s="13"/>
      <c r="Z453" s="13"/>
      <c r="AA453" s="13"/>
      <c r="AB453" s="13"/>
      <c r="AC453" s="13"/>
      <c r="AD453" s="13"/>
      <c r="AE453" s="13"/>
      <c r="AF453" s="13"/>
      <c r="AG453" s="13"/>
      <c r="AH453" s="13"/>
      <c r="AI453" s="13"/>
      <c r="AJ453" s="13"/>
      <c r="AK453" s="13"/>
      <c r="AL453" s="13"/>
      <c r="AM453" s="13"/>
      <c r="AN453" s="13"/>
      <c r="AO453" s="13"/>
      <c r="AP453" s="13"/>
      <c r="AQ453" s="13"/>
      <c r="AR453" s="13"/>
      <c r="AS453" s="13"/>
      <c r="AT453" s="13"/>
      <c r="AU453" s="13"/>
      <c r="AV453" s="13"/>
      <c r="AW453" s="13"/>
      <c r="AX453" s="13"/>
      <c r="AY453" s="13"/>
      <c r="AZ453" s="13"/>
      <c r="BA453" s="13"/>
      <c r="BB453" s="13"/>
      <c r="BC453" s="13"/>
      <c r="BD453" s="13"/>
      <c r="BE453" s="13"/>
      <c r="BF453" s="13"/>
      <c r="BG453" s="13"/>
      <c r="BH453" s="13"/>
      <c r="BI453" s="13"/>
      <c r="BJ453" s="13"/>
      <c r="BK453" s="13"/>
      <c r="BL453" s="13"/>
      <c r="BM453" s="13"/>
      <c r="BN453" s="13"/>
      <c r="BO453" s="13"/>
      <c r="BP453" s="13"/>
      <c r="BQ453" s="13"/>
    </row>
    <row r="454" spans="1:69" ht="15.75" hidden="1" customHeight="1" x14ac:dyDescent="0.2">
      <c r="A454" s="13"/>
      <c r="B454" s="5"/>
      <c r="C454" s="198"/>
      <c r="D454" s="198"/>
      <c r="E454" s="198"/>
      <c r="F454" s="198"/>
      <c r="G454" s="137"/>
      <c r="H454" s="137"/>
      <c r="I454" s="137"/>
      <c r="J454" s="137"/>
      <c r="K454" s="137"/>
      <c r="L454" s="137"/>
      <c r="M454" s="137"/>
      <c r="N454" s="299"/>
      <c r="O454" s="299"/>
      <c r="P454" s="299"/>
      <c r="Q454" s="5"/>
      <c r="R454" s="5"/>
      <c r="S454" s="5"/>
      <c r="T454" s="5"/>
      <c r="U454" s="5"/>
      <c r="V454" s="5"/>
      <c r="W454" s="13"/>
      <c r="X454" s="13"/>
      <c r="Y454" s="13"/>
      <c r="Z454" s="13"/>
      <c r="AA454" s="13"/>
      <c r="AB454" s="13"/>
      <c r="AC454" s="13"/>
      <c r="AD454" s="13"/>
      <c r="AE454" s="13"/>
      <c r="AF454" s="13"/>
      <c r="AG454" s="13"/>
      <c r="AH454" s="13"/>
      <c r="AI454" s="13"/>
      <c r="AJ454" s="13"/>
      <c r="AK454" s="13"/>
      <c r="AL454" s="13"/>
      <c r="AM454" s="13"/>
      <c r="AN454" s="13"/>
      <c r="AO454" s="13"/>
      <c r="AP454" s="13"/>
      <c r="AQ454" s="13"/>
      <c r="AR454" s="13"/>
      <c r="AS454" s="13"/>
      <c r="AT454" s="13"/>
      <c r="AU454" s="13"/>
      <c r="AV454" s="13"/>
      <c r="AW454" s="13"/>
      <c r="AX454" s="13"/>
      <c r="AY454" s="13"/>
      <c r="AZ454" s="13"/>
      <c r="BA454" s="13"/>
      <c r="BB454" s="13"/>
      <c r="BC454" s="13"/>
      <c r="BD454" s="13"/>
      <c r="BE454" s="13"/>
      <c r="BF454" s="13"/>
      <c r="BG454" s="13"/>
      <c r="BH454" s="13"/>
      <c r="BI454" s="13"/>
      <c r="BJ454" s="13"/>
      <c r="BK454" s="13"/>
      <c r="BL454" s="13"/>
      <c r="BM454" s="13"/>
      <c r="BN454" s="13"/>
      <c r="BO454" s="13"/>
      <c r="BP454" s="13"/>
      <c r="BQ454" s="13"/>
    </row>
    <row r="455" spans="1:69" ht="15.75" hidden="1" customHeight="1" x14ac:dyDescent="0.2">
      <c r="A455" s="13"/>
      <c r="B455" s="5"/>
      <c r="C455" s="198"/>
      <c r="D455" s="198"/>
      <c r="E455" s="198"/>
      <c r="F455" s="198"/>
      <c r="G455" s="137"/>
      <c r="H455" s="137"/>
      <c r="I455" s="137"/>
      <c r="J455" s="137"/>
      <c r="K455" s="137"/>
      <c r="L455" s="137"/>
      <c r="M455" s="137"/>
      <c r="N455" s="299"/>
      <c r="O455" s="299"/>
      <c r="P455" s="299"/>
      <c r="Q455" s="5"/>
      <c r="R455" s="5"/>
      <c r="S455" s="5"/>
      <c r="T455" s="5"/>
      <c r="U455" s="5"/>
      <c r="V455" s="5"/>
      <c r="W455" s="13"/>
      <c r="X455" s="13"/>
      <c r="Y455" s="13"/>
      <c r="Z455" s="13"/>
      <c r="AA455" s="13"/>
      <c r="AB455" s="13"/>
      <c r="AC455" s="13"/>
      <c r="AD455" s="13"/>
      <c r="AE455" s="13"/>
      <c r="AF455" s="13"/>
      <c r="AG455" s="13"/>
      <c r="AH455" s="13"/>
      <c r="AI455" s="13"/>
      <c r="AJ455" s="13"/>
      <c r="AK455" s="13"/>
      <c r="AL455" s="13"/>
      <c r="AM455" s="13"/>
      <c r="AN455" s="13"/>
      <c r="AO455" s="13"/>
      <c r="AP455" s="13"/>
      <c r="AQ455" s="13"/>
      <c r="AR455" s="13"/>
      <c r="AS455" s="13"/>
      <c r="AT455" s="13"/>
      <c r="AU455" s="13"/>
      <c r="AV455" s="13"/>
      <c r="AW455" s="13"/>
      <c r="AX455" s="13"/>
      <c r="AY455" s="13"/>
      <c r="AZ455" s="13"/>
      <c r="BA455" s="13"/>
      <c r="BB455" s="13"/>
      <c r="BC455" s="13"/>
      <c r="BD455" s="13"/>
      <c r="BE455" s="13"/>
      <c r="BF455" s="13"/>
      <c r="BG455" s="13"/>
      <c r="BH455" s="13"/>
      <c r="BI455" s="13"/>
      <c r="BJ455" s="13"/>
      <c r="BK455" s="13"/>
      <c r="BL455" s="13"/>
      <c r="BM455" s="13"/>
      <c r="BN455" s="13"/>
      <c r="BO455" s="13"/>
      <c r="BP455" s="13"/>
      <c r="BQ455" s="13"/>
    </row>
    <row r="456" spans="1:69" ht="15.75" hidden="1" customHeight="1" x14ac:dyDescent="0.2">
      <c r="A456" s="13"/>
      <c r="B456" s="5"/>
      <c r="C456" s="198"/>
      <c r="D456" s="198"/>
      <c r="E456" s="198"/>
      <c r="F456" s="198"/>
      <c r="G456" s="137"/>
      <c r="H456" s="137"/>
      <c r="I456" s="137"/>
      <c r="J456" s="137"/>
      <c r="K456" s="137"/>
      <c r="L456" s="137"/>
      <c r="M456" s="137"/>
      <c r="N456" s="299"/>
      <c r="O456" s="299"/>
      <c r="P456" s="299"/>
      <c r="Q456" s="5"/>
      <c r="R456" s="5"/>
      <c r="S456" s="5"/>
      <c r="T456" s="5"/>
      <c r="U456" s="5"/>
      <c r="V456" s="5"/>
      <c r="W456" s="13"/>
      <c r="X456" s="13"/>
      <c r="Y456" s="13"/>
      <c r="Z456" s="13"/>
      <c r="AA456" s="13"/>
      <c r="AB456" s="13"/>
      <c r="AC456" s="13"/>
      <c r="AD456" s="13"/>
      <c r="AE456" s="13"/>
      <c r="AF456" s="13"/>
      <c r="AG456" s="13"/>
      <c r="AH456" s="13"/>
      <c r="AI456" s="13"/>
      <c r="AJ456" s="13"/>
      <c r="AK456" s="13"/>
      <c r="AL456" s="13"/>
      <c r="AM456" s="13"/>
      <c r="AN456" s="13"/>
      <c r="AO456" s="13"/>
      <c r="AP456" s="13"/>
      <c r="AQ456" s="13"/>
      <c r="AR456" s="13"/>
      <c r="AS456" s="13"/>
      <c r="AT456" s="13"/>
      <c r="AU456" s="13"/>
      <c r="AV456" s="13"/>
      <c r="AW456" s="13"/>
      <c r="AX456" s="13"/>
      <c r="AY456" s="13"/>
      <c r="AZ456" s="13"/>
      <c r="BA456" s="13"/>
      <c r="BB456" s="13"/>
      <c r="BC456" s="13"/>
      <c r="BD456" s="13"/>
      <c r="BE456" s="13"/>
      <c r="BF456" s="13"/>
      <c r="BG456" s="13"/>
      <c r="BH456" s="13"/>
      <c r="BI456" s="13"/>
      <c r="BJ456" s="13"/>
      <c r="BK456" s="13"/>
      <c r="BL456" s="13"/>
      <c r="BM456" s="13"/>
      <c r="BN456" s="13"/>
      <c r="BO456" s="13"/>
      <c r="BP456" s="13"/>
      <c r="BQ456" s="13"/>
    </row>
    <row r="457" spans="1:69" ht="15.75" hidden="1" customHeight="1" x14ac:dyDescent="0.2">
      <c r="A457" s="13"/>
      <c r="B457" s="5"/>
      <c r="C457" s="198"/>
      <c r="D457" s="198"/>
      <c r="E457" s="198"/>
      <c r="F457" s="198"/>
      <c r="G457" s="137"/>
      <c r="H457" s="137"/>
      <c r="I457" s="137"/>
      <c r="J457" s="137"/>
      <c r="K457" s="137"/>
      <c r="L457" s="137"/>
      <c r="M457" s="137"/>
      <c r="N457" s="299"/>
      <c r="O457" s="299"/>
      <c r="P457" s="299"/>
      <c r="Q457" s="5"/>
      <c r="R457" s="5"/>
      <c r="S457" s="5"/>
      <c r="T457" s="5"/>
      <c r="U457" s="5"/>
      <c r="V457" s="5"/>
      <c r="W457" s="13"/>
      <c r="X457" s="13"/>
      <c r="Y457" s="13"/>
      <c r="Z457" s="13"/>
      <c r="AA457" s="13"/>
      <c r="AB457" s="13"/>
      <c r="AC457" s="13"/>
      <c r="AD457" s="13"/>
      <c r="AE457" s="13"/>
      <c r="AF457" s="13"/>
      <c r="AG457" s="13"/>
      <c r="AH457" s="13"/>
      <c r="AI457" s="13"/>
      <c r="AJ457" s="13"/>
      <c r="AK457" s="13"/>
      <c r="AL457" s="13"/>
      <c r="AM457" s="13"/>
      <c r="AN457" s="13"/>
      <c r="AO457" s="13"/>
      <c r="AP457" s="13"/>
      <c r="AQ457" s="13"/>
      <c r="AR457" s="13"/>
      <c r="AS457" s="13"/>
      <c r="AT457" s="13"/>
      <c r="AU457" s="13"/>
      <c r="AV457" s="13"/>
      <c r="AW457" s="13"/>
      <c r="AX457" s="13"/>
      <c r="AY457" s="13"/>
      <c r="AZ457" s="13"/>
      <c r="BA457" s="13"/>
      <c r="BB457" s="13"/>
      <c r="BC457" s="13"/>
      <c r="BD457" s="13"/>
      <c r="BE457" s="13"/>
      <c r="BF457" s="13"/>
      <c r="BG457" s="13"/>
      <c r="BH457" s="13"/>
      <c r="BI457" s="13"/>
      <c r="BJ457" s="13"/>
      <c r="BK457" s="13"/>
      <c r="BL457" s="13"/>
      <c r="BM457" s="13"/>
      <c r="BN457" s="13"/>
      <c r="BO457" s="13"/>
      <c r="BP457" s="13"/>
      <c r="BQ457" s="13"/>
    </row>
    <row r="458" spans="1:69" ht="15.75" hidden="1" customHeight="1" x14ac:dyDescent="0.2">
      <c r="A458" s="13"/>
      <c r="B458" s="5"/>
      <c r="C458" s="198"/>
      <c r="D458" s="198"/>
      <c r="E458" s="198"/>
      <c r="F458" s="198"/>
      <c r="G458" s="137"/>
      <c r="H458" s="137"/>
      <c r="I458" s="137"/>
      <c r="J458" s="137"/>
      <c r="K458" s="137"/>
      <c r="L458" s="137"/>
      <c r="M458" s="137"/>
      <c r="N458" s="299"/>
      <c r="O458" s="299"/>
      <c r="P458" s="299"/>
      <c r="Q458" s="5"/>
      <c r="R458" s="5"/>
      <c r="S458" s="5"/>
      <c r="T458" s="5"/>
      <c r="U458" s="5"/>
      <c r="V458" s="5"/>
      <c r="W458" s="13"/>
      <c r="X458" s="13"/>
      <c r="Y458" s="13"/>
      <c r="Z458" s="13"/>
      <c r="AA458" s="13"/>
      <c r="AB458" s="13"/>
      <c r="AC458" s="13"/>
      <c r="AD458" s="13"/>
      <c r="AE458" s="13"/>
      <c r="AF458" s="13"/>
      <c r="AG458" s="13"/>
      <c r="AH458" s="13"/>
      <c r="AI458" s="13"/>
      <c r="AJ458" s="13"/>
      <c r="AK458" s="13"/>
      <c r="AL458" s="13"/>
      <c r="AM458" s="13"/>
      <c r="AN458" s="13"/>
      <c r="AO458" s="13"/>
      <c r="AP458" s="13"/>
      <c r="AQ458" s="13"/>
      <c r="AR458" s="13"/>
      <c r="AS458" s="13"/>
      <c r="AT458" s="13"/>
      <c r="AU458" s="13"/>
      <c r="AV458" s="13"/>
      <c r="AW458" s="13"/>
      <c r="AX458" s="13"/>
      <c r="AY458" s="13"/>
      <c r="AZ458" s="13"/>
      <c r="BA458" s="13"/>
      <c r="BB458" s="13"/>
      <c r="BC458" s="13"/>
      <c r="BD458" s="13"/>
      <c r="BE458" s="13"/>
      <c r="BF458" s="13"/>
      <c r="BG458" s="13"/>
      <c r="BH458" s="13"/>
      <c r="BI458" s="13"/>
      <c r="BJ458" s="13"/>
      <c r="BK458" s="13"/>
      <c r="BL458" s="13"/>
      <c r="BM458" s="13"/>
      <c r="BN458" s="13"/>
      <c r="BO458" s="13"/>
      <c r="BP458" s="13"/>
      <c r="BQ458" s="13"/>
    </row>
    <row r="459" spans="1:69" ht="15.75" hidden="1" customHeight="1" x14ac:dyDescent="0.2">
      <c r="A459" s="13"/>
      <c r="B459" s="5"/>
      <c r="C459" s="198"/>
      <c r="D459" s="198"/>
      <c r="E459" s="198"/>
      <c r="F459" s="198"/>
      <c r="G459" s="137"/>
      <c r="H459" s="137"/>
      <c r="I459" s="137"/>
      <c r="J459" s="137"/>
      <c r="K459" s="137"/>
      <c r="L459" s="137"/>
      <c r="M459" s="137"/>
      <c r="N459" s="299"/>
      <c r="O459" s="299"/>
      <c r="P459" s="299"/>
      <c r="Q459" s="5"/>
      <c r="R459" s="5"/>
      <c r="S459" s="5"/>
      <c r="T459" s="5"/>
      <c r="U459" s="5"/>
      <c r="V459" s="5"/>
      <c r="W459" s="13"/>
      <c r="X459" s="13"/>
      <c r="Y459" s="13"/>
      <c r="Z459" s="13"/>
      <c r="AA459" s="13"/>
      <c r="AB459" s="13"/>
      <c r="AC459" s="13"/>
      <c r="AD459" s="13"/>
      <c r="AE459" s="13"/>
      <c r="AF459" s="13"/>
      <c r="AG459" s="13"/>
      <c r="AH459" s="13"/>
      <c r="AI459" s="13"/>
      <c r="AJ459" s="13"/>
      <c r="AK459" s="13"/>
      <c r="AL459" s="13"/>
      <c r="AM459" s="13"/>
      <c r="AN459" s="13"/>
      <c r="AO459" s="13"/>
      <c r="AP459" s="13"/>
      <c r="AQ459" s="13"/>
      <c r="AR459" s="13"/>
      <c r="AS459" s="13"/>
      <c r="AT459" s="13"/>
      <c r="AU459" s="13"/>
      <c r="AV459" s="13"/>
      <c r="AW459" s="13"/>
      <c r="AX459" s="13"/>
      <c r="AY459" s="13"/>
      <c r="AZ459" s="13"/>
      <c r="BA459" s="13"/>
      <c r="BB459" s="13"/>
      <c r="BC459" s="13"/>
      <c r="BD459" s="13"/>
      <c r="BE459" s="13"/>
      <c r="BF459" s="13"/>
      <c r="BG459" s="13"/>
      <c r="BH459" s="13"/>
      <c r="BI459" s="13"/>
      <c r="BJ459" s="13"/>
      <c r="BK459" s="13"/>
      <c r="BL459" s="13"/>
      <c r="BM459" s="13"/>
      <c r="BN459" s="13"/>
      <c r="BO459" s="13"/>
      <c r="BP459" s="13"/>
      <c r="BQ459" s="13"/>
    </row>
    <row r="460" spans="1:69" ht="15.75" hidden="1" customHeight="1" x14ac:dyDescent="0.2">
      <c r="A460" s="13"/>
      <c r="B460" s="5"/>
      <c r="C460" s="198"/>
      <c r="D460" s="198"/>
      <c r="E460" s="198"/>
      <c r="F460" s="198"/>
      <c r="G460" s="137"/>
      <c r="H460" s="137"/>
      <c r="I460" s="137"/>
      <c r="J460" s="137"/>
      <c r="K460" s="137"/>
      <c r="L460" s="137"/>
      <c r="M460" s="137"/>
      <c r="N460" s="299"/>
      <c r="O460" s="299"/>
      <c r="P460" s="299"/>
      <c r="Q460" s="5"/>
      <c r="R460" s="5"/>
      <c r="S460" s="5"/>
      <c r="T460" s="5"/>
      <c r="U460" s="5"/>
      <c r="V460" s="5"/>
      <c r="W460" s="13"/>
      <c r="X460" s="13"/>
      <c r="Y460" s="13"/>
      <c r="Z460" s="13"/>
      <c r="AA460" s="13"/>
      <c r="AB460" s="13"/>
      <c r="AC460" s="13"/>
      <c r="AD460" s="13"/>
      <c r="AE460" s="13"/>
      <c r="AF460" s="13"/>
      <c r="AG460" s="13"/>
      <c r="AH460" s="13"/>
      <c r="AI460" s="13"/>
      <c r="AJ460" s="13"/>
      <c r="AK460" s="13"/>
      <c r="AL460" s="13"/>
      <c r="AM460" s="13"/>
      <c r="AN460" s="13"/>
      <c r="AO460" s="13"/>
      <c r="AP460" s="13"/>
      <c r="AQ460" s="13"/>
      <c r="AR460" s="13"/>
      <c r="AS460" s="13"/>
      <c r="AT460" s="13"/>
      <c r="AU460" s="13"/>
      <c r="AV460" s="13"/>
      <c r="AW460" s="13"/>
      <c r="AX460" s="13"/>
      <c r="AY460" s="13"/>
      <c r="AZ460" s="13"/>
      <c r="BA460" s="13"/>
      <c r="BB460" s="13"/>
      <c r="BC460" s="13"/>
      <c r="BD460" s="13"/>
      <c r="BE460" s="13"/>
      <c r="BF460" s="13"/>
      <c r="BG460" s="13"/>
      <c r="BH460" s="13"/>
      <c r="BI460" s="13"/>
      <c r="BJ460" s="13"/>
      <c r="BK460" s="13"/>
      <c r="BL460" s="13"/>
      <c r="BM460" s="13"/>
      <c r="BN460" s="13"/>
      <c r="BO460" s="13"/>
      <c r="BP460" s="13"/>
      <c r="BQ460" s="13"/>
    </row>
    <row r="461" spans="1:69" ht="15.75" hidden="1" customHeight="1" x14ac:dyDescent="0.2">
      <c r="A461" s="13"/>
      <c r="B461" s="5"/>
      <c r="C461" s="198"/>
      <c r="D461" s="198"/>
      <c r="E461" s="198"/>
      <c r="F461" s="198"/>
      <c r="G461" s="137"/>
      <c r="H461" s="137"/>
      <c r="I461" s="137"/>
      <c r="J461" s="137"/>
      <c r="K461" s="137"/>
      <c r="L461" s="137"/>
      <c r="M461" s="137"/>
      <c r="N461" s="299"/>
      <c r="O461" s="299"/>
      <c r="P461" s="299"/>
      <c r="Q461" s="5"/>
      <c r="R461" s="5"/>
      <c r="S461" s="5"/>
      <c r="T461" s="5"/>
      <c r="U461" s="5"/>
      <c r="V461" s="5"/>
      <c r="W461" s="13"/>
      <c r="X461" s="13"/>
      <c r="Y461" s="13"/>
      <c r="Z461" s="13"/>
      <c r="AA461" s="13"/>
      <c r="AB461" s="13"/>
      <c r="AC461" s="13"/>
      <c r="AD461" s="13"/>
      <c r="AE461" s="13"/>
      <c r="AF461" s="13"/>
      <c r="AG461" s="13"/>
      <c r="AH461" s="13"/>
      <c r="AI461" s="13"/>
      <c r="AJ461" s="13"/>
      <c r="AK461" s="13"/>
      <c r="AL461" s="13"/>
      <c r="AM461" s="13"/>
      <c r="AN461" s="13"/>
      <c r="AO461" s="13"/>
      <c r="AP461" s="13"/>
      <c r="AQ461" s="13"/>
      <c r="AR461" s="13"/>
      <c r="AS461" s="13"/>
      <c r="AT461" s="13"/>
      <c r="AU461" s="13"/>
      <c r="AV461" s="13"/>
      <c r="AW461" s="13"/>
      <c r="AX461" s="13"/>
      <c r="AY461" s="13"/>
      <c r="AZ461" s="13"/>
      <c r="BA461" s="13"/>
      <c r="BB461" s="13"/>
      <c r="BC461" s="13"/>
      <c r="BD461" s="13"/>
      <c r="BE461" s="13"/>
      <c r="BF461" s="13"/>
      <c r="BG461" s="13"/>
      <c r="BH461" s="13"/>
      <c r="BI461" s="13"/>
      <c r="BJ461" s="13"/>
      <c r="BK461" s="13"/>
      <c r="BL461" s="13"/>
      <c r="BM461" s="13"/>
      <c r="BN461" s="13"/>
      <c r="BO461" s="13"/>
      <c r="BP461" s="13"/>
      <c r="BQ461" s="13"/>
    </row>
    <row r="462" spans="1:69" ht="15.75" hidden="1" customHeight="1" x14ac:dyDescent="0.2">
      <c r="A462" s="13"/>
      <c r="B462" s="5"/>
      <c r="C462" s="198"/>
      <c r="D462" s="198"/>
      <c r="E462" s="198"/>
      <c r="F462" s="198"/>
      <c r="G462" s="137"/>
      <c r="H462" s="137"/>
      <c r="I462" s="137"/>
      <c r="J462" s="137"/>
      <c r="K462" s="137"/>
      <c r="L462" s="137"/>
      <c r="M462" s="137"/>
      <c r="N462" s="299"/>
      <c r="O462" s="299"/>
      <c r="P462" s="299"/>
      <c r="Q462" s="5"/>
      <c r="R462" s="5"/>
      <c r="S462" s="5"/>
      <c r="T462" s="5"/>
      <c r="U462" s="5"/>
      <c r="V462" s="5"/>
      <c r="W462" s="13"/>
      <c r="X462" s="13"/>
      <c r="Y462" s="13"/>
      <c r="Z462" s="13"/>
      <c r="AA462" s="13"/>
      <c r="AB462" s="13"/>
      <c r="AC462" s="13"/>
      <c r="AD462" s="13"/>
      <c r="AE462" s="13"/>
      <c r="AF462" s="13"/>
      <c r="AG462" s="13"/>
      <c r="AH462" s="13"/>
      <c r="AI462" s="13"/>
      <c r="AJ462" s="13"/>
      <c r="AK462" s="13"/>
      <c r="AL462" s="13"/>
      <c r="AM462" s="13"/>
      <c r="AN462" s="13"/>
      <c r="AO462" s="13"/>
      <c r="AP462" s="13"/>
      <c r="AQ462" s="13"/>
      <c r="AR462" s="13"/>
      <c r="AS462" s="13"/>
      <c r="AT462" s="13"/>
      <c r="AU462" s="13"/>
      <c r="AV462" s="13"/>
      <c r="AW462" s="13"/>
      <c r="AX462" s="13"/>
      <c r="AY462" s="13"/>
      <c r="AZ462" s="13"/>
      <c r="BA462" s="13"/>
      <c r="BB462" s="13"/>
      <c r="BC462" s="13"/>
      <c r="BD462" s="13"/>
      <c r="BE462" s="13"/>
      <c r="BF462" s="13"/>
      <c r="BG462" s="13"/>
      <c r="BH462" s="13"/>
      <c r="BI462" s="13"/>
      <c r="BJ462" s="13"/>
      <c r="BK462" s="13"/>
      <c r="BL462" s="13"/>
      <c r="BM462" s="13"/>
      <c r="BN462" s="13"/>
      <c r="BO462" s="13"/>
      <c r="BP462" s="13"/>
      <c r="BQ462" s="13"/>
    </row>
    <row r="463" spans="1:69" ht="15.75" hidden="1" customHeight="1" x14ac:dyDescent="0.2">
      <c r="A463" s="13"/>
      <c r="B463" s="5"/>
      <c r="C463" s="198"/>
      <c r="D463" s="198"/>
      <c r="E463" s="198"/>
      <c r="F463" s="198"/>
      <c r="G463" s="137"/>
      <c r="H463" s="137"/>
      <c r="I463" s="137"/>
      <c r="J463" s="137"/>
      <c r="K463" s="137"/>
      <c r="L463" s="137"/>
      <c r="M463" s="137"/>
      <c r="N463" s="299"/>
      <c r="O463" s="299"/>
      <c r="P463" s="299"/>
      <c r="Q463" s="5"/>
      <c r="R463" s="5"/>
      <c r="S463" s="5"/>
      <c r="T463" s="5"/>
      <c r="U463" s="5"/>
      <c r="V463" s="5"/>
      <c r="W463" s="13"/>
      <c r="X463" s="13"/>
      <c r="Y463" s="13"/>
      <c r="Z463" s="13"/>
      <c r="AA463" s="13"/>
      <c r="AB463" s="13"/>
      <c r="AC463" s="13"/>
      <c r="AD463" s="13"/>
      <c r="AE463" s="13"/>
      <c r="AF463" s="13"/>
      <c r="AG463" s="13"/>
      <c r="AH463" s="13"/>
      <c r="AI463" s="13"/>
      <c r="AJ463" s="13"/>
      <c r="AK463" s="13"/>
      <c r="AL463" s="13"/>
      <c r="AM463" s="13"/>
      <c r="AN463" s="13"/>
      <c r="AO463" s="13"/>
      <c r="AP463" s="13"/>
      <c r="AQ463" s="13"/>
      <c r="AR463" s="13"/>
      <c r="AS463" s="13"/>
      <c r="AT463" s="13"/>
      <c r="AU463" s="13"/>
      <c r="AV463" s="13"/>
      <c r="AW463" s="13"/>
      <c r="AX463" s="13"/>
      <c r="AY463" s="13"/>
      <c r="AZ463" s="13"/>
      <c r="BA463" s="13"/>
      <c r="BB463" s="13"/>
      <c r="BC463" s="13"/>
      <c r="BD463" s="13"/>
      <c r="BE463" s="13"/>
      <c r="BF463" s="13"/>
      <c r="BG463" s="13"/>
      <c r="BH463" s="13"/>
      <c r="BI463" s="13"/>
      <c r="BJ463" s="13"/>
      <c r="BK463" s="13"/>
      <c r="BL463" s="13"/>
      <c r="BM463" s="13"/>
      <c r="BN463" s="13"/>
      <c r="BO463" s="13"/>
      <c r="BP463" s="13"/>
      <c r="BQ463" s="13"/>
    </row>
    <row r="464" spans="1:69" ht="15.75" hidden="1" customHeight="1" x14ac:dyDescent="0.2">
      <c r="A464" s="13"/>
      <c r="B464" s="5"/>
      <c r="C464" s="198"/>
      <c r="D464" s="198"/>
      <c r="E464" s="198"/>
      <c r="F464" s="198"/>
      <c r="G464" s="137"/>
      <c r="H464" s="137"/>
      <c r="I464" s="137"/>
      <c r="J464" s="137"/>
      <c r="K464" s="137"/>
      <c r="L464" s="137"/>
      <c r="M464" s="137"/>
      <c r="N464" s="299"/>
      <c r="O464" s="299"/>
      <c r="P464" s="299"/>
      <c r="Q464" s="5"/>
      <c r="R464" s="5"/>
      <c r="S464" s="5"/>
      <c r="T464" s="5"/>
      <c r="U464" s="5"/>
      <c r="V464" s="5"/>
      <c r="W464" s="13"/>
      <c r="X464" s="13"/>
      <c r="Y464" s="13"/>
      <c r="Z464" s="13"/>
      <c r="AA464" s="13"/>
      <c r="AB464" s="13"/>
      <c r="AC464" s="13"/>
      <c r="AD464" s="13"/>
      <c r="AE464" s="13"/>
      <c r="AF464" s="13"/>
      <c r="AG464" s="13"/>
      <c r="AH464" s="13"/>
      <c r="AI464" s="13"/>
      <c r="AJ464" s="13"/>
      <c r="AK464" s="13"/>
      <c r="AL464" s="13"/>
      <c r="AM464" s="13"/>
      <c r="AN464" s="13"/>
      <c r="AO464" s="13"/>
      <c r="AP464" s="13"/>
      <c r="AQ464" s="13"/>
      <c r="AR464" s="13"/>
      <c r="AS464" s="13"/>
      <c r="AT464" s="13"/>
      <c r="AU464" s="13"/>
      <c r="AV464" s="13"/>
      <c r="AW464" s="13"/>
      <c r="AX464" s="13"/>
      <c r="AY464" s="13"/>
      <c r="AZ464" s="13"/>
      <c r="BA464" s="13"/>
      <c r="BB464" s="13"/>
      <c r="BC464" s="13"/>
      <c r="BD464" s="13"/>
      <c r="BE464" s="13"/>
      <c r="BF464" s="13"/>
      <c r="BG464" s="13"/>
      <c r="BH464" s="13"/>
      <c r="BI464" s="13"/>
      <c r="BJ464" s="13"/>
      <c r="BK464" s="13"/>
      <c r="BL464" s="13"/>
      <c r="BM464" s="13"/>
      <c r="BN464" s="13"/>
      <c r="BO464" s="13"/>
      <c r="BP464" s="13"/>
      <c r="BQ464" s="13"/>
    </row>
    <row r="465" spans="1:69" ht="15.75" hidden="1" customHeight="1" x14ac:dyDescent="0.2">
      <c r="A465" s="13"/>
      <c r="B465" s="5"/>
      <c r="C465" s="198"/>
      <c r="D465" s="198"/>
      <c r="E465" s="198"/>
      <c r="F465" s="198"/>
      <c r="G465" s="137"/>
      <c r="H465" s="137"/>
      <c r="I465" s="137"/>
      <c r="J465" s="137"/>
      <c r="K465" s="137"/>
      <c r="L465" s="137"/>
      <c r="M465" s="137"/>
      <c r="N465" s="299"/>
      <c r="O465" s="299"/>
      <c r="P465" s="299"/>
      <c r="Q465" s="5"/>
      <c r="R465" s="5"/>
      <c r="S465" s="5"/>
      <c r="T465" s="5"/>
      <c r="U465" s="5"/>
      <c r="V465" s="5"/>
      <c r="W465" s="13"/>
      <c r="X465" s="13"/>
      <c r="Y465" s="13"/>
      <c r="Z465" s="13"/>
      <c r="AA465" s="13"/>
      <c r="AB465" s="13"/>
      <c r="AC465" s="13"/>
      <c r="AD465" s="13"/>
      <c r="AE465" s="13"/>
      <c r="AF465" s="13"/>
      <c r="AG465" s="13"/>
      <c r="AH465" s="13"/>
      <c r="AI465" s="13"/>
      <c r="AJ465" s="13"/>
      <c r="AK465" s="13"/>
      <c r="AL465" s="13"/>
      <c r="AM465" s="13"/>
      <c r="AN465" s="13"/>
      <c r="AO465" s="13"/>
      <c r="AP465" s="13"/>
      <c r="AQ465" s="13"/>
      <c r="AR465" s="13"/>
      <c r="AS465" s="13"/>
      <c r="AT465" s="13"/>
      <c r="AU465" s="13"/>
      <c r="AV465" s="13"/>
      <c r="AW465" s="13"/>
      <c r="AX465" s="13"/>
      <c r="AY465" s="13"/>
      <c r="AZ465" s="13"/>
      <c r="BA465" s="13"/>
      <c r="BB465" s="13"/>
      <c r="BC465" s="13"/>
      <c r="BD465" s="13"/>
      <c r="BE465" s="13"/>
      <c r="BF465" s="13"/>
      <c r="BG465" s="13"/>
      <c r="BH465" s="13"/>
      <c r="BI465" s="13"/>
      <c r="BJ465" s="13"/>
      <c r="BK465" s="13"/>
      <c r="BL465" s="13"/>
      <c r="BM465" s="13"/>
      <c r="BN465" s="13"/>
      <c r="BO465" s="13"/>
      <c r="BP465" s="13"/>
      <c r="BQ465" s="13"/>
    </row>
    <row r="466" spans="1:69" ht="15.75" hidden="1" customHeight="1" x14ac:dyDescent="0.2">
      <c r="A466" s="13"/>
      <c r="B466" s="5"/>
      <c r="C466" s="198"/>
      <c r="D466" s="198"/>
      <c r="E466" s="198"/>
      <c r="F466" s="198"/>
      <c r="G466" s="137"/>
      <c r="H466" s="137"/>
      <c r="I466" s="137"/>
      <c r="J466" s="137"/>
      <c r="K466" s="137"/>
      <c r="L466" s="137"/>
      <c r="M466" s="137"/>
      <c r="N466" s="299"/>
      <c r="O466" s="299"/>
      <c r="P466" s="299"/>
      <c r="Q466" s="5"/>
      <c r="R466" s="5"/>
      <c r="S466" s="5"/>
      <c r="T466" s="5"/>
      <c r="U466" s="5"/>
      <c r="V466" s="5"/>
      <c r="W466" s="13"/>
      <c r="X466" s="13"/>
      <c r="Y466" s="13"/>
      <c r="Z466" s="13"/>
      <c r="AA466" s="13"/>
      <c r="AB466" s="13"/>
      <c r="AC466" s="13"/>
      <c r="AD466" s="13"/>
      <c r="AE466" s="13"/>
      <c r="AF466" s="13"/>
      <c r="AG466" s="13"/>
      <c r="AH466" s="13"/>
      <c r="AI466" s="13"/>
      <c r="AJ466" s="13"/>
      <c r="AK466" s="13"/>
      <c r="AL466" s="13"/>
      <c r="AM466" s="13"/>
      <c r="AN466" s="13"/>
      <c r="AO466" s="13"/>
      <c r="AP466" s="13"/>
      <c r="AQ466" s="13"/>
      <c r="AR466" s="13"/>
      <c r="AS466" s="13"/>
      <c r="AT466" s="13"/>
      <c r="AU466" s="13"/>
      <c r="AV466" s="13"/>
      <c r="AW466" s="13"/>
      <c r="AX466" s="13"/>
      <c r="AY466" s="13"/>
      <c r="AZ466" s="13"/>
      <c r="BA466" s="13"/>
      <c r="BB466" s="13"/>
      <c r="BC466" s="13"/>
      <c r="BD466" s="13"/>
      <c r="BE466" s="13"/>
      <c r="BF466" s="13"/>
      <c r="BG466" s="13"/>
      <c r="BH466" s="13"/>
      <c r="BI466" s="13"/>
      <c r="BJ466" s="13"/>
      <c r="BK466" s="13"/>
      <c r="BL466" s="13"/>
      <c r="BM466" s="13"/>
      <c r="BN466" s="13"/>
      <c r="BO466" s="13"/>
      <c r="BP466" s="13"/>
      <c r="BQ466" s="13"/>
    </row>
    <row r="467" spans="1:69" ht="15.75" hidden="1" customHeight="1" x14ac:dyDescent="0.2">
      <c r="A467" s="13"/>
      <c r="B467" s="5"/>
      <c r="C467" s="198"/>
      <c r="D467" s="198"/>
      <c r="E467" s="198"/>
      <c r="F467" s="198"/>
      <c r="G467" s="137"/>
      <c r="H467" s="137"/>
      <c r="I467" s="137"/>
      <c r="J467" s="137"/>
      <c r="K467" s="137"/>
      <c r="L467" s="137"/>
      <c r="M467" s="137"/>
      <c r="N467" s="299"/>
      <c r="O467" s="299"/>
      <c r="P467" s="299"/>
      <c r="Q467" s="5"/>
      <c r="R467" s="5"/>
      <c r="S467" s="5"/>
      <c r="T467" s="5"/>
      <c r="U467" s="5"/>
      <c r="V467" s="5"/>
      <c r="W467" s="13"/>
      <c r="X467" s="13"/>
      <c r="Y467" s="13"/>
      <c r="Z467" s="13"/>
      <c r="AA467" s="13"/>
      <c r="AB467" s="13"/>
      <c r="AC467" s="13"/>
      <c r="AD467" s="13"/>
      <c r="AE467" s="13"/>
      <c r="AF467" s="13"/>
      <c r="AG467" s="13"/>
      <c r="AH467" s="13"/>
      <c r="AI467" s="13"/>
      <c r="AJ467" s="13"/>
      <c r="AK467" s="13"/>
      <c r="AL467" s="13"/>
      <c r="AM467" s="13"/>
      <c r="AN467" s="13"/>
      <c r="AO467" s="13"/>
      <c r="AP467" s="13"/>
      <c r="AQ467" s="13"/>
      <c r="AR467" s="13"/>
      <c r="AS467" s="13"/>
      <c r="AT467" s="13"/>
      <c r="AU467" s="13"/>
      <c r="AV467" s="13"/>
      <c r="AW467" s="13"/>
      <c r="AX467" s="13"/>
      <c r="AY467" s="13"/>
      <c r="AZ467" s="13"/>
      <c r="BA467" s="13"/>
      <c r="BB467" s="13"/>
      <c r="BC467" s="13"/>
      <c r="BD467" s="13"/>
      <c r="BE467" s="13"/>
      <c r="BF467" s="13"/>
      <c r="BG467" s="13"/>
      <c r="BH467" s="13"/>
      <c r="BI467" s="13"/>
      <c r="BJ467" s="13"/>
      <c r="BK467" s="13"/>
      <c r="BL467" s="13"/>
      <c r="BM467" s="13"/>
      <c r="BN467" s="13"/>
      <c r="BO467" s="13"/>
      <c r="BP467" s="13"/>
      <c r="BQ467" s="13"/>
    </row>
    <row r="468" spans="1:69" ht="15.75" hidden="1" customHeight="1" x14ac:dyDescent="0.2">
      <c r="A468" s="13"/>
      <c r="B468" s="5"/>
      <c r="C468" s="198"/>
      <c r="D468" s="198"/>
      <c r="E468" s="198"/>
      <c r="F468" s="198"/>
      <c r="G468" s="137"/>
      <c r="H468" s="137"/>
      <c r="I468" s="137"/>
      <c r="J468" s="137"/>
      <c r="K468" s="137"/>
      <c r="L468" s="137"/>
      <c r="M468" s="137"/>
      <c r="N468" s="299"/>
      <c r="O468" s="299"/>
      <c r="P468" s="299"/>
      <c r="Q468" s="5"/>
      <c r="R468" s="5"/>
      <c r="S468" s="5"/>
      <c r="T468" s="5"/>
      <c r="U468" s="5"/>
      <c r="V468" s="5"/>
      <c r="W468" s="13"/>
      <c r="X468" s="13"/>
      <c r="Y468" s="13"/>
      <c r="Z468" s="13"/>
      <c r="AA468" s="13"/>
      <c r="AB468" s="13"/>
      <c r="AC468" s="13"/>
      <c r="AD468" s="13"/>
      <c r="AE468" s="13"/>
      <c r="AF468" s="13"/>
      <c r="AG468" s="13"/>
      <c r="AH468" s="13"/>
      <c r="AI468" s="13"/>
      <c r="AJ468" s="13"/>
      <c r="AK468" s="13"/>
      <c r="AL468" s="13"/>
      <c r="AM468" s="13"/>
      <c r="AN468" s="13"/>
      <c r="AO468" s="13"/>
      <c r="AP468" s="13"/>
      <c r="AQ468" s="13"/>
      <c r="AR468" s="13"/>
      <c r="AS468" s="13"/>
      <c r="AT468" s="13"/>
      <c r="AU468" s="13"/>
      <c r="AV468" s="13"/>
      <c r="AW468" s="13"/>
      <c r="AX468" s="13"/>
      <c r="AY468" s="13"/>
      <c r="AZ468" s="13"/>
      <c r="BA468" s="13"/>
      <c r="BB468" s="13"/>
      <c r="BC468" s="13"/>
      <c r="BD468" s="13"/>
      <c r="BE468" s="13"/>
      <c r="BF468" s="13"/>
      <c r="BG468" s="13"/>
      <c r="BH468" s="13"/>
      <c r="BI468" s="13"/>
      <c r="BJ468" s="13"/>
      <c r="BK468" s="13"/>
      <c r="BL468" s="13"/>
      <c r="BM468" s="13"/>
      <c r="BN468" s="13"/>
      <c r="BO468" s="13"/>
      <c r="BP468" s="13"/>
      <c r="BQ468" s="13"/>
    </row>
    <row r="469" spans="1:69" ht="15.75" hidden="1" customHeight="1" x14ac:dyDescent="0.2">
      <c r="A469" s="13"/>
      <c r="B469" s="5"/>
      <c r="C469" s="198"/>
      <c r="D469" s="198"/>
      <c r="E469" s="198"/>
      <c r="F469" s="198"/>
      <c r="G469" s="137"/>
      <c r="H469" s="137"/>
      <c r="I469" s="137"/>
      <c r="J469" s="137"/>
      <c r="K469" s="137"/>
      <c r="L469" s="137"/>
      <c r="M469" s="137"/>
      <c r="N469" s="299"/>
      <c r="O469" s="299"/>
      <c r="P469" s="299"/>
      <c r="Q469" s="5"/>
      <c r="R469" s="5"/>
      <c r="S469" s="5"/>
      <c r="T469" s="5"/>
      <c r="U469" s="5"/>
      <c r="V469" s="5"/>
      <c r="W469" s="13"/>
      <c r="X469" s="13"/>
      <c r="Y469" s="13"/>
      <c r="Z469" s="13"/>
      <c r="AA469" s="13"/>
      <c r="AB469" s="13"/>
      <c r="AC469" s="13"/>
      <c r="AD469" s="13"/>
      <c r="AE469" s="13"/>
      <c r="AF469" s="13"/>
      <c r="AG469" s="13"/>
      <c r="AH469" s="13"/>
      <c r="AI469" s="13"/>
      <c r="AJ469" s="13"/>
      <c r="AK469" s="13"/>
      <c r="AL469" s="13"/>
      <c r="AM469" s="13"/>
      <c r="AN469" s="13"/>
      <c r="AO469" s="13"/>
      <c r="AP469" s="13"/>
      <c r="AQ469" s="13"/>
      <c r="AR469" s="13"/>
      <c r="AS469" s="13"/>
      <c r="AT469" s="13"/>
      <c r="AU469" s="13"/>
      <c r="AV469" s="13"/>
      <c r="AW469" s="13"/>
      <c r="AX469" s="13"/>
      <c r="AY469" s="13"/>
      <c r="AZ469" s="13"/>
      <c r="BA469" s="13"/>
      <c r="BB469" s="13"/>
      <c r="BC469" s="13"/>
      <c r="BD469" s="13"/>
      <c r="BE469" s="13"/>
      <c r="BF469" s="13"/>
      <c r="BG469" s="13"/>
      <c r="BH469" s="13"/>
      <c r="BI469" s="13"/>
      <c r="BJ469" s="13"/>
      <c r="BK469" s="13"/>
      <c r="BL469" s="13"/>
      <c r="BM469" s="13"/>
      <c r="BN469" s="13"/>
      <c r="BO469" s="13"/>
      <c r="BP469" s="13"/>
      <c r="BQ469" s="13"/>
    </row>
    <row r="470" spans="1:69" ht="15.75" hidden="1" customHeight="1" x14ac:dyDescent="0.2">
      <c r="A470" s="13"/>
      <c r="B470" s="5"/>
      <c r="C470" s="198"/>
      <c r="D470" s="198"/>
      <c r="E470" s="198"/>
      <c r="F470" s="198"/>
      <c r="G470" s="137"/>
      <c r="H470" s="137"/>
      <c r="I470" s="137"/>
      <c r="J470" s="137"/>
      <c r="K470" s="137"/>
      <c r="L470" s="137"/>
      <c r="M470" s="137"/>
      <c r="N470" s="299"/>
      <c r="O470" s="299"/>
      <c r="P470" s="299"/>
      <c r="Q470" s="5"/>
      <c r="R470" s="5"/>
      <c r="S470" s="5"/>
      <c r="T470" s="5"/>
      <c r="U470" s="5"/>
      <c r="V470" s="5"/>
      <c r="W470" s="13"/>
      <c r="X470" s="13"/>
      <c r="Y470" s="13"/>
      <c r="Z470" s="13"/>
      <c r="AA470" s="13"/>
      <c r="AB470" s="13"/>
      <c r="AC470" s="13"/>
      <c r="AD470" s="13"/>
      <c r="AE470" s="13"/>
      <c r="AF470" s="13"/>
      <c r="AG470" s="13"/>
      <c r="AH470" s="13"/>
      <c r="AI470" s="13"/>
      <c r="AJ470" s="13"/>
      <c r="AK470" s="13"/>
      <c r="AL470" s="13"/>
      <c r="AM470" s="13"/>
      <c r="AN470" s="13"/>
      <c r="AO470" s="13"/>
      <c r="AP470" s="13"/>
      <c r="AQ470" s="13"/>
      <c r="AR470" s="13"/>
      <c r="AS470" s="13"/>
      <c r="AT470" s="13"/>
      <c r="AU470" s="13"/>
      <c r="AV470" s="13"/>
      <c r="AW470" s="13"/>
      <c r="AX470" s="13"/>
      <c r="AY470" s="13"/>
      <c r="AZ470" s="13"/>
      <c r="BA470" s="13"/>
      <c r="BB470" s="13"/>
      <c r="BC470" s="13"/>
      <c r="BD470" s="13"/>
      <c r="BE470" s="13"/>
      <c r="BF470" s="13"/>
      <c r="BG470" s="13"/>
      <c r="BH470" s="13"/>
      <c r="BI470" s="13"/>
      <c r="BJ470" s="13"/>
      <c r="BK470" s="13"/>
      <c r="BL470" s="13"/>
      <c r="BM470" s="13"/>
      <c r="BN470" s="13"/>
      <c r="BO470" s="13"/>
      <c r="BP470" s="13"/>
      <c r="BQ470" s="13"/>
    </row>
    <row r="471" spans="1:69" ht="15.75" hidden="1" customHeight="1" x14ac:dyDescent="0.2">
      <c r="A471" s="13"/>
      <c r="B471" s="5"/>
      <c r="C471" s="198"/>
      <c r="D471" s="198"/>
      <c r="E471" s="198"/>
      <c r="F471" s="198"/>
      <c r="G471" s="137"/>
      <c r="H471" s="137"/>
      <c r="I471" s="137"/>
      <c r="J471" s="137"/>
      <c r="K471" s="137"/>
      <c r="L471" s="137"/>
      <c r="M471" s="137"/>
      <c r="N471" s="299"/>
      <c r="O471" s="299"/>
      <c r="P471" s="299"/>
      <c r="Q471" s="5"/>
      <c r="R471" s="5"/>
      <c r="S471" s="5"/>
      <c r="T471" s="5"/>
      <c r="U471" s="5"/>
      <c r="V471" s="5"/>
      <c r="W471" s="13"/>
      <c r="X471" s="13"/>
      <c r="Y471" s="13"/>
      <c r="Z471" s="13"/>
      <c r="AA471" s="13"/>
      <c r="AB471" s="13"/>
      <c r="AC471" s="13"/>
      <c r="AD471" s="13"/>
      <c r="AE471" s="13"/>
      <c r="AF471" s="13"/>
      <c r="AG471" s="13"/>
      <c r="AH471" s="13"/>
      <c r="AI471" s="13"/>
      <c r="AJ471" s="13"/>
      <c r="AK471" s="13"/>
      <c r="AL471" s="13"/>
      <c r="AM471" s="13"/>
      <c r="AN471" s="13"/>
      <c r="AO471" s="13"/>
      <c r="AP471" s="13"/>
      <c r="AQ471" s="13"/>
      <c r="AR471" s="13"/>
      <c r="AS471" s="13"/>
      <c r="AT471" s="13"/>
      <c r="AU471" s="13"/>
      <c r="AV471" s="13"/>
      <c r="AW471" s="13"/>
      <c r="AX471" s="13"/>
      <c r="AY471" s="13"/>
      <c r="AZ471" s="13"/>
      <c r="BA471" s="13"/>
      <c r="BB471" s="13"/>
      <c r="BC471" s="13"/>
      <c r="BD471" s="13"/>
      <c r="BE471" s="13"/>
      <c r="BF471" s="13"/>
      <c r="BG471" s="13"/>
      <c r="BH471" s="13"/>
      <c r="BI471" s="13"/>
      <c r="BJ471" s="13"/>
      <c r="BK471" s="13"/>
      <c r="BL471" s="13"/>
      <c r="BM471" s="13"/>
      <c r="BN471" s="13"/>
      <c r="BO471" s="13"/>
      <c r="BP471" s="13"/>
      <c r="BQ471" s="13"/>
    </row>
    <row r="472" spans="1:69" ht="15.75" hidden="1" customHeight="1" x14ac:dyDescent="0.2">
      <c r="A472" s="13"/>
      <c r="B472" s="5"/>
      <c r="C472" s="198"/>
      <c r="D472" s="198"/>
      <c r="E472" s="198"/>
      <c r="F472" s="198"/>
      <c r="G472" s="137"/>
      <c r="H472" s="137"/>
      <c r="I472" s="137"/>
      <c r="J472" s="137"/>
      <c r="K472" s="137"/>
      <c r="L472" s="137"/>
      <c r="M472" s="137"/>
      <c r="N472" s="299"/>
      <c r="O472" s="299"/>
      <c r="P472" s="299"/>
      <c r="Q472" s="5"/>
      <c r="R472" s="5"/>
      <c r="S472" s="5"/>
      <c r="T472" s="5"/>
      <c r="U472" s="5"/>
      <c r="V472" s="5"/>
      <c r="W472" s="13"/>
      <c r="X472" s="13"/>
      <c r="Y472" s="13"/>
      <c r="Z472" s="13"/>
      <c r="AA472" s="13"/>
      <c r="AB472" s="13"/>
      <c r="AC472" s="13"/>
      <c r="AD472" s="13"/>
      <c r="AE472" s="13"/>
      <c r="AF472" s="13"/>
      <c r="AG472" s="13"/>
      <c r="AH472" s="13"/>
      <c r="AI472" s="13"/>
      <c r="AJ472" s="13"/>
      <c r="AK472" s="13"/>
      <c r="AL472" s="13"/>
      <c r="AM472" s="13"/>
      <c r="AN472" s="13"/>
      <c r="AO472" s="13"/>
      <c r="AP472" s="13"/>
      <c r="AQ472" s="13"/>
      <c r="AR472" s="13"/>
      <c r="AS472" s="13"/>
      <c r="AT472" s="13"/>
      <c r="AU472" s="13"/>
      <c r="AV472" s="13"/>
      <c r="AW472" s="13"/>
      <c r="AX472" s="13"/>
      <c r="AY472" s="13"/>
      <c r="AZ472" s="13"/>
      <c r="BA472" s="13"/>
      <c r="BB472" s="13"/>
      <c r="BC472" s="13"/>
      <c r="BD472" s="13"/>
      <c r="BE472" s="13"/>
      <c r="BF472" s="13"/>
      <c r="BG472" s="13"/>
      <c r="BH472" s="13"/>
      <c r="BI472" s="13"/>
      <c r="BJ472" s="13"/>
      <c r="BK472" s="13"/>
      <c r="BL472" s="13"/>
      <c r="BM472" s="13"/>
      <c r="BN472" s="13"/>
      <c r="BO472" s="13"/>
      <c r="BP472" s="13"/>
      <c r="BQ472" s="13"/>
    </row>
    <row r="473" spans="1:69" ht="15.75" hidden="1" customHeight="1" x14ac:dyDescent="0.2">
      <c r="A473" s="13"/>
      <c r="B473" s="5"/>
      <c r="C473" s="198"/>
      <c r="D473" s="198"/>
      <c r="E473" s="198"/>
      <c r="F473" s="198"/>
      <c r="G473" s="137"/>
      <c r="H473" s="137"/>
      <c r="I473" s="137"/>
      <c r="J473" s="137"/>
      <c r="K473" s="137"/>
      <c r="L473" s="137"/>
      <c r="M473" s="137"/>
      <c r="N473" s="299"/>
      <c r="O473" s="299"/>
      <c r="P473" s="299"/>
      <c r="Q473" s="5"/>
      <c r="R473" s="5"/>
      <c r="S473" s="5"/>
      <c r="T473" s="5"/>
      <c r="U473" s="5"/>
      <c r="V473" s="5"/>
      <c r="W473" s="13"/>
      <c r="X473" s="13"/>
      <c r="Y473" s="13"/>
      <c r="Z473" s="13"/>
      <c r="AA473" s="13"/>
      <c r="AB473" s="13"/>
      <c r="AC473" s="13"/>
      <c r="AD473" s="13"/>
      <c r="AE473" s="13"/>
      <c r="AF473" s="13"/>
      <c r="AG473" s="13"/>
      <c r="AH473" s="13"/>
      <c r="AI473" s="13"/>
      <c r="AJ473" s="13"/>
      <c r="AK473" s="13"/>
      <c r="AL473" s="13"/>
      <c r="AM473" s="13"/>
      <c r="AN473" s="13"/>
      <c r="AO473" s="13"/>
      <c r="AP473" s="13"/>
      <c r="AQ473" s="13"/>
      <c r="AR473" s="13"/>
      <c r="AS473" s="13"/>
      <c r="AT473" s="13"/>
      <c r="AU473" s="13"/>
      <c r="AV473" s="13"/>
      <c r="AW473" s="13"/>
      <c r="AX473" s="13"/>
      <c r="AY473" s="13"/>
      <c r="AZ473" s="13"/>
      <c r="BA473" s="13"/>
      <c r="BB473" s="13"/>
      <c r="BC473" s="13"/>
      <c r="BD473" s="13"/>
      <c r="BE473" s="13"/>
      <c r="BF473" s="13"/>
      <c r="BG473" s="13"/>
      <c r="BH473" s="13"/>
      <c r="BI473" s="13"/>
      <c r="BJ473" s="13"/>
      <c r="BK473" s="13"/>
      <c r="BL473" s="13"/>
      <c r="BM473" s="13"/>
      <c r="BN473" s="13"/>
      <c r="BO473" s="13"/>
      <c r="BP473" s="13"/>
      <c r="BQ473" s="13"/>
    </row>
    <row r="474" spans="1:69" ht="15.75" hidden="1" customHeight="1" x14ac:dyDescent="0.2">
      <c r="A474" s="13"/>
      <c r="B474" s="5"/>
      <c r="C474" s="198"/>
      <c r="D474" s="198"/>
      <c r="E474" s="198"/>
      <c r="F474" s="198"/>
      <c r="G474" s="137"/>
      <c r="H474" s="137"/>
      <c r="I474" s="137"/>
      <c r="J474" s="137"/>
      <c r="K474" s="137"/>
      <c r="L474" s="137"/>
      <c r="M474" s="137"/>
      <c r="N474" s="299"/>
      <c r="O474" s="299"/>
      <c r="P474" s="299"/>
      <c r="Q474" s="5"/>
      <c r="R474" s="5"/>
      <c r="S474" s="5"/>
      <c r="T474" s="5"/>
      <c r="U474" s="5"/>
      <c r="V474" s="5"/>
      <c r="W474" s="13"/>
      <c r="X474" s="13"/>
      <c r="Y474" s="13"/>
      <c r="Z474" s="13"/>
      <c r="AA474" s="13"/>
      <c r="AB474" s="13"/>
      <c r="AC474" s="13"/>
      <c r="AD474" s="13"/>
      <c r="AE474" s="13"/>
      <c r="AF474" s="13"/>
      <c r="AG474" s="13"/>
      <c r="AH474" s="13"/>
      <c r="AI474" s="13"/>
      <c r="AJ474" s="13"/>
      <c r="AK474" s="13"/>
      <c r="AL474" s="13"/>
      <c r="AM474" s="13"/>
      <c r="AN474" s="13"/>
      <c r="AO474" s="13"/>
      <c r="AP474" s="13"/>
      <c r="AQ474" s="13"/>
      <c r="AR474" s="13"/>
      <c r="AS474" s="13"/>
      <c r="AT474" s="13"/>
      <c r="AU474" s="13"/>
      <c r="AV474" s="13"/>
      <c r="AW474" s="13"/>
      <c r="AX474" s="13"/>
      <c r="AY474" s="13"/>
      <c r="AZ474" s="13"/>
      <c r="BA474" s="13"/>
      <c r="BB474" s="13"/>
      <c r="BC474" s="13"/>
      <c r="BD474" s="13"/>
      <c r="BE474" s="13"/>
      <c r="BF474" s="13"/>
      <c r="BG474" s="13"/>
      <c r="BH474" s="13"/>
      <c r="BI474" s="13"/>
      <c r="BJ474" s="13"/>
      <c r="BK474" s="13"/>
      <c r="BL474" s="13"/>
      <c r="BM474" s="13"/>
      <c r="BN474" s="13"/>
      <c r="BO474" s="13"/>
      <c r="BP474" s="13"/>
      <c r="BQ474" s="13"/>
    </row>
    <row r="475" spans="1:69" ht="15.75" hidden="1" customHeight="1" x14ac:dyDescent="0.2">
      <c r="A475" s="13"/>
      <c r="B475" s="5"/>
      <c r="C475" s="198"/>
      <c r="D475" s="198"/>
      <c r="E475" s="198"/>
      <c r="F475" s="198"/>
      <c r="G475" s="137"/>
      <c r="H475" s="137"/>
      <c r="I475" s="137"/>
      <c r="J475" s="137"/>
      <c r="K475" s="137"/>
      <c r="L475" s="137"/>
      <c r="M475" s="137"/>
      <c r="N475" s="299"/>
      <c r="O475" s="299"/>
      <c r="P475" s="299"/>
      <c r="Q475" s="5"/>
      <c r="R475" s="5"/>
      <c r="S475" s="5"/>
      <c r="T475" s="5"/>
      <c r="U475" s="5"/>
      <c r="V475" s="5"/>
      <c r="W475" s="13"/>
      <c r="X475" s="13"/>
      <c r="Y475" s="13"/>
      <c r="Z475" s="13"/>
      <c r="AA475" s="13"/>
      <c r="AB475" s="13"/>
      <c r="AC475" s="13"/>
      <c r="AD475" s="13"/>
      <c r="AE475" s="13"/>
      <c r="AF475" s="13"/>
      <c r="AG475" s="13"/>
      <c r="AH475" s="13"/>
      <c r="AI475" s="13"/>
      <c r="AJ475" s="13"/>
      <c r="AK475" s="13"/>
      <c r="AL475" s="13"/>
      <c r="AM475" s="13"/>
      <c r="AN475" s="13"/>
      <c r="AO475" s="13"/>
      <c r="AP475" s="13"/>
      <c r="AQ475" s="13"/>
      <c r="AR475" s="13"/>
      <c r="AS475" s="13"/>
      <c r="AT475" s="13"/>
      <c r="AU475" s="13"/>
      <c r="AV475" s="13"/>
      <c r="AW475" s="13"/>
      <c r="AX475" s="13"/>
      <c r="AY475" s="13"/>
      <c r="AZ475" s="13"/>
      <c r="BA475" s="13"/>
      <c r="BB475" s="13"/>
      <c r="BC475" s="13"/>
      <c r="BD475" s="13"/>
      <c r="BE475" s="13"/>
      <c r="BF475" s="13"/>
      <c r="BG475" s="13"/>
      <c r="BH475" s="13"/>
      <c r="BI475" s="13"/>
      <c r="BJ475" s="13"/>
      <c r="BK475" s="13"/>
      <c r="BL475" s="13"/>
      <c r="BM475" s="13"/>
      <c r="BN475" s="13"/>
      <c r="BO475" s="13"/>
      <c r="BP475" s="13"/>
      <c r="BQ475" s="13"/>
    </row>
    <row r="476" spans="1:69" ht="15.75" hidden="1" customHeight="1" x14ac:dyDescent="0.2">
      <c r="A476" s="13"/>
      <c r="B476" s="5"/>
      <c r="C476" s="198"/>
      <c r="D476" s="198"/>
      <c r="E476" s="198"/>
      <c r="F476" s="198"/>
      <c r="G476" s="137"/>
      <c r="H476" s="137"/>
      <c r="I476" s="137"/>
      <c r="J476" s="137"/>
      <c r="K476" s="137"/>
      <c r="L476" s="137"/>
      <c r="M476" s="137"/>
      <c r="N476" s="299"/>
      <c r="O476" s="299"/>
      <c r="P476" s="299"/>
      <c r="Q476" s="5"/>
      <c r="R476" s="5"/>
      <c r="S476" s="5"/>
      <c r="T476" s="5"/>
      <c r="U476" s="5"/>
      <c r="V476" s="5"/>
      <c r="W476" s="13"/>
      <c r="X476" s="13"/>
      <c r="Y476" s="13"/>
      <c r="Z476" s="13"/>
      <c r="AA476" s="13"/>
      <c r="AB476" s="13"/>
      <c r="AC476" s="13"/>
      <c r="AD476" s="13"/>
      <c r="AE476" s="13"/>
      <c r="AF476" s="13"/>
      <c r="AG476" s="13"/>
      <c r="AH476" s="13"/>
      <c r="AI476" s="13"/>
      <c r="AJ476" s="13"/>
      <c r="AK476" s="13"/>
      <c r="AL476" s="13"/>
      <c r="AM476" s="13"/>
      <c r="AN476" s="13"/>
      <c r="AO476" s="13"/>
      <c r="AP476" s="13"/>
      <c r="AQ476" s="13"/>
      <c r="AR476" s="13"/>
      <c r="AS476" s="13"/>
      <c r="AT476" s="13"/>
      <c r="AU476" s="13"/>
      <c r="AV476" s="13"/>
      <c r="AW476" s="13"/>
      <c r="AX476" s="13"/>
      <c r="AY476" s="13"/>
      <c r="AZ476" s="13"/>
      <c r="BA476" s="13"/>
      <c r="BB476" s="13"/>
      <c r="BC476" s="13"/>
      <c r="BD476" s="13"/>
      <c r="BE476" s="13"/>
      <c r="BF476" s="13"/>
      <c r="BG476" s="13"/>
      <c r="BH476" s="13"/>
      <c r="BI476" s="13"/>
      <c r="BJ476" s="13"/>
      <c r="BK476" s="13"/>
      <c r="BL476" s="13"/>
      <c r="BM476" s="13"/>
      <c r="BN476" s="13"/>
      <c r="BO476" s="13"/>
      <c r="BP476" s="13"/>
      <c r="BQ476" s="13"/>
    </row>
    <row r="477" spans="1:69" ht="15.75" hidden="1" customHeight="1" x14ac:dyDescent="0.2">
      <c r="A477" s="13"/>
      <c r="B477" s="5"/>
      <c r="C477" s="198"/>
      <c r="D477" s="198"/>
      <c r="E477" s="198"/>
      <c r="F477" s="198"/>
      <c r="G477" s="137"/>
      <c r="H477" s="137"/>
      <c r="I477" s="137"/>
      <c r="J477" s="137"/>
      <c r="K477" s="137"/>
      <c r="L477" s="137"/>
      <c r="M477" s="137"/>
      <c r="N477" s="299"/>
      <c r="O477" s="299"/>
      <c r="P477" s="299"/>
      <c r="Q477" s="5"/>
      <c r="R477" s="5"/>
      <c r="S477" s="5"/>
      <c r="T477" s="5"/>
      <c r="U477" s="5"/>
      <c r="V477" s="5"/>
      <c r="W477" s="13"/>
      <c r="X477" s="13"/>
      <c r="Y477" s="13"/>
      <c r="Z477" s="13"/>
      <c r="AA477" s="13"/>
      <c r="AB477" s="13"/>
      <c r="AC477" s="13"/>
      <c r="AD477" s="13"/>
      <c r="AE477" s="13"/>
      <c r="AF477" s="13"/>
      <c r="AG477" s="13"/>
      <c r="AH477" s="13"/>
      <c r="AI477" s="13"/>
      <c r="AJ477" s="13"/>
      <c r="AK477" s="13"/>
      <c r="AL477" s="13"/>
      <c r="AM477" s="13"/>
      <c r="AN477" s="13"/>
      <c r="AO477" s="13"/>
      <c r="AP477" s="13"/>
      <c r="AQ477" s="13"/>
      <c r="AR477" s="13"/>
      <c r="AS477" s="13"/>
      <c r="AT477" s="13"/>
      <c r="AU477" s="13"/>
      <c r="AV477" s="13"/>
      <c r="AW477" s="13"/>
      <c r="AX477" s="13"/>
      <c r="AY477" s="13"/>
      <c r="AZ477" s="13"/>
      <c r="BA477" s="13"/>
      <c r="BB477" s="13"/>
      <c r="BC477" s="13"/>
      <c r="BD477" s="13"/>
      <c r="BE477" s="13"/>
      <c r="BF477" s="13"/>
      <c r="BG477" s="13"/>
      <c r="BH477" s="13"/>
      <c r="BI477" s="13"/>
      <c r="BJ477" s="13"/>
      <c r="BK477" s="13"/>
      <c r="BL477" s="13"/>
      <c r="BM477" s="13"/>
      <c r="BN477" s="13"/>
      <c r="BO477" s="13"/>
      <c r="BP477" s="13"/>
      <c r="BQ477" s="13"/>
    </row>
    <row r="478" spans="1:69" ht="15.75" hidden="1" customHeight="1" x14ac:dyDescent="0.2">
      <c r="A478" s="13"/>
      <c r="B478" s="5"/>
      <c r="C478" s="198"/>
      <c r="D478" s="198"/>
      <c r="E478" s="198"/>
      <c r="F478" s="198"/>
      <c r="G478" s="137"/>
      <c r="H478" s="137"/>
      <c r="I478" s="137"/>
      <c r="J478" s="137"/>
      <c r="K478" s="137"/>
      <c r="L478" s="137"/>
      <c r="M478" s="137"/>
      <c r="N478" s="299"/>
      <c r="O478" s="299"/>
      <c r="P478" s="299"/>
      <c r="Q478" s="5"/>
      <c r="R478" s="5"/>
      <c r="S478" s="5"/>
      <c r="T478" s="5"/>
      <c r="U478" s="5"/>
      <c r="V478" s="5"/>
      <c r="W478" s="13"/>
      <c r="X478" s="13"/>
      <c r="Y478" s="13"/>
      <c r="Z478" s="13"/>
      <c r="AA478" s="13"/>
      <c r="AB478" s="13"/>
      <c r="AC478" s="13"/>
      <c r="AD478" s="13"/>
      <c r="AE478" s="13"/>
      <c r="AF478" s="13"/>
      <c r="AG478" s="13"/>
      <c r="AH478" s="13"/>
      <c r="AI478" s="13"/>
      <c r="AJ478" s="13"/>
      <c r="AK478" s="13"/>
      <c r="AL478" s="13"/>
      <c r="AM478" s="13"/>
      <c r="AN478" s="13"/>
      <c r="AO478" s="13"/>
      <c r="AP478" s="13"/>
      <c r="AQ478" s="13"/>
      <c r="AR478" s="13"/>
      <c r="AS478" s="13"/>
      <c r="AT478" s="13"/>
      <c r="AU478" s="13"/>
      <c r="AV478" s="13"/>
      <c r="AW478" s="13"/>
      <c r="AX478" s="13"/>
      <c r="AY478" s="13"/>
      <c r="AZ478" s="13"/>
      <c r="BA478" s="13"/>
      <c r="BB478" s="13"/>
      <c r="BC478" s="13"/>
      <c r="BD478" s="13"/>
      <c r="BE478" s="13"/>
      <c r="BF478" s="13"/>
      <c r="BG478" s="13"/>
      <c r="BH478" s="13"/>
      <c r="BI478" s="13"/>
      <c r="BJ478" s="13"/>
      <c r="BK478" s="13"/>
      <c r="BL478" s="13"/>
      <c r="BM478" s="13"/>
      <c r="BN478" s="13"/>
      <c r="BO478" s="13"/>
      <c r="BP478" s="13"/>
      <c r="BQ478" s="13"/>
    </row>
    <row r="479" spans="1:69" ht="15.75" hidden="1" customHeight="1" x14ac:dyDescent="0.2">
      <c r="A479" s="13"/>
      <c r="B479" s="5"/>
      <c r="C479" s="198"/>
      <c r="D479" s="198"/>
      <c r="E479" s="198"/>
      <c r="F479" s="198"/>
      <c r="G479" s="137"/>
      <c r="H479" s="137"/>
      <c r="I479" s="137"/>
      <c r="J479" s="137"/>
      <c r="K479" s="137"/>
      <c r="L479" s="137"/>
      <c r="M479" s="137"/>
      <c r="N479" s="299"/>
      <c r="O479" s="299"/>
      <c r="P479" s="299"/>
      <c r="Q479" s="5"/>
      <c r="R479" s="5"/>
      <c r="S479" s="5"/>
      <c r="T479" s="5"/>
      <c r="U479" s="5"/>
      <c r="V479" s="5"/>
      <c r="W479" s="13"/>
      <c r="X479" s="13"/>
      <c r="Y479" s="13"/>
      <c r="Z479" s="13"/>
      <c r="AA479" s="13"/>
      <c r="AB479" s="13"/>
      <c r="AC479" s="13"/>
      <c r="AD479" s="13"/>
      <c r="AE479" s="13"/>
      <c r="AF479" s="13"/>
      <c r="AG479" s="13"/>
      <c r="AH479" s="13"/>
      <c r="AI479" s="13"/>
      <c r="AJ479" s="13"/>
      <c r="AK479" s="13"/>
      <c r="AL479" s="13"/>
      <c r="AM479" s="13"/>
      <c r="AN479" s="13"/>
      <c r="AO479" s="13"/>
      <c r="AP479" s="13"/>
      <c r="AQ479" s="13"/>
      <c r="AR479" s="13"/>
      <c r="AS479" s="13"/>
      <c r="AT479" s="13"/>
      <c r="AU479" s="13"/>
      <c r="AV479" s="13"/>
      <c r="AW479" s="13"/>
      <c r="AX479" s="13"/>
      <c r="AY479" s="13"/>
      <c r="AZ479" s="13"/>
      <c r="BA479" s="13"/>
      <c r="BB479" s="13"/>
      <c r="BC479" s="13"/>
      <c r="BD479" s="13"/>
      <c r="BE479" s="13"/>
      <c r="BF479" s="13"/>
      <c r="BG479" s="13"/>
      <c r="BH479" s="13"/>
      <c r="BI479" s="13"/>
      <c r="BJ479" s="13"/>
      <c r="BK479" s="13"/>
      <c r="BL479" s="13"/>
      <c r="BM479" s="13"/>
      <c r="BN479" s="13"/>
      <c r="BO479" s="13"/>
      <c r="BP479" s="13"/>
      <c r="BQ479" s="13"/>
    </row>
    <row r="480" spans="1:69" ht="15.75" hidden="1" customHeight="1" x14ac:dyDescent="0.2">
      <c r="A480" s="13"/>
      <c r="B480" s="5"/>
      <c r="C480" s="198"/>
      <c r="D480" s="198"/>
      <c r="E480" s="198"/>
      <c r="F480" s="198"/>
      <c r="G480" s="137"/>
      <c r="H480" s="137"/>
      <c r="I480" s="137"/>
      <c r="J480" s="137"/>
      <c r="K480" s="137"/>
      <c r="L480" s="137"/>
      <c r="M480" s="137"/>
      <c r="N480" s="299"/>
      <c r="O480" s="299"/>
      <c r="P480" s="299"/>
      <c r="Q480" s="5"/>
      <c r="R480" s="5"/>
      <c r="S480" s="5"/>
      <c r="T480" s="5"/>
      <c r="U480" s="5"/>
      <c r="V480" s="5"/>
      <c r="W480" s="13"/>
      <c r="X480" s="13"/>
      <c r="Y480" s="13"/>
      <c r="Z480" s="13"/>
      <c r="AA480" s="13"/>
      <c r="AB480" s="13"/>
      <c r="AC480" s="13"/>
      <c r="AD480" s="13"/>
      <c r="AE480" s="13"/>
      <c r="AF480" s="13"/>
      <c r="AG480" s="13"/>
      <c r="AH480" s="13"/>
      <c r="AI480" s="13"/>
      <c r="AJ480" s="13"/>
      <c r="AK480" s="13"/>
      <c r="AL480" s="13"/>
      <c r="AM480" s="13"/>
      <c r="AN480" s="13"/>
      <c r="AO480" s="13"/>
      <c r="AP480" s="13"/>
      <c r="AQ480" s="13"/>
      <c r="AR480" s="13"/>
      <c r="AS480" s="13"/>
      <c r="AT480" s="13"/>
      <c r="AU480" s="13"/>
      <c r="AV480" s="13"/>
      <c r="AW480" s="13"/>
      <c r="AX480" s="13"/>
      <c r="AY480" s="13"/>
      <c r="AZ480" s="13"/>
      <c r="BA480" s="13"/>
      <c r="BB480" s="13"/>
      <c r="BC480" s="13"/>
      <c r="BD480" s="13"/>
      <c r="BE480" s="13"/>
      <c r="BF480" s="13"/>
      <c r="BG480" s="13"/>
      <c r="BH480" s="13"/>
      <c r="BI480" s="13"/>
      <c r="BJ480" s="13"/>
      <c r="BK480" s="13"/>
      <c r="BL480" s="13"/>
      <c r="BM480" s="13"/>
      <c r="BN480" s="13"/>
      <c r="BO480" s="13"/>
      <c r="BP480" s="13"/>
      <c r="BQ480" s="13"/>
    </row>
    <row r="481" spans="1:69" ht="15.75" hidden="1" customHeight="1" x14ac:dyDescent="0.2">
      <c r="A481" s="13"/>
      <c r="B481" s="5"/>
      <c r="C481" s="198"/>
      <c r="D481" s="198"/>
      <c r="E481" s="198"/>
      <c r="F481" s="198"/>
      <c r="G481" s="137"/>
      <c r="H481" s="137"/>
      <c r="I481" s="137"/>
      <c r="J481" s="137"/>
      <c r="K481" s="137"/>
      <c r="L481" s="137"/>
      <c r="M481" s="137"/>
      <c r="N481" s="299"/>
      <c r="O481" s="299"/>
      <c r="P481" s="299"/>
      <c r="Q481" s="5"/>
      <c r="R481" s="5"/>
      <c r="S481" s="5"/>
      <c r="T481" s="5"/>
      <c r="U481" s="5"/>
      <c r="V481" s="5"/>
      <c r="W481" s="13"/>
      <c r="X481" s="13"/>
      <c r="Y481" s="13"/>
      <c r="Z481" s="13"/>
      <c r="AA481" s="13"/>
      <c r="AB481" s="13"/>
      <c r="AC481" s="13"/>
      <c r="AD481" s="13"/>
      <c r="AE481" s="13"/>
      <c r="AF481" s="13"/>
      <c r="AG481" s="13"/>
      <c r="AH481" s="13"/>
      <c r="AI481" s="13"/>
      <c r="AJ481" s="13"/>
      <c r="AK481" s="13"/>
      <c r="AL481" s="13"/>
      <c r="AM481" s="13"/>
      <c r="AN481" s="13"/>
      <c r="AO481" s="13"/>
      <c r="AP481" s="13"/>
      <c r="AQ481" s="13"/>
      <c r="AR481" s="13"/>
      <c r="AS481" s="13"/>
      <c r="AT481" s="13"/>
      <c r="AU481" s="13"/>
      <c r="AV481" s="13"/>
      <c r="AW481" s="13"/>
      <c r="AX481" s="13"/>
      <c r="AY481" s="13"/>
      <c r="AZ481" s="13"/>
      <c r="BA481" s="13"/>
      <c r="BB481" s="13"/>
      <c r="BC481" s="13"/>
      <c r="BD481" s="13"/>
      <c r="BE481" s="13"/>
      <c r="BF481" s="13"/>
      <c r="BG481" s="13"/>
      <c r="BH481" s="13"/>
      <c r="BI481" s="13"/>
      <c r="BJ481" s="13"/>
      <c r="BK481" s="13"/>
      <c r="BL481" s="13"/>
      <c r="BM481" s="13"/>
      <c r="BN481" s="13"/>
      <c r="BO481" s="13"/>
      <c r="BP481" s="13"/>
      <c r="BQ481" s="13"/>
    </row>
    <row r="482" spans="1:69" ht="15.75" hidden="1" customHeight="1" x14ac:dyDescent="0.2">
      <c r="A482" s="13"/>
      <c r="B482" s="5"/>
      <c r="C482" s="198"/>
      <c r="D482" s="198"/>
      <c r="E482" s="198"/>
      <c r="F482" s="198"/>
      <c r="G482" s="137"/>
      <c r="H482" s="137"/>
      <c r="I482" s="137"/>
      <c r="J482" s="137"/>
      <c r="K482" s="137"/>
      <c r="L482" s="137"/>
      <c r="M482" s="137"/>
      <c r="N482" s="299"/>
      <c r="O482" s="299"/>
      <c r="P482" s="299"/>
      <c r="Q482" s="5"/>
      <c r="R482" s="5"/>
      <c r="S482" s="5"/>
      <c r="T482" s="5"/>
      <c r="U482" s="5"/>
      <c r="V482" s="5"/>
      <c r="W482" s="13"/>
      <c r="X482" s="13"/>
      <c r="Y482" s="13"/>
      <c r="Z482" s="13"/>
      <c r="AA482" s="13"/>
      <c r="AB482" s="13"/>
      <c r="AC482" s="13"/>
      <c r="AD482" s="13"/>
      <c r="AE482" s="13"/>
      <c r="AF482" s="13"/>
      <c r="AG482" s="13"/>
      <c r="AH482" s="13"/>
      <c r="AI482" s="13"/>
      <c r="AJ482" s="13"/>
      <c r="AK482" s="13"/>
      <c r="AL482" s="13"/>
      <c r="AM482" s="13"/>
      <c r="AN482" s="13"/>
      <c r="AO482" s="13"/>
      <c r="AP482" s="13"/>
      <c r="AQ482" s="13"/>
      <c r="AR482" s="13"/>
      <c r="AS482" s="13"/>
      <c r="AT482" s="13"/>
      <c r="AU482" s="13"/>
      <c r="AV482" s="13"/>
      <c r="AW482" s="13"/>
      <c r="AX482" s="13"/>
      <c r="AY482" s="13"/>
      <c r="AZ482" s="13"/>
      <c r="BA482" s="13"/>
      <c r="BB482" s="13"/>
      <c r="BC482" s="13"/>
      <c r="BD482" s="13"/>
      <c r="BE482" s="13"/>
      <c r="BF482" s="13"/>
      <c r="BG482" s="13"/>
      <c r="BH482" s="13"/>
      <c r="BI482" s="13"/>
      <c r="BJ482" s="13"/>
      <c r="BK482" s="13"/>
      <c r="BL482" s="13"/>
      <c r="BM482" s="13"/>
      <c r="BN482" s="13"/>
      <c r="BO482" s="13"/>
      <c r="BP482" s="13"/>
      <c r="BQ482" s="13"/>
    </row>
    <row r="483" spans="1:69" ht="15.75" hidden="1" customHeight="1" x14ac:dyDescent="0.2">
      <c r="A483" s="13"/>
      <c r="B483" s="5"/>
      <c r="C483" s="198"/>
      <c r="D483" s="198"/>
      <c r="E483" s="198"/>
      <c r="F483" s="198"/>
      <c r="G483" s="137"/>
      <c r="H483" s="137"/>
      <c r="I483" s="137"/>
      <c r="J483" s="137"/>
      <c r="K483" s="137"/>
      <c r="L483" s="137"/>
      <c r="M483" s="137"/>
      <c r="N483" s="299"/>
      <c r="O483" s="299"/>
      <c r="P483" s="299"/>
      <c r="Q483" s="5"/>
      <c r="R483" s="5"/>
      <c r="S483" s="5"/>
      <c r="T483" s="5"/>
      <c r="U483" s="5"/>
      <c r="V483" s="5"/>
      <c r="W483" s="13"/>
      <c r="X483" s="13"/>
      <c r="Y483" s="13"/>
      <c r="Z483" s="13"/>
      <c r="AA483" s="13"/>
      <c r="AB483" s="13"/>
      <c r="AC483" s="13"/>
      <c r="AD483" s="13"/>
      <c r="AE483" s="13"/>
      <c r="AF483" s="13"/>
      <c r="AG483" s="13"/>
      <c r="AH483" s="13"/>
      <c r="AI483" s="13"/>
      <c r="AJ483" s="13"/>
      <c r="AK483" s="13"/>
      <c r="AL483" s="13"/>
      <c r="AM483" s="13"/>
      <c r="AN483" s="13"/>
      <c r="AO483" s="13"/>
      <c r="AP483" s="13"/>
      <c r="AQ483" s="13"/>
      <c r="AR483" s="13"/>
      <c r="AS483" s="13"/>
      <c r="AT483" s="13"/>
      <c r="AU483" s="13"/>
      <c r="AV483" s="13"/>
      <c r="AW483" s="13"/>
      <c r="AX483" s="13"/>
      <c r="AY483" s="13"/>
      <c r="AZ483" s="13"/>
      <c r="BA483" s="13"/>
      <c r="BB483" s="13"/>
      <c r="BC483" s="13"/>
      <c r="BD483" s="13"/>
      <c r="BE483" s="13"/>
      <c r="BF483" s="13"/>
      <c r="BG483" s="13"/>
      <c r="BH483" s="13"/>
      <c r="BI483" s="13"/>
      <c r="BJ483" s="13"/>
      <c r="BK483" s="13"/>
      <c r="BL483" s="13"/>
      <c r="BM483" s="13"/>
      <c r="BN483" s="13"/>
      <c r="BO483" s="13"/>
      <c r="BP483" s="13"/>
      <c r="BQ483" s="13"/>
    </row>
    <row r="484" spans="1:69" ht="15.75" hidden="1" customHeight="1" x14ac:dyDescent="0.2">
      <c r="A484" s="13"/>
      <c r="B484" s="5"/>
      <c r="C484" s="198"/>
      <c r="D484" s="198"/>
      <c r="E484" s="198"/>
      <c r="F484" s="198"/>
      <c r="G484" s="137"/>
      <c r="H484" s="137"/>
      <c r="I484" s="137"/>
      <c r="J484" s="137"/>
      <c r="K484" s="137"/>
      <c r="L484" s="137"/>
      <c r="M484" s="137"/>
      <c r="N484" s="299"/>
      <c r="O484" s="299"/>
      <c r="P484" s="299"/>
      <c r="Q484" s="5"/>
      <c r="R484" s="5"/>
      <c r="S484" s="5"/>
      <c r="T484" s="5"/>
      <c r="U484" s="5"/>
      <c r="V484" s="5"/>
      <c r="W484" s="13"/>
      <c r="X484" s="13"/>
      <c r="Y484" s="13"/>
      <c r="Z484" s="13"/>
      <c r="AA484" s="13"/>
      <c r="AB484" s="13"/>
      <c r="AC484" s="13"/>
      <c r="AD484" s="13"/>
      <c r="AE484" s="13"/>
      <c r="AF484" s="13"/>
      <c r="AG484" s="13"/>
      <c r="AH484" s="13"/>
      <c r="AI484" s="13"/>
      <c r="AJ484" s="13"/>
      <c r="AK484" s="13"/>
      <c r="AL484" s="13"/>
      <c r="AM484" s="13"/>
      <c r="AN484" s="13"/>
      <c r="AO484" s="13"/>
      <c r="AP484" s="13"/>
      <c r="AQ484" s="13"/>
      <c r="AR484" s="13"/>
      <c r="AS484" s="13"/>
      <c r="AT484" s="13"/>
      <c r="AU484" s="13"/>
      <c r="AV484" s="13"/>
      <c r="AW484" s="13"/>
      <c r="AX484" s="13"/>
      <c r="AY484" s="13"/>
      <c r="AZ484" s="13"/>
      <c r="BA484" s="13"/>
      <c r="BB484" s="13"/>
      <c r="BC484" s="13"/>
      <c r="BD484" s="13"/>
      <c r="BE484" s="13"/>
      <c r="BF484" s="13"/>
      <c r="BG484" s="13"/>
      <c r="BH484" s="13"/>
      <c r="BI484" s="13"/>
      <c r="BJ484" s="13"/>
      <c r="BK484" s="13"/>
      <c r="BL484" s="13"/>
      <c r="BM484" s="13"/>
      <c r="BN484" s="13"/>
      <c r="BO484" s="13"/>
      <c r="BP484" s="13"/>
      <c r="BQ484" s="13"/>
    </row>
    <row r="485" spans="1:69" ht="15.75" hidden="1" customHeight="1" x14ac:dyDescent="0.2">
      <c r="A485" s="13"/>
      <c r="B485" s="5"/>
      <c r="C485" s="198"/>
      <c r="D485" s="198"/>
      <c r="E485" s="198"/>
      <c r="F485" s="198"/>
      <c r="G485" s="137"/>
      <c r="H485" s="137"/>
      <c r="I485" s="137"/>
      <c r="J485" s="137"/>
      <c r="K485" s="137"/>
      <c r="L485" s="137"/>
      <c r="M485" s="137"/>
      <c r="N485" s="299"/>
      <c r="O485" s="299"/>
      <c r="P485" s="299"/>
      <c r="Q485" s="5"/>
      <c r="R485" s="5"/>
      <c r="S485" s="5"/>
      <c r="T485" s="5"/>
      <c r="U485" s="5"/>
      <c r="V485" s="5"/>
      <c r="W485" s="13"/>
      <c r="X485" s="13"/>
      <c r="Y485" s="13"/>
      <c r="Z485" s="13"/>
      <c r="AA485" s="13"/>
      <c r="AB485" s="13"/>
      <c r="AC485" s="13"/>
      <c r="AD485" s="13"/>
      <c r="AE485" s="13"/>
      <c r="AF485" s="13"/>
      <c r="AG485" s="13"/>
      <c r="AH485" s="13"/>
      <c r="AI485" s="13"/>
      <c r="AJ485" s="13"/>
      <c r="AK485" s="13"/>
      <c r="AL485" s="13"/>
      <c r="AM485" s="13"/>
      <c r="AN485" s="13"/>
      <c r="AO485" s="13"/>
      <c r="AP485" s="13"/>
      <c r="AQ485" s="13"/>
      <c r="AR485" s="13"/>
      <c r="AS485" s="13"/>
      <c r="AT485" s="13"/>
      <c r="AU485" s="13"/>
      <c r="AV485" s="13"/>
      <c r="AW485" s="13"/>
      <c r="AX485" s="13"/>
      <c r="AY485" s="13"/>
      <c r="AZ485" s="13"/>
      <c r="BA485" s="13"/>
      <c r="BB485" s="13"/>
      <c r="BC485" s="13"/>
      <c r="BD485" s="13"/>
      <c r="BE485" s="13"/>
      <c r="BF485" s="13"/>
      <c r="BG485" s="13"/>
      <c r="BH485" s="13"/>
      <c r="BI485" s="13"/>
      <c r="BJ485" s="13"/>
      <c r="BK485" s="13"/>
      <c r="BL485" s="13"/>
      <c r="BM485" s="13"/>
      <c r="BN485" s="13"/>
      <c r="BO485" s="13"/>
      <c r="BP485" s="13"/>
      <c r="BQ485" s="13"/>
    </row>
    <row r="486" spans="1:69" ht="15.75" hidden="1" customHeight="1" x14ac:dyDescent="0.2">
      <c r="A486" s="13"/>
      <c r="B486" s="5"/>
      <c r="C486" s="198"/>
      <c r="D486" s="198"/>
      <c r="E486" s="198"/>
      <c r="F486" s="198"/>
      <c r="G486" s="137"/>
      <c r="H486" s="137"/>
      <c r="I486" s="137"/>
      <c r="J486" s="137"/>
      <c r="K486" s="137"/>
      <c r="L486" s="137"/>
      <c r="M486" s="137"/>
      <c r="N486" s="299"/>
      <c r="O486" s="299"/>
      <c r="P486" s="299"/>
      <c r="Q486" s="5"/>
      <c r="R486" s="5"/>
      <c r="S486" s="5"/>
      <c r="T486" s="5"/>
      <c r="U486" s="5"/>
      <c r="V486" s="5"/>
      <c r="W486" s="13"/>
      <c r="X486" s="13"/>
      <c r="Y486" s="13"/>
      <c r="Z486" s="13"/>
      <c r="AA486" s="13"/>
      <c r="AB486" s="13"/>
      <c r="AC486" s="13"/>
      <c r="AD486" s="13"/>
      <c r="AE486" s="13"/>
      <c r="AF486" s="13"/>
      <c r="AG486" s="13"/>
      <c r="AH486" s="13"/>
      <c r="AI486" s="13"/>
      <c r="AJ486" s="13"/>
      <c r="AK486" s="13"/>
      <c r="AL486" s="13"/>
      <c r="AM486" s="13"/>
      <c r="AN486" s="13"/>
      <c r="AO486" s="13"/>
      <c r="AP486" s="13"/>
      <c r="AQ486" s="13"/>
      <c r="AR486" s="13"/>
      <c r="AS486" s="13"/>
      <c r="AT486" s="13"/>
      <c r="AU486" s="13"/>
      <c r="AV486" s="13"/>
      <c r="AW486" s="13"/>
      <c r="AX486" s="13"/>
      <c r="AY486" s="13"/>
      <c r="AZ486" s="13"/>
      <c r="BA486" s="13"/>
      <c r="BB486" s="13"/>
      <c r="BC486" s="13"/>
      <c r="BD486" s="13"/>
      <c r="BE486" s="13"/>
      <c r="BF486" s="13"/>
      <c r="BG486" s="13"/>
      <c r="BH486" s="13"/>
      <c r="BI486" s="13"/>
      <c r="BJ486" s="13"/>
      <c r="BK486" s="13"/>
      <c r="BL486" s="13"/>
      <c r="BM486" s="13"/>
      <c r="BN486" s="13"/>
      <c r="BO486" s="13"/>
      <c r="BP486" s="13"/>
      <c r="BQ486" s="13"/>
    </row>
    <row r="487" spans="1:69" ht="15.75" hidden="1" customHeight="1" x14ac:dyDescent="0.2">
      <c r="A487" s="13"/>
      <c r="B487" s="5"/>
      <c r="C487" s="198"/>
      <c r="D487" s="198"/>
      <c r="E487" s="198"/>
      <c r="F487" s="198"/>
      <c r="G487" s="137"/>
      <c r="H487" s="137"/>
      <c r="I487" s="137"/>
      <c r="J487" s="137"/>
      <c r="K487" s="137"/>
      <c r="L487" s="137"/>
      <c r="M487" s="137"/>
      <c r="N487" s="299"/>
      <c r="O487" s="299"/>
      <c r="P487" s="299"/>
      <c r="Q487" s="5"/>
      <c r="R487" s="5"/>
      <c r="S487" s="5"/>
      <c r="T487" s="5"/>
      <c r="U487" s="5"/>
      <c r="V487" s="5"/>
      <c r="W487" s="13"/>
      <c r="X487" s="13"/>
      <c r="Y487" s="13"/>
      <c r="Z487" s="13"/>
      <c r="AA487" s="13"/>
      <c r="AB487" s="13"/>
      <c r="AC487" s="13"/>
      <c r="AD487" s="13"/>
      <c r="AE487" s="13"/>
      <c r="AF487" s="13"/>
      <c r="AG487" s="13"/>
      <c r="AH487" s="13"/>
      <c r="AI487" s="13"/>
      <c r="AJ487" s="13"/>
      <c r="AK487" s="13"/>
      <c r="AL487" s="13"/>
      <c r="AM487" s="13"/>
      <c r="AN487" s="13"/>
      <c r="AO487" s="13"/>
      <c r="AP487" s="13"/>
      <c r="AQ487" s="13"/>
      <c r="AR487" s="13"/>
      <c r="AS487" s="13"/>
      <c r="AT487" s="13"/>
      <c r="AU487" s="13"/>
      <c r="AV487" s="13"/>
      <c r="AW487" s="13"/>
      <c r="AX487" s="13"/>
      <c r="AY487" s="13"/>
      <c r="AZ487" s="13"/>
      <c r="BA487" s="13"/>
      <c r="BB487" s="13"/>
      <c r="BC487" s="13"/>
      <c r="BD487" s="13"/>
      <c r="BE487" s="13"/>
      <c r="BF487" s="13"/>
      <c r="BG487" s="13"/>
      <c r="BH487" s="13"/>
      <c r="BI487" s="13"/>
      <c r="BJ487" s="13"/>
      <c r="BK487" s="13"/>
      <c r="BL487" s="13"/>
      <c r="BM487" s="13"/>
      <c r="BN487" s="13"/>
      <c r="BO487" s="13"/>
      <c r="BP487" s="13"/>
      <c r="BQ487" s="13"/>
    </row>
    <row r="488" spans="1:69" ht="15.75" hidden="1" customHeight="1" x14ac:dyDescent="0.2">
      <c r="A488" s="13"/>
      <c r="B488" s="5"/>
      <c r="C488" s="198"/>
      <c r="D488" s="198"/>
      <c r="E488" s="198"/>
      <c r="F488" s="198"/>
      <c r="G488" s="137"/>
      <c r="H488" s="137"/>
      <c r="I488" s="137"/>
      <c r="J488" s="137"/>
      <c r="K488" s="137"/>
      <c r="L488" s="137"/>
      <c r="M488" s="137"/>
      <c r="N488" s="299"/>
      <c r="O488" s="299"/>
      <c r="P488" s="299"/>
      <c r="Q488" s="5"/>
      <c r="R488" s="5"/>
      <c r="S488" s="5"/>
      <c r="T488" s="5"/>
      <c r="U488" s="5"/>
      <c r="V488" s="5"/>
      <c r="W488" s="13"/>
      <c r="X488" s="13"/>
      <c r="Y488" s="13"/>
      <c r="Z488" s="13"/>
      <c r="AA488" s="13"/>
      <c r="AB488" s="13"/>
      <c r="AC488" s="13"/>
      <c r="AD488" s="13"/>
      <c r="AE488" s="13"/>
      <c r="AF488" s="13"/>
      <c r="AG488" s="13"/>
      <c r="AH488" s="13"/>
      <c r="AI488" s="13"/>
      <c r="AJ488" s="13"/>
      <c r="AK488" s="13"/>
      <c r="AL488" s="13"/>
      <c r="AM488" s="13"/>
      <c r="AN488" s="13"/>
      <c r="AO488" s="13"/>
      <c r="AP488" s="13"/>
      <c r="AQ488" s="13"/>
      <c r="AR488" s="13"/>
      <c r="AS488" s="13"/>
      <c r="AT488" s="13"/>
      <c r="AU488" s="13"/>
      <c r="AV488" s="13"/>
      <c r="AW488" s="13"/>
      <c r="AX488" s="13"/>
      <c r="AY488" s="13"/>
      <c r="AZ488" s="13"/>
      <c r="BA488" s="13"/>
      <c r="BB488" s="13"/>
      <c r="BC488" s="13"/>
      <c r="BD488" s="13"/>
      <c r="BE488" s="13"/>
      <c r="BF488" s="13"/>
      <c r="BG488" s="13"/>
      <c r="BH488" s="13"/>
      <c r="BI488" s="13"/>
      <c r="BJ488" s="13"/>
      <c r="BK488" s="13"/>
      <c r="BL488" s="13"/>
      <c r="BM488" s="13"/>
      <c r="BN488" s="13"/>
      <c r="BO488" s="13"/>
      <c r="BP488" s="13"/>
      <c r="BQ488" s="13"/>
    </row>
    <row r="489" spans="1:69" ht="15.75" hidden="1" customHeight="1" x14ac:dyDescent="0.2">
      <c r="A489" s="13"/>
      <c r="B489" s="5"/>
      <c r="C489" s="198"/>
      <c r="D489" s="198"/>
      <c r="E489" s="198"/>
      <c r="F489" s="198"/>
      <c r="G489" s="137"/>
      <c r="H489" s="137"/>
      <c r="I489" s="137"/>
      <c r="J489" s="137"/>
      <c r="K489" s="137"/>
      <c r="L489" s="137"/>
      <c r="M489" s="137"/>
      <c r="N489" s="299"/>
      <c r="O489" s="299"/>
      <c r="P489" s="299"/>
      <c r="Q489" s="5"/>
      <c r="R489" s="5"/>
      <c r="S489" s="5"/>
      <c r="T489" s="5"/>
      <c r="U489" s="5"/>
      <c r="V489" s="5"/>
      <c r="W489" s="13"/>
      <c r="X489" s="13"/>
      <c r="Y489" s="13"/>
      <c r="Z489" s="13"/>
      <c r="AA489" s="13"/>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BP489" s="13"/>
      <c r="BQ489" s="13"/>
    </row>
    <row r="490" spans="1:69" ht="15.75" hidden="1" customHeight="1" x14ac:dyDescent="0.2">
      <c r="A490" s="13"/>
      <c r="B490" s="5"/>
      <c r="C490" s="198"/>
      <c r="D490" s="198"/>
      <c r="E490" s="198"/>
      <c r="F490" s="198"/>
      <c r="G490" s="137"/>
      <c r="H490" s="137"/>
      <c r="I490" s="137"/>
      <c r="J490" s="137"/>
      <c r="K490" s="137"/>
      <c r="L490" s="137"/>
      <c r="M490" s="137"/>
      <c r="N490" s="299"/>
      <c r="O490" s="299"/>
      <c r="P490" s="299"/>
      <c r="Q490" s="5"/>
      <c r="R490" s="5"/>
      <c r="S490" s="5"/>
      <c r="T490" s="5"/>
      <c r="U490" s="5"/>
      <c r="V490" s="5"/>
      <c r="W490" s="13"/>
      <c r="X490" s="13"/>
      <c r="Y490" s="13"/>
      <c r="Z490" s="13"/>
      <c r="AA490" s="13"/>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c r="BL490" s="13"/>
      <c r="BM490" s="13"/>
      <c r="BN490" s="13"/>
      <c r="BO490" s="13"/>
      <c r="BP490" s="13"/>
      <c r="BQ490" s="13"/>
    </row>
    <row r="491" spans="1:69" ht="15.75" hidden="1" customHeight="1" x14ac:dyDescent="0.2">
      <c r="A491" s="13"/>
      <c r="B491" s="5"/>
      <c r="C491" s="198"/>
      <c r="D491" s="198"/>
      <c r="E491" s="198"/>
      <c r="F491" s="198"/>
      <c r="G491" s="137"/>
      <c r="H491" s="137"/>
      <c r="I491" s="137"/>
      <c r="J491" s="137"/>
      <c r="K491" s="137"/>
      <c r="L491" s="137"/>
      <c r="M491" s="137"/>
      <c r="N491" s="299"/>
      <c r="O491" s="299"/>
      <c r="P491" s="299"/>
      <c r="Q491" s="5"/>
      <c r="R491" s="5"/>
      <c r="S491" s="5"/>
      <c r="T491" s="5"/>
      <c r="U491" s="5"/>
      <c r="V491" s="5"/>
      <c r="W491" s="13"/>
      <c r="X491" s="13"/>
      <c r="Y491" s="13"/>
      <c r="Z491" s="13"/>
      <c r="AA491" s="13"/>
      <c r="AB491" s="13"/>
      <c r="AC491" s="13"/>
      <c r="AD491" s="13"/>
      <c r="AE491" s="13"/>
      <c r="AF491" s="13"/>
      <c r="AG491" s="13"/>
      <c r="AH491" s="13"/>
      <c r="AI491" s="13"/>
      <c r="AJ491" s="13"/>
      <c r="AK491" s="13"/>
      <c r="AL491" s="13"/>
      <c r="AM491" s="13"/>
      <c r="AN491" s="13"/>
      <c r="AO491" s="13"/>
      <c r="AP491" s="13"/>
      <c r="AQ491" s="13"/>
      <c r="AR491" s="13"/>
      <c r="AS491" s="13"/>
      <c r="AT491" s="13"/>
      <c r="AU491" s="13"/>
      <c r="AV491" s="13"/>
      <c r="AW491" s="13"/>
      <c r="AX491" s="13"/>
      <c r="AY491" s="13"/>
      <c r="AZ491" s="13"/>
      <c r="BA491" s="13"/>
      <c r="BB491" s="13"/>
      <c r="BC491" s="13"/>
      <c r="BD491" s="13"/>
      <c r="BE491" s="13"/>
      <c r="BF491" s="13"/>
      <c r="BG491" s="13"/>
      <c r="BH491" s="13"/>
      <c r="BI491" s="13"/>
      <c r="BJ491" s="13"/>
      <c r="BK491" s="13"/>
      <c r="BL491" s="13"/>
      <c r="BM491" s="13"/>
      <c r="BN491" s="13"/>
      <c r="BO491" s="13"/>
      <c r="BP491" s="13"/>
      <c r="BQ491" s="13"/>
    </row>
    <row r="492" spans="1:69" ht="15.75" hidden="1" customHeight="1" x14ac:dyDescent="0.2">
      <c r="A492" s="13"/>
      <c r="B492" s="5"/>
      <c r="C492" s="198"/>
      <c r="D492" s="198"/>
      <c r="E492" s="198"/>
      <c r="F492" s="198"/>
      <c r="G492" s="137"/>
      <c r="H492" s="137"/>
      <c r="I492" s="137"/>
      <c r="J492" s="137"/>
      <c r="K492" s="137"/>
      <c r="L492" s="137"/>
      <c r="M492" s="137"/>
      <c r="N492" s="299"/>
      <c r="O492" s="299"/>
      <c r="P492" s="299"/>
      <c r="Q492" s="5"/>
      <c r="R492" s="5"/>
      <c r="S492" s="5"/>
      <c r="T492" s="5"/>
      <c r="U492" s="5"/>
      <c r="V492" s="5"/>
      <c r="W492" s="13"/>
      <c r="X492" s="13"/>
      <c r="Y492" s="13"/>
      <c r="Z492" s="13"/>
      <c r="AA492" s="13"/>
      <c r="AB492" s="13"/>
      <c r="AC492" s="13"/>
      <c r="AD492" s="13"/>
      <c r="AE492" s="13"/>
      <c r="AF492" s="13"/>
      <c r="AG492" s="13"/>
      <c r="AH492" s="13"/>
      <c r="AI492" s="13"/>
      <c r="AJ492" s="13"/>
      <c r="AK492" s="13"/>
      <c r="AL492" s="13"/>
      <c r="AM492" s="13"/>
      <c r="AN492" s="13"/>
      <c r="AO492" s="13"/>
      <c r="AP492" s="13"/>
      <c r="AQ492" s="13"/>
      <c r="AR492" s="13"/>
      <c r="AS492" s="13"/>
      <c r="AT492" s="13"/>
      <c r="AU492" s="13"/>
      <c r="AV492" s="13"/>
      <c r="AW492" s="13"/>
      <c r="AX492" s="13"/>
      <c r="AY492" s="13"/>
      <c r="AZ492" s="13"/>
      <c r="BA492" s="13"/>
      <c r="BB492" s="13"/>
      <c r="BC492" s="13"/>
      <c r="BD492" s="13"/>
      <c r="BE492" s="13"/>
      <c r="BF492" s="13"/>
      <c r="BG492" s="13"/>
      <c r="BH492" s="13"/>
      <c r="BI492" s="13"/>
      <c r="BJ492" s="13"/>
      <c r="BK492" s="13"/>
      <c r="BL492" s="13"/>
      <c r="BM492" s="13"/>
      <c r="BN492" s="13"/>
      <c r="BO492" s="13"/>
      <c r="BP492" s="13"/>
      <c r="BQ492" s="13"/>
    </row>
    <row r="493" spans="1:69" ht="15.75" hidden="1" customHeight="1" x14ac:dyDescent="0.2">
      <c r="A493" s="13"/>
      <c r="B493" s="5"/>
      <c r="C493" s="198"/>
      <c r="D493" s="198"/>
      <c r="E493" s="198"/>
      <c r="F493" s="198"/>
      <c r="G493" s="137"/>
      <c r="H493" s="137"/>
      <c r="I493" s="137"/>
      <c r="J493" s="137"/>
      <c r="K493" s="137"/>
      <c r="L493" s="137"/>
      <c r="M493" s="137"/>
      <c r="N493" s="299"/>
      <c r="O493" s="299"/>
      <c r="P493" s="299"/>
      <c r="Q493" s="5"/>
      <c r="R493" s="5"/>
      <c r="S493" s="5"/>
      <c r="T493" s="5"/>
      <c r="U493" s="5"/>
      <c r="V493" s="5"/>
      <c r="W493" s="13"/>
      <c r="X493" s="13"/>
      <c r="Y493" s="13"/>
      <c r="Z493" s="13"/>
      <c r="AA493" s="13"/>
      <c r="AB493" s="13"/>
      <c r="AC493" s="13"/>
      <c r="AD493" s="13"/>
      <c r="AE493" s="13"/>
      <c r="AF493" s="13"/>
      <c r="AG493" s="13"/>
      <c r="AH493" s="13"/>
      <c r="AI493" s="13"/>
      <c r="AJ493" s="13"/>
      <c r="AK493" s="13"/>
      <c r="AL493" s="13"/>
      <c r="AM493" s="13"/>
      <c r="AN493" s="13"/>
      <c r="AO493" s="13"/>
      <c r="AP493" s="13"/>
      <c r="AQ493" s="13"/>
      <c r="AR493" s="13"/>
      <c r="AS493" s="13"/>
      <c r="AT493" s="13"/>
      <c r="AU493" s="13"/>
      <c r="AV493" s="13"/>
      <c r="AW493" s="13"/>
      <c r="AX493" s="13"/>
      <c r="AY493" s="13"/>
      <c r="AZ493" s="13"/>
      <c r="BA493" s="13"/>
      <c r="BB493" s="13"/>
      <c r="BC493" s="13"/>
      <c r="BD493" s="13"/>
      <c r="BE493" s="13"/>
      <c r="BF493" s="13"/>
      <c r="BG493" s="13"/>
      <c r="BH493" s="13"/>
      <c r="BI493" s="13"/>
      <c r="BJ493" s="13"/>
      <c r="BK493" s="13"/>
      <c r="BL493" s="13"/>
      <c r="BM493" s="13"/>
      <c r="BN493" s="13"/>
      <c r="BO493" s="13"/>
      <c r="BP493" s="13"/>
      <c r="BQ493" s="13"/>
    </row>
    <row r="494" spans="1:69" ht="15.75" hidden="1" customHeight="1" x14ac:dyDescent="0.2">
      <c r="A494" s="13"/>
      <c r="B494" s="5"/>
      <c r="C494" s="198"/>
      <c r="D494" s="198"/>
      <c r="E494" s="198"/>
      <c r="F494" s="198"/>
      <c r="G494" s="137"/>
      <c r="H494" s="137"/>
      <c r="I494" s="137"/>
      <c r="J494" s="137"/>
      <c r="K494" s="137"/>
      <c r="L494" s="137"/>
      <c r="M494" s="137"/>
      <c r="N494" s="299"/>
      <c r="O494" s="299"/>
      <c r="P494" s="299"/>
      <c r="Q494" s="5"/>
      <c r="R494" s="5"/>
      <c r="S494" s="5"/>
      <c r="T494" s="5"/>
      <c r="U494" s="5"/>
      <c r="V494" s="5"/>
      <c r="W494" s="13"/>
      <c r="X494" s="13"/>
      <c r="Y494" s="13"/>
      <c r="Z494" s="13"/>
      <c r="AA494" s="13"/>
      <c r="AB494" s="13"/>
      <c r="AC494" s="13"/>
      <c r="AD494" s="13"/>
      <c r="AE494" s="13"/>
      <c r="AF494" s="13"/>
      <c r="AG494" s="13"/>
      <c r="AH494" s="13"/>
      <c r="AI494" s="13"/>
      <c r="AJ494" s="13"/>
      <c r="AK494" s="13"/>
      <c r="AL494" s="13"/>
      <c r="AM494" s="13"/>
      <c r="AN494" s="13"/>
      <c r="AO494" s="13"/>
      <c r="AP494" s="13"/>
      <c r="AQ494" s="13"/>
      <c r="AR494" s="13"/>
      <c r="AS494" s="13"/>
      <c r="AT494" s="13"/>
      <c r="AU494" s="13"/>
      <c r="AV494" s="13"/>
      <c r="AW494" s="13"/>
      <c r="AX494" s="13"/>
      <c r="AY494" s="13"/>
      <c r="AZ494" s="13"/>
      <c r="BA494" s="13"/>
      <c r="BB494" s="13"/>
      <c r="BC494" s="13"/>
      <c r="BD494" s="13"/>
      <c r="BE494" s="13"/>
      <c r="BF494" s="13"/>
      <c r="BG494" s="13"/>
      <c r="BH494" s="13"/>
      <c r="BI494" s="13"/>
      <c r="BJ494" s="13"/>
      <c r="BK494" s="13"/>
      <c r="BL494" s="13"/>
      <c r="BM494" s="13"/>
      <c r="BN494" s="13"/>
      <c r="BO494" s="13"/>
      <c r="BP494" s="13"/>
      <c r="BQ494" s="13"/>
    </row>
    <row r="495" spans="1:69" ht="15.75" hidden="1" customHeight="1" x14ac:dyDescent="0.2">
      <c r="A495" s="13"/>
      <c r="B495" s="5"/>
      <c r="C495" s="198"/>
      <c r="D495" s="198"/>
      <c r="E495" s="198"/>
      <c r="F495" s="198"/>
      <c r="G495" s="137"/>
      <c r="H495" s="137"/>
      <c r="I495" s="137"/>
      <c r="J495" s="137"/>
      <c r="K495" s="137"/>
      <c r="L495" s="137"/>
      <c r="M495" s="137"/>
      <c r="N495" s="299"/>
      <c r="O495" s="299"/>
      <c r="P495" s="299"/>
      <c r="Q495" s="5"/>
      <c r="R495" s="5"/>
      <c r="S495" s="5"/>
      <c r="T495" s="5"/>
      <c r="U495" s="5"/>
      <c r="V495" s="5"/>
      <c r="W495" s="13"/>
      <c r="X495" s="13"/>
      <c r="Y495" s="13"/>
      <c r="Z495" s="13"/>
      <c r="AA495" s="13"/>
      <c r="AB495" s="13"/>
      <c r="AC495" s="13"/>
      <c r="AD495" s="13"/>
      <c r="AE495" s="13"/>
      <c r="AF495" s="13"/>
      <c r="AG495" s="13"/>
      <c r="AH495" s="13"/>
      <c r="AI495" s="13"/>
      <c r="AJ495" s="13"/>
      <c r="AK495" s="13"/>
      <c r="AL495" s="13"/>
      <c r="AM495" s="13"/>
      <c r="AN495" s="13"/>
      <c r="AO495" s="13"/>
      <c r="AP495" s="13"/>
      <c r="AQ495" s="13"/>
      <c r="AR495" s="13"/>
      <c r="AS495" s="13"/>
      <c r="AT495" s="13"/>
      <c r="AU495" s="13"/>
      <c r="AV495" s="13"/>
      <c r="AW495" s="13"/>
      <c r="AX495" s="13"/>
      <c r="AY495" s="13"/>
      <c r="AZ495" s="13"/>
      <c r="BA495" s="13"/>
      <c r="BB495" s="13"/>
      <c r="BC495" s="13"/>
      <c r="BD495" s="13"/>
      <c r="BE495" s="13"/>
      <c r="BF495" s="13"/>
      <c r="BG495" s="13"/>
      <c r="BH495" s="13"/>
      <c r="BI495" s="13"/>
      <c r="BJ495" s="13"/>
      <c r="BK495" s="13"/>
      <c r="BL495" s="13"/>
      <c r="BM495" s="13"/>
      <c r="BN495" s="13"/>
      <c r="BO495" s="13"/>
      <c r="BP495" s="13"/>
      <c r="BQ495" s="13"/>
    </row>
    <row r="496" spans="1:69" ht="15.75" hidden="1" customHeight="1" x14ac:dyDescent="0.2">
      <c r="A496" s="13"/>
      <c r="B496" s="5"/>
      <c r="C496" s="198"/>
      <c r="D496" s="198"/>
      <c r="E496" s="198"/>
      <c r="F496" s="198"/>
      <c r="G496" s="137"/>
      <c r="H496" s="137"/>
      <c r="I496" s="137"/>
      <c r="J496" s="137"/>
      <c r="K496" s="137"/>
      <c r="L496" s="137"/>
      <c r="M496" s="137"/>
      <c r="N496" s="299"/>
      <c r="O496" s="299"/>
      <c r="P496" s="299"/>
      <c r="Q496" s="5"/>
      <c r="R496" s="5"/>
      <c r="S496" s="5"/>
      <c r="T496" s="5"/>
      <c r="U496" s="5"/>
      <c r="V496" s="5"/>
      <c r="W496" s="13"/>
      <c r="X496" s="13"/>
      <c r="Y496" s="13"/>
      <c r="Z496" s="13"/>
      <c r="AA496" s="13"/>
      <c r="AB496" s="13"/>
      <c r="AC496" s="13"/>
      <c r="AD496" s="13"/>
      <c r="AE496" s="13"/>
      <c r="AF496" s="13"/>
      <c r="AG496" s="13"/>
      <c r="AH496" s="13"/>
      <c r="AI496" s="13"/>
      <c r="AJ496" s="13"/>
      <c r="AK496" s="13"/>
      <c r="AL496" s="13"/>
      <c r="AM496" s="13"/>
      <c r="AN496" s="13"/>
      <c r="AO496" s="13"/>
      <c r="AP496" s="13"/>
      <c r="AQ496" s="13"/>
      <c r="AR496" s="13"/>
      <c r="AS496" s="13"/>
      <c r="AT496" s="13"/>
      <c r="AU496" s="13"/>
      <c r="AV496" s="13"/>
      <c r="AW496" s="13"/>
      <c r="AX496" s="13"/>
      <c r="AY496" s="13"/>
      <c r="AZ496" s="13"/>
      <c r="BA496" s="13"/>
      <c r="BB496" s="13"/>
      <c r="BC496" s="13"/>
      <c r="BD496" s="13"/>
      <c r="BE496" s="13"/>
      <c r="BF496" s="13"/>
      <c r="BG496" s="13"/>
      <c r="BH496" s="13"/>
      <c r="BI496" s="13"/>
      <c r="BJ496" s="13"/>
      <c r="BK496" s="13"/>
      <c r="BL496" s="13"/>
      <c r="BM496" s="13"/>
      <c r="BN496" s="13"/>
      <c r="BO496" s="13"/>
      <c r="BP496" s="13"/>
      <c r="BQ496" s="13"/>
    </row>
    <row r="497" spans="1:69" ht="15.75" hidden="1" customHeight="1" x14ac:dyDescent="0.2">
      <c r="A497" s="13"/>
      <c r="B497" s="5"/>
      <c r="C497" s="198"/>
      <c r="D497" s="198"/>
      <c r="E497" s="198"/>
      <c r="F497" s="198"/>
      <c r="G497" s="137"/>
      <c r="H497" s="137"/>
      <c r="I497" s="137"/>
      <c r="J497" s="137"/>
      <c r="K497" s="137"/>
      <c r="L497" s="137"/>
      <c r="M497" s="137"/>
      <c r="N497" s="299"/>
      <c r="O497" s="299"/>
      <c r="P497" s="299"/>
      <c r="Q497" s="5"/>
      <c r="R497" s="5"/>
      <c r="S497" s="5"/>
      <c r="T497" s="5"/>
      <c r="U497" s="5"/>
      <c r="V497" s="5"/>
      <c r="W497" s="13"/>
      <c r="X497" s="13"/>
      <c r="Y497" s="13"/>
      <c r="Z497" s="13"/>
      <c r="AA497" s="13"/>
      <c r="AB497" s="13"/>
      <c r="AC497" s="13"/>
      <c r="AD497" s="13"/>
      <c r="AE497" s="13"/>
      <c r="AF497" s="13"/>
      <c r="AG497" s="13"/>
      <c r="AH497" s="13"/>
      <c r="AI497" s="13"/>
      <c r="AJ497" s="13"/>
      <c r="AK497" s="13"/>
      <c r="AL497" s="13"/>
      <c r="AM497" s="13"/>
      <c r="AN497" s="13"/>
      <c r="AO497" s="13"/>
      <c r="AP497" s="13"/>
      <c r="AQ497" s="13"/>
      <c r="AR497" s="13"/>
      <c r="AS497" s="13"/>
      <c r="AT497" s="13"/>
      <c r="AU497" s="13"/>
      <c r="AV497" s="13"/>
      <c r="AW497" s="13"/>
      <c r="AX497" s="13"/>
      <c r="AY497" s="13"/>
      <c r="AZ497" s="13"/>
      <c r="BA497" s="13"/>
      <c r="BB497" s="13"/>
      <c r="BC497" s="13"/>
      <c r="BD497" s="13"/>
      <c r="BE497" s="13"/>
      <c r="BF497" s="13"/>
      <c r="BG497" s="13"/>
      <c r="BH497" s="13"/>
      <c r="BI497" s="13"/>
      <c r="BJ497" s="13"/>
      <c r="BK497" s="13"/>
      <c r="BL497" s="13"/>
      <c r="BM497" s="13"/>
      <c r="BN497" s="13"/>
      <c r="BO497" s="13"/>
      <c r="BP497" s="13"/>
      <c r="BQ497" s="13"/>
    </row>
    <row r="498" spans="1:69" ht="15.75" hidden="1" customHeight="1" x14ac:dyDescent="0.2">
      <c r="A498" s="13"/>
      <c r="B498" s="5"/>
      <c r="C498" s="198"/>
      <c r="D498" s="198"/>
      <c r="E498" s="198"/>
      <c r="F498" s="198"/>
      <c r="G498" s="137"/>
      <c r="H498" s="137"/>
      <c r="I498" s="137"/>
      <c r="J498" s="137"/>
      <c r="K498" s="137"/>
      <c r="L498" s="137"/>
      <c r="M498" s="137"/>
      <c r="N498" s="299"/>
      <c r="O498" s="299"/>
      <c r="P498" s="299"/>
      <c r="Q498" s="5"/>
      <c r="R498" s="5"/>
      <c r="S498" s="5"/>
      <c r="T498" s="5"/>
      <c r="U498" s="5"/>
      <c r="V498" s="5"/>
      <c r="W498" s="13"/>
      <c r="X498" s="13"/>
      <c r="Y498" s="13"/>
      <c r="Z498" s="13"/>
      <c r="AA498" s="13"/>
      <c r="AB498" s="13"/>
      <c r="AC498" s="13"/>
      <c r="AD498" s="13"/>
      <c r="AE498" s="13"/>
      <c r="AF498" s="13"/>
      <c r="AG498" s="13"/>
      <c r="AH498" s="13"/>
      <c r="AI498" s="13"/>
      <c r="AJ498" s="13"/>
      <c r="AK498" s="13"/>
      <c r="AL498" s="13"/>
      <c r="AM498" s="13"/>
      <c r="AN498" s="13"/>
      <c r="AO498" s="13"/>
      <c r="AP498" s="13"/>
      <c r="AQ498" s="13"/>
      <c r="AR498" s="13"/>
      <c r="AS498" s="13"/>
      <c r="AT498" s="13"/>
      <c r="AU498" s="13"/>
      <c r="AV498" s="13"/>
      <c r="AW498" s="13"/>
      <c r="AX498" s="13"/>
      <c r="AY498" s="13"/>
      <c r="AZ498" s="13"/>
      <c r="BA498" s="13"/>
      <c r="BB498" s="13"/>
      <c r="BC498" s="13"/>
      <c r="BD498" s="13"/>
      <c r="BE498" s="13"/>
      <c r="BF498" s="13"/>
      <c r="BG498" s="13"/>
      <c r="BH498" s="13"/>
      <c r="BI498" s="13"/>
      <c r="BJ498" s="13"/>
      <c r="BK498" s="13"/>
      <c r="BL498" s="13"/>
      <c r="BM498" s="13"/>
      <c r="BN498" s="13"/>
      <c r="BO498" s="13"/>
      <c r="BP498" s="13"/>
      <c r="BQ498" s="13"/>
    </row>
    <row r="499" spans="1:69" ht="15.75" hidden="1" customHeight="1" x14ac:dyDescent="0.2">
      <c r="A499" s="13"/>
      <c r="B499" s="5"/>
      <c r="C499" s="198"/>
      <c r="D499" s="198"/>
      <c r="E499" s="198"/>
      <c r="F499" s="198"/>
      <c r="G499" s="137"/>
      <c r="H499" s="137"/>
      <c r="I499" s="137"/>
      <c r="J499" s="137"/>
      <c r="K499" s="137"/>
      <c r="L499" s="137"/>
      <c r="M499" s="137"/>
      <c r="N499" s="299"/>
      <c r="O499" s="299"/>
      <c r="P499" s="299"/>
      <c r="Q499" s="5"/>
      <c r="R499" s="5"/>
      <c r="S499" s="5"/>
      <c r="T499" s="5"/>
      <c r="U499" s="5"/>
      <c r="V499" s="5"/>
      <c r="W499" s="13"/>
      <c r="X499" s="13"/>
      <c r="Y499" s="13"/>
      <c r="Z499" s="13"/>
      <c r="AA499" s="13"/>
      <c r="AB499" s="13"/>
      <c r="AC499" s="13"/>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row>
    <row r="500" spans="1:69" ht="15.75" hidden="1" customHeight="1" x14ac:dyDescent="0.2">
      <c r="A500" s="13"/>
      <c r="B500" s="5"/>
      <c r="C500" s="198"/>
      <c r="D500" s="198"/>
      <c r="E500" s="198"/>
      <c r="F500" s="198"/>
      <c r="G500" s="137"/>
      <c r="H500" s="137"/>
      <c r="I500" s="137"/>
      <c r="J500" s="137"/>
      <c r="K500" s="137"/>
      <c r="L500" s="137"/>
      <c r="M500" s="137"/>
      <c r="N500" s="299"/>
      <c r="O500" s="299"/>
      <c r="P500" s="299"/>
      <c r="Q500" s="5"/>
      <c r="R500" s="5"/>
      <c r="S500" s="5"/>
      <c r="T500" s="5"/>
      <c r="U500" s="5"/>
      <c r="V500" s="5"/>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row>
    <row r="501" spans="1:69" ht="15.75" hidden="1" customHeight="1" x14ac:dyDescent="0.2">
      <c r="A501" s="13"/>
      <c r="B501" s="5"/>
      <c r="C501" s="198"/>
      <c r="D501" s="198"/>
      <c r="E501" s="198"/>
      <c r="F501" s="198"/>
      <c r="G501" s="137"/>
      <c r="H501" s="137"/>
      <c r="I501" s="137"/>
      <c r="J501" s="137"/>
      <c r="K501" s="137"/>
      <c r="L501" s="137"/>
      <c r="M501" s="137"/>
      <c r="N501" s="299"/>
      <c r="O501" s="299"/>
      <c r="P501" s="299"/>
      <c r="Q501" s="5"/>
      <c r="R501" s="5"/>
      <c r="S501" s="5"/>
      <c r="T501" s="5"/>
      <c r="U501" s="5"/>
      <c r="V501" s="5"/>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row>
    <row r="502" spans="1:69" ht="15.75" hidden="1" customHeight="1" x14ac:dyDescent="0.2">
      <c r="A502" s="13"/>
      <c r="B502" s="5"/>
      <c r="C502" s="198"/>
      <c r="D502" s="198"/>
      <c r="E502" s="198"/>
      <c r="F502" s="198"/>
      <c r="G502" s="137"/>
      <c r="H502" s="137"/>
      <c r="I502" s="137"/>
      <c r="J502" s="137"/>
      <c r="K502" s="137"/>
      <c r="L502" s="137"/>
      <c r="M502" s="137"/>
      <c r="N502" s="299"/>
      <c r="O502" s="299"/>
      <c r="P502" s="299"/>
      <c r="Q502" s="5"/>
      <c r="R502" s="5"/>
      <c r="S502" s="5"/>
      <c r="T502" s="5"/>
      <c r="U502" s="5"/>
      <c r="V502" s="5"/>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c r="AY502" s="13"/>
      <c r="AZ502" s="13"/>
      <c r="BA502" s="13"/>
      <c r="BB502" s="13"/>
      <c r="BC502" s="13"/>
      <c r="BD502" s="13"/>
      <c r="BE502" s="13"/>
      <c r="BF502" s="13"/>
      <c r="BG502" s="13"/>
      <c r="BH502" s="13"/>
      <c r="BI502" s="13"/>
      <c r="BJ502" s="13"/>
      <c r="BK502" s="13"/>
      <c r="BL502" s="13"/>
      <c r="BM502" s="13"/>
      <c r="BN502" s="13"/>
      <c r="BO502" s="13"/>
      <c r="BP502" s="13"/>
      <c r="BQ502" s="13"/>
    </row>
    <row r="503" spans="1:69" ht="15.75" hidden="1" customHeight="1" x14ac:dyDescent="0.2">
      <c r="A503" s="13"/>
      <c r="B503" s="5"/>
      <c r="C503" s="198"/>
      <c r="D503" s="198"/>
      <c r="E503" s="198"/>
      <c r="F503" s="198"/>
      <c r="G503" s="137"/>
      <c r="H503" s="137"/>
      <c r="I503" s="137"/>
      <c r="J503" s="137"/>
      <c r="K503" s="137"/>
      <c r="L503" s="137"/>
      <c r="M503" s="137"/>
      <c r="N503" s="299"/>
      <c r="O503" s="299"/>
      <c r="P503" s="299"/>
      <c r="Q503" s="5"/>
      <c r="R503" s="5"/>
      <c r="S503" s="5"/>
      <c r="T503" s="5"/>
      <c r="U503" s="5"/>
      <c r="V503" s="5"/>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BQ503" s="13"/>
    </row>
    <row r="504" spans="1:69" ht="15.75" hidden="1" customHeight="1" x14ac:dyDescent="0.2">
      <c r="A504" s="13"/>
      <c r="B504" s="5"/>
      <c r="C504" s="198"/>
      <c r="D504" s="198"/>
      <c r="E504" s="198"/>
      <c r="F504" s="198"/>
      <c r="G504" s="137"/>
      <c r="H504" s="137"/>
      <c r="I504" s="137"/>
      <c r="J504" s="137"/>
      <c r="K504" s="137"/>
      <c r="L504" s="137"/>
      <c r="M504" s="137"/>
      <c r="N504" s="299"/>
      <c r="O504" s="299"/>
      <c r="P504" s="299"/>
      <c r="Q504" s="5"/>
      <c r="R504" s="5"/>
      <c r="S504" s="5"/>
      <c r="T504" s="5"/>
      <c r="U504" s="5"/>
      <c r="V504" s="5"/>
      <c r="W504" s="13"/>
      <c r="X504" s="13"/>
      <c r="Y504" s="13"/>
      <c r="Z504" s="13"/>
      <c r="AA504" s="13"/>
      <c r="AB504" s="13"/>
      <c r="AC504" s="13"/>
      <c r="AD504" s="13"/>
      <c r="AE504" s="13"/>
      <c r="AF504" s="13"/>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c r="BL504" s="13"/>
      <c r="BM504" s="13"/>
      <c r="BN504" s="13"/>
      <c r="BO504" s="13"/>
      <c r="BP504" s="13"/>
      <c r="BQ504" s="13"/>
    </row>
    <row r="505" spans="1:69" ht="15.75" hidden="1" customHeight="1" x14ac:dyDescent="0.2">
      <c r="A505" s="13"/>
      <c r="B505" s="5"/>
      <c r="C505" s="198"/>
      <c r="D505" s="198"/>
      <c r="E505" s="198"/>
      <c r="F505" s="198"/>
      <c r="G505" s="137"/>
      <c r="H505" s="137"/>
      <c r="I505" s="137"/>
      <c r="J505" s="137"/>
      <c r="K505" s="137"/>
      <c r="L505" s="137"/>
      <c r="M505" s="137"/>
      <c r="N505" s="299"/>
      <c r="O505" s="299"/>
      <c r="P505" s="299"/>
      <c r="Q505" s="5"/>
      <c r="R505" s="5"/>
      <c r="S505" s="5"/>
      <c r="T505" s="5"/>
      <c r="U505" s="5"/>
      <c r="V505" s="5"/>
      <c r="W505" s="13"/>
      <c r="X505" s="13"/>
      <c r="Y505" s="13"/>
      <c r="Z505" s="13"/>
      <c r="AA505" s="13"/>
      <c r="AB505" s="13"/>
      <c r="AC505" s="13"/>
      <c r="AD505" s="13"/>
      <c r="AE505" s="13"/>
      <c r="AF505" s="13"/>
      <c r="AG505" s="13"/>
      <c r="AH505" s="13"/>
      <c r="AI505" s="13"/>
      <c r="AJ505" s="13"/>
      <c r="AK505" s="13"/>
      <c r="AL505" s="13"/>
      <c r="AM505" s="13"/>
      <c r="AN505" s="13"/>
      <c r="AO505" s="13"/>
      <c r="AP505" s="13"/>
      <c r="AQ505" s="13"/>
      <c r="AR505" s="13"/>
      <c r="AS505" s="13"/>
      <c r="AT505" s="13"/>
      <c r="AU505" s="13"/>
      <c r="AV505" s="13"/>
      <c r="AW505" s="13"/>
      <c r="AX505" s="13"/>
      <c r="AY505" s="13"/>
      <c r="AZ505" s="13"/>
      <c r="BA505" s="13"/>
      <c r="BB505" s="13"/>
      <c r="BC505" s="13"/>
      <c r="BD505" s="13"/>
      <c r="BE505" s="13"/>
      <c r="BF505" s="13"/>
      <c r="BG505" s="13"/>
      <c r="BH505" s="13"/>
      <c r="BI505" s="13"/>
      <c r="BJ505" s="13"/>
      <c r="BK505" s="13"/>
      <c r="BL505" s="13"/>
      <c r="BM505" s="13"/>
      <c r="BN505" s="13"/>
      <c r="BO505" s="13"/>
      <c r="BP505" s="13"/>
      <c r="BQ505" s="13"/>
    </row>
    <row r="506" spans="1:69" ht="15.75" hidden="1" customHeight="1" x14ac:dyDescent="0.2">
      <c r="A506" s="13"/>
      <c r="B506" s="5"/>
      <c r="C506" s="198"/>
      <c r="D506" s="198"/>
      <c r="E506" s="198"/>
      <c r="F506" s="198"/>
      <c r="G506" s="137"/>
      <c r="H506" s="137"/>
      <c r="I506" s="137"/>
      <c r="J506" s="137"/>
      <c r="K506" s="137"/>
      <c r="L506" s="137"/>
      <c r="M506" s="137"/>
      <c r="N506" s="299"/>
      <c r="O506" s="299"/>
      <c r="P506" s="299"/>
      <c r="Q506" s="5"/>
      <c r="R506" s="5"/>
      <c r="S506" s="5"/>
      <c r="T506" s="5"/>
      <c r="U506" s="5"/>
      <c r="V506" s="5"/>
      <c r="W506" s="13"/>
      <c r="X506" s="13"/>
      <c r="Y506" s="13"/>
      <c r="Z506" s="13"/>
      <c r="AA506" s="13"/>
      <c r="AB506" s="13"/>
      <c r="AC506" s="13"/>
      <c r="AD506" s="13"/>
      <c r="AE506" s="13"/>
      <c r="AF506" s="13"/>
      <c r="AG506" s="13"/>
      <c r="AH506" s="13"/>
      <c r="AI506" s="13"/>
      <c r="AJ506" s="13"/>
      <c r="AK506" s="13"/>
      <c r="AL506" s="13"/>
      <c r="AM506" s="13"/>
      <c r="AN506" s="13"/>
      <c r="AO506" s="13"/>
      <c r="AP506" s="13"/>
      <c r="AQ506" s="13"/>
      <c r="AR506" s="13"/>
      <c r="AS506" s="13"/>
      <c r="AT506" s="13"/>
      <c r="AU506" s="13"/>
      <c r="AV506" s="13"/>
      <c r="AW506" s="13"/>
      <c r="AX506" s="13"/>
      <c r="AY506" s="13"/>
      <c r="AZ506" s="13"/>
      <c r="BA506" s="13"/>
      <c r="BB506" s="13"/>
      <c r="BC506" s="13"/>
      <c r="BD506" s="13"/>
      <c r="BE506" s="13"/>
      <c r="BF506" s="13"/>
      <c r="BG506" s="13"/>
      <c r="BH506" s="13"/>
      <c r="BI506" s="13"/>
      <c r="BJ506" s="13"/>
      <c r="BK506" s="13"/>
      <c r="BL506" s="13"/>
      <c r="BM506" s="13"/>
      <c r="BN506" s="13"/>
      <c r="BO506" s="13"/>
      <c r="BP506" s="13"/>
      <c r="BQ506" s="13"/>
    </row>
    <row r="507" spans="1:69" ht="15.75" hidden="1" customHeight="1" x14ac:dyDescent="0.2">
      <c r="A507" s="13"/>
      <c r="B507" s="5"/>
      <c r="C507" s="198"/>
      <c r="D507" s="198"/>
      <c r="E507" s="198"/>
      <c r="F507" s="198"/>
      <c r="G507" s="137"/>
      <c r="H507" s="137"/>
      <c r="I507" s="137"/>
      <c r="J507" s="137"/>
      <c r="K507" s="137"/>
      <c r="L507" s="137"/>
      <c r="M507" s="137"/>
      <c r="N507" s="299"/>
      <c r="O507" s="299"/>
      <c r="P507" s="299"/>
      <c r="Q507" s="5"/>
      <c r="R507" s="5"/>
      <c r="S507" s="5"/>
      <c r="T507" s="5"/>
      <c r="U507" s="5"/>
      <c r="V507" s="5"/>
      <c r="W507" s="13"/>
      <c r="X507" s="13"/>
      <c r="Y507" s="13"/>
      <c r="Z507" s="13"/>
      <c r="AA507" s="13"/>
      <c r="AB507" s="13"/>
      <c r="AC507" s="13"/>
      <c r="AD507" s="13"/>
      <c r="AE507" s="13"/>
      <c r="AF507" s="13"/>
      <c r="AG507" s="13"/>
      <c r="AH507" s="13"/>
      <c r="AI507" s="13"/>
      <c r="AJ507" s="13"/>
      <c r="AK507" s="13"/>
      <c r="AL507" s="13"/>
      <c r="AM507" s="13"/>
      <c r="AN507" s="13"/>
      <c r="AO507" s="13"/>
      <c r="AP507" s="13"/>
      <c r="AQ507" s="13"/>
      <c r="AR507" s="13"/>
      <c r="AS507" s="13"/>
      <c r="AT507" s="13"/>
      <c r="AU507" s="13"/>
      <c r="AV507" s="13"/>
      <c r="AW507" s="13"/>
      <c r="AX507" s="13"/>
      <c r="AY507" s="13"/>
      <c r="AZ507" s="13"/>
      <c r="BA507" s="13"/>
      <c r="BB507" s="13"/>
      <c r="BC507" s="13"/>
      <c r="BD507" s="13"/>
      <c r="BE507" s="13"/>
      <c r="BF507" s="13"/>
      <c r="BG507" s="13"/>
      <c r="BH507" s="13"/>
      <c r="BI507" s="13"/>
      <c r="BJ507" s="13"/>
      <c r="BK507" s="13"/>
      <c r="BL507" s="13"/>
      <c r="BM507" s="13"/>
      <c r="BN507" s="13"/>
      <c r="BO507" s="13"/>
      <c r="BP507" s="13"/>
      <c r="BQ507" s="13"/>
    </row>
    <row r="508" spans="1:69" ht="15.75" hidden="1" customHeight="1" x14ac:dyDescent="0.2">
      <c r="A508" s="13"/>
      <c r="B508" s="5"/>
      <c r="C508" s="198"/>
      <c r="D508" s="198"/>
      <c r="E508" s="198"/>
      <c r="F508" s="198"/>
      <c r="G508" s="137"/>
      <c r="H508" s="137"/>
      <c r="I508" s="137"/>
      <c r="J508" s="137"/>
      <c r="K508" s="137"/>
      <c r="L508" s="137"/>
      <c r="M508" s="137"/>
      <c r="N508" s="299"/>
      <c r="O508" s="299"/>
      <c r="P508" s="299"/>
      <c r="Q508" s="5"/>
      <c r="R508" s="5"/>
      <c r="S508" s="5"/>
      <c r="T508" s="5"/>
      <c r="U508" s="5"/>
      <c r="V508" s="5"/>
      <c r="W508" s="13"/>
      <c r="X508" s="13"/>
      <c r="Y508" s="13"/>
      <c r="Z508" s="13"/>
      <c r="AA508" s="13"/>
      <c r="AB508" s="13"/>
      <c r="AC508" s="13"/>
      <c r="AD508" s="13"/>
      <c r="AE508" s="13"/>
      <c r="AF508" s="13"/>
      <c r="AG508" s="13"/>
      <c r="AH508" s="13"/>
      <c r="AI508" s="13"/>
      <c r="AJ508" s="13"/>
      <c r="AK508" s="13"/>
      <c r="AL508" s="13"/>
      <c r="AM508" s="13"/>
      <c r="AN508" s="13"/>
      <c r="AO508" s="13"/>
      <c r="AP508" s="13"/>
      <c r="AQ508" s="13"/>
      <c r="AR508" s="13"/>
      <c r="AS508" s="13"/>
      <c r="AT508" s="13"/>
      <c r="AU508" s="13"/>
      <c r="AV508" s="13"/>
      <c r="AW508" s="13"/>
      <c r="AX508" s="13"/>
      <c r="AY508" s="13"/>
      <c r="AZ508" s="13"/>
      <c r="BA508" s="13"/>
      <c r="BB508" s="13"/>
      <c r="BC508" s="13"/>
      <c r="BD508" s="13"/>
      <c r="BE508" s="13"/>
      <c r="BF508" s="13"/>
      <c r="BG508" s="13"/>
      <c r="BH508" s="13"/>
      <c r="BI508" s="13"/>
      <c r="BJ508" s="13"/>
      <c r="BK508" s="13"/>
      <c r="BL508" s="13"/>
      <c r="BM508" s="13"/>
      <c r="BN508" s="13"/>
      <c r="BO508" s="13"/>
      <c r="BP508" s="13"/>
      <c r="BQ508" s="13"/>
    </row>
    <row r="509" spans="1:69" ht="15.75" hidden="1" customHeight="1" x14ac:dyDescent="0.2">
      <c r="A509" s="13"/>
      <c r="B509" s="5"/>
      <c r="C509" s="198"/>
      <c r="D509" s="198"/>
      <c r="E509" s="198"/>
      <c r="F509" s="198"/>
      <c r="G509" s="137"/>
      <c r="H509" s="137"/>
      <c r="I509" s="137"/>
      <c r="J509" s="137"/>
      <c r="K509" s="137"/>
      <c r="L509" s="137"/>
      <c r="M509" s="137"/>
      <c r="N509" s="299"/>
      <c r="O509" s="299"/>
      <c r="P509" s="299"/>
      <c r="Q509" s="5"/>
      <c r="R509" s="5"/>
      <c r="S509" s="5"/>
      <c r="T509" s="5"/>
      <c r="U509" s="5"/>
      <c r="V509" s="5"/>
      <c r="W509" s="13"/>
      <c r="X509" s="13"/>
      <c r="Y509" s="13"/>
      <c r="Z509" s="13"/>
      <c r="AA509" s="13"/>
      <c r="AB509" s="13"/>
      <c r="AC509" s="13"/>
      <c r="AD509" s="13"/>
      <c r="AE509" s="13"/>
      <c r="AF509" s="13"/>
      <c r="AG509" s="13"/>
      <c r="AH509" s="13"/>
      <c r="AI509" s="13"/>
      <c r="AJ509" s="13"/>
      <c r="AK509" s="13"/>
      <c r="AL509" s="13"/>
      <c r="AM509" s="13"/>
      <c r="AN509" s="13"/>
      <c r="AO509" s="13"/>
      <c r="AP509" s="13"/>
      <c r="AQ509" s="13"/>
      <c r="AR509" s="13"/>
      <c r="AS509" s="13"/>
      <c r="AT509" s="13"/>
      <c r="AU509" s="13"/>
      <c r="AV509" s="13"/>
      <c r="AW509" s="13"/>
      <c r="AX509" s="13"/>
      <c r="AY509" s="13"/>
      <c r="AZ509" s="13"/>
      <c r="BA509" s="13"/>
      <c r="BB509" s="13"/>
      <c r="BC509" s="13"/>
      <c r="BD509" s="13"/>
      <c r="BE509" s="13"/>
      <c r="BF509" s="13"/>
      <c r="BG509" s="13"/>
      <c r="BH509" s="13"/>
      <c r="BI509" s="13"/>
      <c r="BJ509" s="13"/>
      <c r="BK509" s="13"/>
      <c r="BL509" s="13"/>
      <c r="BM509" s="13"/>
      <c r="BN509" s="13"/>
      <c r="BO509" s="13"/>
      <c r="BP509" s="13"/>
      <c r="BQ509" s="13"/>
    </row>
    <row r="510" spans="1:69" ht="15.75" hidden="1" customHeight="1" x14ac:dyDescent="0.2">
      <c r="A510" s="13"/>
      <c r="B510" s="5"/>
      <c r="C510" s="198"/>
      <c r="D510" s="198"/>
      <c r="E510" s="198"/>
      <c r="F510" s="198"/>
      <c r="G510" s="137"/>
      <c r="H510" s="137"/>
      <c r="I510" s="137"/>
      <c r="J510" s="137"/>
      <c r="K510" s="137"/>
      <c r="L510" s="137"/>
      <c r="M510" s="137"/>
      <c r="N510" s="299"/>
      <c r="O510" s="299"/>
      <c r="P510" s="299"/>
      <c r="Q510" s="5"/>
      <c r="R510" s="5"/>
      <c r="S510" s="5"/>
      <c r="T510" s="5"/>
      <c r="U510" s="5"/>
      <c r="V510" s="5"/>
      <c r="W510" s="13"/>
      <c r="X510" s="13"/>
      <c r="Y510" s="13"/>
      <c r="Z510" s="13"/>
      <c r="AA510" s="13"/>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c r="AY510" s="13"/>
      <c r="AZ510" s="13"/>
      <c r="BA510" s="13"/>
      <c r="BB510" s="13"/>
      <c r="BC510" s="13"/>
      <c r="BD510" s="13"/>
      <c r="BE510" s="13"/>
      <c r="BF510" s="13"/>
      <c r="BG510" s="13"/>
      <c r="BH510" s="13"/>
      <c r="BI510" s="13"/>
      <c r="BJ510" s="13"/>
      <c r="BK510" s="13"/>
      <c r="BL510" s="13"/>
      <c r="BM510" s="13"/>
      <c r="BN510" s="13"/>
      <c r="BO510" s="13"/>
      <c r="BP510" s="13"/>
      <c r="BQ510" s="13"/>
    </row>
    <row r="511" spans="1:69" ht="15.75" hidden="1" customHeight="1" x14ac:dyDescent="0.2">
      <c r="A511" s="13"/>
      <c r="B511" s="5"/>
      <c r="C511" s="198"/>
      <c r="D511" s="198"/>
      <c r="E511" s="198"/>
      <c r="F511" s="198"/>
      <c r="G511" s="137"/>
      <c r="H511" s="137"/>
      <c r="I511" s="137"/>
      <c r="J511" s="137"/>
      <c r="K511" s="137"/>
      <c r="L511" s="137"/>
      <c r="M511" s="137"/>
      <c r="N511" s="299"/>
      <c r="O511" s="299"/>
      <c r="P511" s="299"/>
      <c r="Q511" s="5"/>
      <c r="R511" s="5"/>
      <c r="S511" s="5"/>
      <c r="T511" s="5"/>
      <c r="U511" s="5"/>
      <c r="V511" s="5"/>
      <c r="W511" s="13"/>
      <c r="X511" s="13"/>
      <c r="Y511" s="13"/>
      <c r="Z511" s="13"/>
      <c r="AA511" s="13"/>
      <c r="AB511" s="13"/>
      <c r="AC511" s="13"/>
      <c r="AD511" s="13"/>
      <c r="AE511" s="13"/>
      <c r="AF511" s="13"/>
      <c r="AG511" s="13"/>
      <c r="AH511" s="13"/>
      <c r="AI511" s="13"/>
      <c r="AJ511" s="13"/>
      <c r="AK511" s="13"/>
      <c r="AL511" s="13"/>
      <c r="AM511" s="13"/>
      <c r="AN511" s="13"/>
      <c r="AO511" s="13"/>
      <c r="AP511" s="13"/>
      <c r="AQ511" s="13"/>
      <c r="AR511" s="13"/>
      <c r="AS511" s="13"/>
      <c r="AT511" s="13"/>
      <c r="AU511" s="13"/>
      <c r="AV511" s="13"/>
      <c r="AW511" s="13"/>
      <c r="AX511" s="13"/>
      <c r="AY511" s="13"/>
      <c r="AZ511" s="13"/>
      <c r="BA511" s="13"/>
      <c r="BB511" s="13"/>
      <c r="BC511" s="13"/>
      <c r="BD511" s="13"/>
      <c r="BE511" s="13"/>
      <c r="BF511" s="13"/>
      <c r="BG511" s="13"/>
      <c r="BH511" s="13"/>
      <c r="BI511" s="13"/>
      <c r="BJ511" s="13"/>
      <c r="BK511" s="13"/>
      <c r="BL511" s="13"/>
      <c r="BM511" s="13"/>
      <c r="BN511" s="13"/>
      <c r="BO511" s="13"/>
      <c r="BP511" s="13"/>
      <c r="BQ511" s="13"/>
    </row>
    <row r="512" spans="1:69" ht="15.75" hidden="1" customHeight="1" x14ac:dyDescent="0.2">
      <c r="A512" s="13"/>
      <c r="B512" s="5"/>
      <c r="C512" s="198"/>
      <c r="D512" s="198"/>
      <c r="E512" s="198"/>
      <c r="F512" s="198"/>
      <c r="G512" s="137"/>
      <c r="H512" s="137"/>
      <c r="I512" s="137"/>
      <c r="J512" s="137"/>
      <c r="K512" s="137"/>
      <c r="L512" s="137"/>
      <c r="M512" s="137"/>
      <c r="N512" s="299"/>
      <c r="O512" s="299"/>
      <c r="P512" s="299"/>
      <c r="Q512" s="5"/>
      <c r="R512" s="5"/>
      <c r="S512" s="5"/>
      <c r="T512" s="5"/>
      <c r="U512" s="5"/>
      <c r="V512" s="5"/>
      <c r="W512" s="13"/>
      <c r="X512" s="13"/>
      <c r="Y512" s="13"/>
      <c r="Z512" s="13"/>
      <c r="AA512" s="13"/>
      <c r="AB512" s="13"/>
      <c r="AC512" s="13"/>
      <c r="AD512" s="13"/>
      <c r="AE512" s="13"/>
      <c r="AF512" s="13"/>
      <c r="AG512" s="13"/>
      <c r="AH512" s="13"/>
      <c r="AI512" s="13"/>
      <c r="AJ512" s="13"/>
      <c r="AK512" s="13"/>
      <c r="AL512" s="13"/>
      <c r="AM512" s="13"/>
      <c r="AN512" s="13"/>
      <c r="AO512" s="13"/>
      <c r="AP512" s="13"/>
      <c r="AQ512" s="13"/>
      <c r="AR512" s="13"/>
      <c r="AS512" s="13"/>
      <c r="AT512" s="13"/>
      <c r="AU512" s="13"/>
      <c r="AV512" s="13"/>
      <c r="AW512" s="13"/>
      <c r="AX512" s="13"/>
      <c r="AY512" s="13"/>
      <c r="AZ512" s="13"/>
      <c r="BA512" s="13"/>
      <c r="BB512" s="13"/>
      <c r="BC512" s="13"/>
      <c r="BD512" s="13"/>
      <c r="BE512" s="13"/>
      <c r="BF512" s="13"/>
      <c r="BG512" s="13"/>
      <c r="BH512" s="13"/>
      <c r="BI512" s="13"/>
      <c r="BJ512" s="13"/>
      <c r="BK512" s="13"/>
      <c r="BL512" s="13"/>
      <c r="BM512" s="13"/>
      <c r="BN512" s="13"/>
      <c r="BO512" s="13"/>
      <c r="BP512" s="13"/>
      <c r="BQ512" s="13"/>
    </row>
    <row r="513" spans="1:69" ht="15.75" hidden="1" customHeight="1" x14ac:dyDescent="0.2">
      <c r="A513" s="13"/>
      <c r="B513" s="5"/>
      <c r="C513" s="198"/>
      <c r="D513" s="198"/>
      <c r="E513" s="198"/>
      <c r="F513" s="198"/>
      <c r="G513" s="137"/>
      <c r="H513" s="137"/>
      <c r="I513" s="137"/>
      <c r="J513" s="137"/>
      <c r="K513" s="137"/>
      <c r="L513" s="137"/>
      <c r="M513" s="137"/>
      <c r="N513" s="299"/>
      <c r="O513" s="299"/>
      <c r="P513" s="299"/>
      <c r="Q513" s="5"/>
      <c r="R513" s="5"/>
      <c r="S513" s="5"/>
      <c r="T513" s="5"/>
      <c r="U513" s="5"/>
      <c r="V513" s="5"/>
      <c r="W513" s="13"/>
      <c r="X513" s="13"/>
      <c r="Y513" s="13"/>
      <c r="Z513" s="13"/>
      <c r="AA513" s="13"/>
      <c r="AB513" s="13"/>
      <c r="AC513" s="13"/>
      <c r="AD513" s="13"/>
      <c r="AE513" s="13"/>
      <c r="AF513" s="13"/>
      <c r="AG513" s="13"/>
      <c r="AH513" s="13"/>
      <c r="AI513" s="13"/>
      <c r="AJ513" s="13"/>
      <c r="AK513" s="13"/>
      <c r="AL513" s="13"/>
      <c r="AM513" s="13"/>
      <c r="AN513" s="13"/>
      <c r="AO513" s="13"/>
      <c r="AP513" s="13"/>
      <c r="AQ513" s="13"/>
      <c r="AR513" s="13"/>
      <c r="AS513" s="13"/>
      <c r="AT513" s="13"/>
      <c r="AU513" s="13"/>
      <c r="AV513" s="13"/>
      <c r="AW513" s="13"/>
      <c r="AX513" s="13"/>
      <c r="AY513" s="13"/>
      <c r="AZ513" s="13"/>
      <c r="BA513" s="13"/>
      <c r="BB513" s="13"/>
      <c r="BC513" s="13"/>
      <c r="BD513" s="13"/>
      <c r="BE513" s="13"/>
      <c r="BF513" s="13"/>
      <c r="BG513" s="13"/>
      <c r="BH513" s="13"/>
      <c r="BI513" s="13"/>
      <c r="BJ513" s="13"/>
      <c r="BK513" s="13"/>
      <c r="BL513" s="13"/>
      <c r="BM513" s="13"/>
      <c r="BN513" s="13"/>
      <c r="BO513" s="13"/>
      <c r="BP513" s="13"/>
      <c r="BQ513" s="13"/>
    </row>
    <row r="514" spans="1:69" ht="15.75" hidden="1" customHeight="1" x14ac:dyDescent="0.2">
      <c r="A514" s="13"/>
      <c r="B514" s="5"/>
      <c r="C514" s="198"/>
      <c r="D514" s="198"/>
      <c r="E514" s="198"/>
      <c r="F514" s="198"/>
      <c r="G514" s="137"/>
      <c r="H514" s="137"/>
      <c r="I514" s="137"/>
      <c r="J514" s="137"/>
      <c r="K514" s="137"/>
      <c r="L514" s="137"/>
      <c r="M514" s="137"/>
      <c r="N514" s="299"/>
      <c r="O514" s="299"/>
      <c r="P514" s="299"/>
      <c r="Q514" s="5"/>
      <c r="R514" s="5"/>
      <c r="S514" s="5"/>
      <c r="T514" s="5"/>
      <c r="U514" s="5"/>
      <c r="V514" s="5"/>
      <c r="W514" s="13"/>
      <c r="X514" s="13"/>
      <c r="Y514" s="13"/>
      <c r="Z514" s="13"/>
      <c r="AA514" s="13"/>
      <c r="AB514" s="13"/>
      <c r="AC514" s="13"/>
      <c r="AD514" s="13"/>
      <c r="AE514" s="13"/>
      <c r="AF514" s="13"/>
      <c r="AG514" s="13"/>
      <c r="AH514" s="13"/>
      <c r="AI514" s="13"/>
      <c r="AJ514" s="13"/>
      <c r="AK514" s="13"/>
      <c r="AL514" s="13"/>
      <c r="AM514" s="13"/>
      <c r="AN514" s="13"/>
      <c r="AO514" s="13"/>
      <c r="AP514" s="13"/>
      <c r="AQ514" s="13"/>
      <c r="AR514" s="13"/>
      <c r="AS514" s="13"/>
      <c r="AT514" s="13"/>
      <c r="AU514" s="13"/>
      <c r="AV514" s="13"/>
      <c r="AW514" s="13"/>
      <c r="AX514" s="13"/>
      <c r="AY514" s="13"/>
      <c r="AZ514" s="13"/>
      <c r="BA514" s="13"/>
      <c r="BB514" s="13"/>
      <c r="BC514" s="13"/>
      <c r="BD514" s="13"/>
      <c r="BE514" s="13"/>
      <c r="BF514" s="13"/>
      <c r="BG514" s="13"/>
      <c r="BH514" s="13"/>
      <c r="BI514" s="13"/>
      <c r="BJ514" s="13"/>
      <c r="BK514" s="13"/>
      <c r="BL514" s="13"/>
      <c r="BM514" s="13"/>
      <c r="BN514" s="13"/>
      <c r="BO514" s="13"/>
      <c r="BP514" s="13"/>
      <c r="BQ514" s="13"/>
    </row>
    <row r="515" spans="1:69" ht="15.75" hidden="1" customHeight="1" x14ac:dyDescent="0.2">
      <c r="A515" s="13"/>
      <c r="B515" s="5"/>
      <c r="C515" s="198"/>
      <c r="D515" s="198"/>
      <c r="E515" s="198"/>
      <c r="F515" s="198"/>
      <c r="G515" s="137"/>
      <c r="H515" s="137"/>
      <c r="I515" s="137"/>
      <c r="J515" s="137"/>
      <c r="K515" s="137"/>
      <c r="L515" s="137"/>
      <c r="M515" s="137"/>
      <c r="N515" s="299"/>
      <c r="O515" s="299"/>
      <c r="P515" s="299"/>
      <c r="Q515" s="5"/>
      <c r="R515" s="5"/>
      <c r="S515" s="5"/>
      <c r="T515" s="5"/>
      <c r="U515" s="5"/>
      <c r="V515" s="5"/>
      <c r="W515" s="13"/>
      <c r="X515" s="13"/>
      <c r="Y515" s="13"/>
      <c r="Z515" s="13"/>
      <c r="AA515" s="13"/>
      <c r="AB515" s="13"/>
      <c r="AC515" s="13"/>
      <c r="AD515" s="13"/>
      <c r="AE515" s="13"/>
      <c r="AF515" s="13"/>
      <c r="AG515" s="13"/>
      <c r="AH515" s="13"/>
      <c r="AI515" s="13"/>
      <c r="AJ515" s="13"/>
      <c r="AK515" s="13"/>
      <c r="AL515" s="13"/>
      <c r="AM515" s="13"/>
      <c r="AN515" s="13"/>
      <c r="AO515" s="13"/>
      <c r="AP515" s="13"/>
      <c r="AQ515" s="13"/>
      <c r="AR515" s="13"/>
      <c r="AS515" s="13"/>
      <c r="AT515" s="13"/>
      <c r="AU515" s="13"/>
      <c r="AV515" s="13"/>
      <c r="AW515" s="13"/>
      <c r="AX515" s="13"/>
      <c r="AY515" s="13"/>
      <c r="AZ515" s="13"/>
      <c r="BA515" s="13"/>
      <c r="BB515" s="13"/>
      <c r="BC515" s="13"/>
      <c r="BD515" s="13"/>
      <c r="BE515" s="13"/>
      <c r="BF515" s="13"/>
      <c r="BG515" s="13"/>
      <c r="BH515" s="13"/>
      <c r="BI515" s="13"/>
      <c r="BJ515" s="13"/>
      <c r="BK515" s="13"/>
      <c r="BL515" s="13"/>
      <c r="BM515" s="13"/>
      <c r="BN515" s="13"/>
      <c r="BO515" s="13"/>
      <c r="BP515" s="13"/>
      <c r="BQ515" s="13"/>
    </row>
    <row r="516" spans="1:69" ht="15.75" hidden="1" customHeight="1" x14ac:dyDescent="0.2">
      <c r="A516" s="13"/>
      <c r="B516" s="5"/>
      <c r="C516" s="198"/>
      <c r="D516" s="198"/>
      <c r="E516" s="198"/>
      <c r="F516" s="198"/>
      <c r="G516" s="137"/>
      <c r="H516" s="137"/>
      <c r="I516" s="137"/>
      <c r="J516" s="137"/>
      <c r="K516" s="137"/>
      <c r="L516" s="137"/>
      <c r="M516" s="137"/>
      <c r="N516" s="299"/>
      <c r="O516" s="299"/>
      <c r="P516" s="299"/>
      <c r="Q516" s="5"/>
      <c r="R516" s="5"/>
      <c r="S516" s="5"/>
      <c r="T516" s="5"/>
      <c r="U516" s="5"/>
      <c r="V516" s="5"/>
      <c r="W516" s="13"/>
      <c r="X516" s="13"/>
      <c r="Y516" s="13"/>
      <c r="Z516" s="13"/>
      <c r="AA516" s="13"/>
      <c r="AB516" s="13"/>
      <c r="AC516" s="13"/>
      <c r="AD516" s="13"/>
      <c r="AE516" s="13"/>
      <c r="AF516" s="13"/>
      <c r="AG516" s="13"/>
      <c r="AH516" s="13"/>
      <c r="AI516" s="13"/>
      <c r="AJ516" s="13"/>
      <c r="AK516" s="13"/>
      <c r="AL516" s="13"/>
      <c r="AM516" s="13"/>
      <c r="AN516" s="13"/>
      <c r="AO516" s="13"/>
      <c r="AP516" s="13"/>
      <c r="AQ516" s="13"/>
      <c r="AR516" s="13"/>
      <c r="AS516" s="13"/>
      <c r="AT516" s="13"/>
      <c r="AU516" s="13"/>
      <c r="AV516" s="13"/>
      <c r="AW516" s="13"/>
      <c r="AX516" s="13"/>
      <c r="AY516" s="13"/>
      <c r="AZ516" s="13"/>
      <c r="BA516" s="13"/>
      <c r="BB516" s="13"/>
      <c r="BC516" s="13"/>
      <c r="BD516" s="13"/>
      <c r="BE516" s="13"/>
      <c r="BF516" s="13"/>
      <c r="BG516" s="13"/>
      <c r="BH516" s="13"/>
      <c r="BI516" s="13"/>
      <c r="BJ516" s="13"/>
      <c r="BK516" s="13"/>
      <c r="BL516" s="13"/>
      <c r="BM516" s="13"/>
      <c r="BN516" s="13"/>
      <c r="BO516" s="13"/>
      <c r="BP516" s="13"/>
      <c r="BQ516" s="13"/>
    </row>
    <row r="517" spans="1:69" ht="15.75" hidden="1" customHeight="1" x14ac:dyDescent="0.2">
      <c r="A517" s="13"/>
      <c r="B517" s="5"/>
      <c r="C517" s="198"/>
      <c r="D517" s="198"/>
      <c r="E517" s="198"/>
      <c r="F517" s="198"/>
      <c r="G517" s="137"/>
      <c r="H517" s="137"/>
      <c r="I517" s="137"/>
      <c r="J517" s="137"/>
      <c r="K517" s="137"/>
      <c r="L517" s="137"/>
      <c r="M517" s="137"/>
      <c r="N517" s="299"/>
      <c r="O517" s="299"/>
      <c r="P517" s="299"/>
      <c r="Q517" s="5"/>
      <c r="R517" s="5"/>
      <c r="S517" s="5"/>
      <c r="T517" s="5"/>
      <c r="U517" s="5"/>
      <c r="V517" s="5"/>
      <c r="W517" s="13"/>
      <c r="X517" s="13"/>
      <c r="Y517" s="13"/>
      <c r="Z517" s="13"/>
      <c r="AA517" s="13"/>
      <c r="AB517" s="13"/>
      <c r="AC517" s="13"/>
      <c r="AD517" s="13"/>
      <c r="AE517" s="13"/>
      <c r="AF517" s="13"/>
      <c r="AG517" s="13"/>
      <c r="AH517" s="13"/>
      <c r="AI517" s="13"/>
      <c r="AJ517" s="13"/>
      <c r="AK517" s="13"/>
      <c r="AL517" s="13"/>
      <c r="AM517" s="13"/>
      <c r="AN517" s="13"/>
      <c r="AO517" s="13"/>
      <c r="AP517" s="13"/>
      <c r="AQ517" s="13"/>
      <c r="AR517" s="13"/>
      <c r="AS517" s="13"/>
      <c r="AT517" s="13"/>
      <c r="AU517" s="13"/>
      <c r="AV517" s="13"/>
      <c r="AW517" s="13"/>
      <c r="AX517" s="13"/>
      <c r="AY517" s="13"/>
      <c r="AZ517" s="13"/>
      <c r="BA517" s="13"/>
      <c r="BB517" s="13"/>
      <c r="BC517" s="13"/>
      <c r="BD517" s="13"/>
      <c r="BE517" s="13"/>
      <c r="BF517" s="13"/>
      <c r="BG517" s="13"/>
      <c r="BH517" s="13"/>
      <c r="BI517" s="13"/>
      <c r="BJ517" s="13"/>
      <c r="BK517" s="13"/>
      <c r="BL517" s="13"/>
      <c r="BM517" s="13"/>
      <c r="BN517" s="13"/>
      <c r="BO517" s="13"/>
      <c r="BP517" s="13"/>
      <c r="BQ517" s="13"/>
    </row>
    <row r="518" spans="1:69" ht="15.75" hidden="1" customHeight="1" x14ac:dyDescent="0.2">
      <c r="A518" s="13"/>
      <c r="B518" s="5"/>
      <c r="C518" s="198"/>
      <c r="D518" s="198"/>
      <c r="E518" s="198"/>
      <c r="F518" s="198"/>
      <c r="G518" s="137"/>
      <c r="H518" s="137"/>
      <c r="I518" s="137"/>
      <c r="J518" s="137"/>
      <c r="K518" s="137"/>
      <c r="L518" s="137"/>
      <c r="M518" s="137"/>
      <c r="N518" s="299"/>
      <c r="O518" s="299"/>
      <c r="P518" s="299"/>
      <c r="Q518" s="5"/>
      <c r="R518" s="5"/>
      <c r="S518" s="5"/>
      <c r="T518" s="5"/>
      <c r="U518" s="5"/>
      <c r="V518" s="5"/>
      <c r="W518" s="13"/>
      <c r="X518" s="13"/>
      <c r="Y518" s="13"/>
      <c r="Z518" s="13"/>
      <c r="AA518" s="13"/>
      <c r="AB518" s="13"/>
      <c r="AC518" s="13"/>
      <c r="AD518" s="13"/>
      <c r="AE518" s="13"/>
      <c r="AF518" s="13"/>
      <c r="AG518" s="13"/>
      <c r="AH518" s="13"/>
      <c r="AI518" s="13"/>
      <c r="AJ518" s="13"/>
      <c r="AK518" s="13"/>
      <c r="AL518" s="13"/>
      <c r="AM518" s="13"/>
      <c r="AN518" s="13"/>
      <c r="AO518" s="13"/>
      <c r="AP518" s="13"/>
      <c r="AQ518" s="13"/>
      <c r="AR518" s="13"/>
      <c r="AS518" s="13"/>
      <c r="AT518" s="13"/>
      <c r="AU518" s="13"/>
      <c r="AV518" s="13"/>
      <c r="AW518" s="13"/>
      <c r="AX518" s="13"/>
      <c r="AY518" s="13"/>
      <c r="AZ518" s="13"/>
      <c r="BA518" s="13"/>
      <c r="BB518" s="13"/>
      <c r="BC518" s="13"/>
      <c r="BD518" s="13"/>
      <c r="BE518" s="13"/>
      <c r="BF518" s="13"/>
      <c r="BG518" s="13"/>
      <c r="BH518" s="13"/>
      <c r="BI518" s="13"/>
      <c r="BJ518" s="13"/>
      <c r="BK518" s="13"/>
      <c r="BL518" s="13"/>
      <c r="BM518" s="13"/>
      <c r="BN518" s="13"/>
      <c r="BO518" s="13"/>
      <c r="BP518" s="13"/>
      <c r="BQ518" s="13"/>
    </row>
    <row r="519" spans="1:69" ht="15.75" hidden="1" customHeight="1" x14ac:dyDescent="0.2">
      <c r="A519" s="13"/>
      <c r="B519" s="5"/>
      <c r="C519" s="198"/>
      <c r="D519" s="198"/>
      <c r="E519" s="198"/>
      <c r="F519" s="198"/>
      <c r="G519" s="137"/>
      <c r="H519" s="137"/>
      <c r="I519" s="137"/>
      <c r="J519" s="137"/>
      <c r="K519" s="137"/>
      <c r="L519" s="137"/>
      <c r="M519" s="137"/>
      <c r="N519" s="299"/>
      <c r="O519" s="299"/>
      <c r="P519" s="299"/>
      <c r="Q519" s="5"/>
      <c r="R519" s="5"/>
      <c r="S519" s="5"/>
      <c r="T519" s="5"/>
      <c r="U519" s="5"/>
      <c r="V519" s="5"/>
      <c r="W519" s="13"/>
      <c r="X519" s="13"/>
      <c r="Y519" s="13"/>
      <c r="Z519" s="13"/>
      <c r="AA519" s="13"/>
      <c r="AB519" s="13"/>
      <c r="AC519" s="13"/>
      <c r="AD519" s="13"/>
      <c r="AE519" s="13"/>
      <c r="AF519" s="13"/>
      <c r="AG519" s="13"/>
      <c r="AH519" s="13"/>
      <c r="AI519" s="13"/>
      <c r="AJ519" s="13"/>
      <c r="AK519" s="13"/>
      <c r="AL519" s="13"/>
      <c r="AM519" s="13"/>
      <c r="AN519" s="13"/>
      <c r="AO519" s="13"/>
      <c r="AP519" s="13"/>
      <c r="AQ519" s="13"/>
      <c r="AR519" s="13"/>
      <c r="AS519" s="13"/>
      <c r="AT519" s="13"/>
      <c r="AU519" s="13"/>
      <c r="AV519" s="13"/>
      <c r="AW519" s="13"/>
      <c r="AX519" s="13"/>
      <c r="AY519" s="13"/>
      <c r="AZ519" s="13"/>
      <c r="BA519" s="13"/>
      <c r="BB519" s="13"/>
      <c r="BC519" s="13"/>
      <c r="BD519" s="13"/>
      <c r="BE519" s="13"/>
      <c r="BF519" s="13"/>
      <c r="BG519" s="13"/>
      <c r="BH519" s="13"/>
      <c r="BI519" s="13"/>
      <c r="BJ519" s="13"/>
      <c r="BK519" s="13"/>
      <c r="BL519" s="13"/>
      <c r="BM519" s="13"/>
      <c r="BN519" s="13"/>
      <c r="BO519" s="13"/>
      <c r="BP519" s="13"/>
      <c r="BQ519" s="13"/>
    </row>
    <row r="520" spans="1:69" ht="15.75" hidden="1" customHeight="1" x14ac:dyDescent="0.2">
      <c r="A520" s="13"/>
      <c r="B520" s="5"/>
      <c r="C520" s="198"/>
      <c r="D520" s="198"/>
      <c r="E520" s="198"/>
      <c r="F520" s="198"/>
      <c r="G520" s="137"/>
      <c r="H520" s="137"/>
      <c r="I520" s="137"/>
      <c r="J520" s="137"/>
      <c r="K520" s="137"/>
      <c r="L520" s="137"/>
      <c r="M520" s="137"/>
      <c r="N520" s="299"/>
      <c r="O520" s="299"/>
      <c r="P520" s="299"/>
      <c r="Q520" s="5"/>
      <c r="R520" s="5"/>
      <c r="S520" s="5"/>
      <c r="T520" s="5"/>
      <c r="U520" s="5"/>
      <c r="V520" s="5"/>
      <c r="W520" s="13"/>
      <c r="X520" s="13"/>
      <c r="Y520" s="13"/>
      <c r="Z520" s="13"/>
      <c r="AA520" s="13"/>
      <c r="AB520" s="13"/>
      <c r="AC520" s="13"/>
      <c r="AD520" s="13"/>
      <c r="AE520" s="13"/>
      <c r="AF520" s="13"/>
      <c r="AG520" s="13"/>
      <c r="AH520" s="13"/>
      <c r="AI520" s="13"/>
      <c r="AJ520" s="13"/>
      <c r="AK520" s="13"/>
      <c r="AL520" s="13"/>
      <c r="AM520" s="13"/>
      <c r="AN520" s="13"/>
      <c r="AO520" s="13"/>
      <c r="AP520" s="13"/>
      <c r="AQ520" s="13"/>
      <c r="AR520" s="13"/>
      <c r="AS520" s="13"/>
      <c r="AT520" s="13"/>
      <c r="AU520" s="13"/>
      <c r="AV520" s="13"/>
      <c r="AW520" s="13"/>
      <c r="AX520" s="13"/>
      <c r="AY520" s="13"/>
      <c r="AZ520" s="13"/>
      <c r="BA520" s="13"/>
      <c r="BB520" s="13"/>
      <c r="BC520" s="13"/>
      <c r="BD520" s="13"/>
      <c r="BE520" s="13"/>
      <c r="BF520" s="13"/>
      <c r="BG520" s="13"/>
      <c r="BH520" s="13"/>
      <c r="BI520" s="13"/>
      <c r="BJ520" s="13"/>
      <c r="BK520" s="13"/>
      <c r="BL520" s="13"/>
      <c r="BM520" s="13"/>
      <c r="BN520" s="13"/>
      <c r="BO520" s="13"/>
      <c r="BP520" s="13"/>
      <c r="BQ520" s="13"/>
    </row>
    <row r="521" spans="1:69" ht="15.75" hidden="1" customHeight="1" x14ac:dyDescent="0.2">
      <c r="A521" s="13"/>
      <c r="B521" s="5"/>
      <c r="C521" s="198"/>
      <c r="D521" s="198"/>
      <c r="E521" s="198"/>
      <c r="F521" s="198"/>
      <c r="G521" s="137"/>
      <c r="H521" s="137"/>
      <c r="I521" s="137"/>
      <c r="J521" s="137"/>
      <c r="K521" s="137"/>
      <c r="L521" s="137"/>
      <c r="M521" s="137"/>
      <c r="N521" s="299"/>
      <c r="O521" s="299"/>
      <c r="P521" s="299"/>
      <c r="Q521" s="5"/>
      <c r="R521" s="5"/>
      <c r="S521" s="5"/>
      <c r="T521" s="5"/>
      <c r="U521" s="5"/>
      <c r="V521" s="5"/>
      <c r="W521" s="13"/>
      <c r="X521" s="13"/>
      <c r="Y521" s="13"/>
      <c r="Z521" s="13"/>
      <c r="AA521" s="13"/>
      <c r="AB521" s="13"/>
      <c r="AC521" s="13"/>
      <c r="AD521" s="13"/>
      <c r="AE521" s="13"/>
      <c r="AF521" s="13"/>
      <c r="AG521" s="13"/>
      <c r="AH521" s="13"/>
      <c r="AI521" s="13"/>
      <c r="AJ521" s="13"/>
      <c r="AK521" s="13"/>
      <c r="AL521" s="13"/>
      <c r="AM521" s="13"/>
      <c r="AN521" s="13"/>
      <c r="AO521" s="13"/>
      <c r="AP521" s="13"/>
      <c r="AQ521" s="13"/>
      <c r="AR521" s="13"/>
      <c r="AS521" s="13"/>
      <c r="AT521" s="13"/>
      <c r="AU521" s="13"/>
      <c r="AV521" s="13"/>
      <c r="AW521" s="13"/>
      <c r="AX521" s="13"/>
      <c r="AY521" s="13"/>
      <c r="AZ521" s="13"/>
      <c r="BA521" s="13"/>
      <c r="BB521" s="13"/>
      <c r="BC521" s="13"/>
      <c r="BD521" s="13"/>
      <c r="BE521" s="13"/>
      <c r="BF521" s="13"/>
      <c r="BG521" s="13"/>
      <c r="BH521" s="13"/>
      <c r="BI521" s="13"/>
      <c r="BJ521" s="13"/>
      <c r="BK521" s="13"/>
      <c r="BL521" s="13"/>
      <c r="BM521" s="13"/>
      <c r="BN521" s="13"/>
      <c r="BO521" s="13"/>
      <c r="BP521" s="13"/>
      <c r="BQ521" s="13"/>
    </row>
    <row r="522" spans="1:69" ht="15.75" hidden="1" customHeight="1" x14ac:dyDescent="0.2">
      <c r="A522" s="13"/>
      <c r="B522" s="5"/>
      <c r="C522" s="198"/>
      <c r="D522" s="198"/>
      <c r="E522" s="198"/>
      <c r="F522" s="198"/>
      <c r="G522" s="137"/>
      <c r="H522" s="137"/>
      <c r="I522" s="137"/>
      <c r="J522" s="137"/>
      <c r="K522" s="137"/>
      <c r="L522" s="137"/>
      <c r="M522" s="137"/>
      <c r="N522" s="299"/>
      <c r="O522" s="299"/>
      <c r="P522" s="299"/>
      <c r="Q522" s="5"/>
      <c r="R522" s="5"/>
      <c r="S522" s="5"/>
      <c r="T522" s="5"/>
      <c r="U522" s="5"/>
      <c r="V522" s="5"/>
      <c r="W522" s="13"/>
      <c r="X522" s="13"/>
      <c r="Y522" s="13"/>
      <c r="Z522" s="13"/>
      <c r="AA522" s="13"/>
      <c r="AB522" s="13"/>
      <c r="AC522" s="13"/>
      <c r="AD522" s="13"/>
      <c r="AE522" s="13"/>
      <c r="AF522" s="13"/>
      <c r="AG522" s="13"/>
      <c r="AH522" s="13"/>
      <c r="AI522" s="13"/>
      <c r="AJ522" s="13"/>
      <c r="AK522" s="13"/>
      <c r="AL522" s="13"/>
      <c r="AM522" s="13"/>
      <c r="AN522" s="13"/>
      <c r="AO522" s="13"/>
      <c r="AP522" s="13"/>
      <c r="AQ522" s="13"/>
      <c r="AR522" s="13"/>
      <c r="AS522" s="13"/>
      <c r="AT522" s="13"/>
      <c r="AU522" s="13"/>
      <c r="AV522" s="13"/>
      <c r="AW522" s="13"/>
      <c r="AX522" s="13"/>
      <c r="AY522" s="13"/>
      <c r="AZ522" s="13"/>
      <c r="BA522" s="13"/>
      <c r="BB522" s="13"/>
      <c r="BC522" s="13"/>
      <c r="BD522" s="13"/>
      <c r="BE522" s="13"/>
      <c r="BF522" s="13"/>
      <c r="BG522" s="13"/>
      <c r="BH522" s="13"/>
      <c r="BI522" s="13"/>
      <c r="BJ522" s="13"/>
      <c r="BK522" s="13"/>
      <c r="BL522" s="13"/>
      <c r="BM522" s="13"/>
      <c r="BN522" s="13"/>
      <c r="BO522" s="13"/>
      <c r="BP522" s="13"/>
      <c r="BQ522" s="13"/>
    </row>
    <row r="523" spans="1:69" ht="15.75" hidden="1" customHeight="1" x14ac:dyDescent="0.2">
      <c r="A523" s="13"/>
      <c r="B523" s="5"/>
      <c r="C523" s="198"/>
      <c r="D523" s="198"/>
      <c r="E523" s="198"/>
      <c r="F523" s="198"/>
      <c r="G523" s="137"/>
      <c r="H523" s="137"/>
      <c r="I523" s="137"/>
      <c r="J523" s="137"/>
      <c r="K523" s="137"/>
      <c r="L523" s="137"/>
      <c r="M523" s="137"/>
      <c r="N523" s="299"/>
      <c r="O523" s="299"/>
      <c r="P523" s="299"/>
      <c r="Q523" s="5"/>
      <c r="R523" s="5"/>
      <c r="S523" s="5"/>
      <c r="T523" s="5"/>
      <c r="U523" s="5"/>
      <c r="V523" s="5"/>
      <c r="W523" s="13"/>
      <c r="X523" s="13"/>
      <c r="Y523" s="13"/>
      <c r="Z523" s="13"/>
      <c r="AA523" s="13"/>
      <c r="AB523" s="13"/>
      <c r="AC523" s="13"/>
      <c r="AD523" s="13"/>
      <c r="AE523" s="13"/>
      <c r="AF523" s="13"/>
      <c r="AG523" s="13"/>
      <c r="AH523" s="13"/>
      <c r="AI523" s="13"/>
      <c r="AJ523" s="13"/>
      <c r="AK523" s="13"/>
      <c r="AL523" s="13"/>
      <c r="AM523" s="13"/>
      <c r="AN523" s="13"/>
      <c r="AO523" s="13"/>
      <c r="AP523" s="13"/>
      <c r="AQ523" s="13"/>
      <c r="AR523" s="13"/>
      <c r="AS523" s="13"/>
      <c r="AT523" s="13"/>
      <c r="AU523" s="13"/>
      <c r="AV523" s="13"/>
      <c r="AW523" s="13"/>
      <c r="AX523" s="13"/>
      <c r="AY523" s="13"/>
      <c r="AZ523" s="13"/>
      <c r="BA523" s="13"/>
      <c r="BB523" s="13"/>
      <c r="BC523" s="13"/>
      <c r="BD523" s="13"/>
      <c r="BE523" s="13"/>
      <c r="BF523" s="13"/>
      <c r="BG523" s="13"/>
      <c r="BH523" s="13"/>
      <c r="BI523" s="13"/>
      <c r="BJ523" s="13"/>
      <c r="BK523" s="13"/>
      <c r="BL523" s="13"/>
      <c r="BM523" s="13"/>
      <c r="BN523" s="13"/>
      <c r="BO523" s="13"/>
      <c r="BP523" s="13"/>
      <c r="BQ523" s="13"/>
    </row>
    <row r="524" spans="1:69" ht="15.75" hidden="1" customHeight="1" x14ac:dyDescent="0.2">
      <c r="A524" s="13"/>
      <c r="B524" s="5"/>
      <c r="C524" s="198"/>
      <c r="D524" s="198"/>
      <c r="E524" s="198"/>
      <c r="F524" s="198"/>
      <c r="G524" s="137"/>
      <c r="H524" s="137"/>
      <c r="I524" s="137"/>
      <c r="J524" s="137"/>
      <c r="K524" s="137"/>
      <c r="L524" s="137"/>
      <c r="M524" s="137"/>
      <c r="N524" s="299"/>
      <c r="O524" s="299"/>
      <c r="P524" s="299"/>
      <c r="Q524" s="5"/>
      <c r="R524" s="5"/>
      <c r="S524" s="5"/>
      <c r="T524" s="5"/>
      <c r="U524" s="5"/>
      <c r="V524" s="5"/>
      <c r="W524" s="13"/>
      <c r="X524" s="13"/>
      <c r="Y524" s="13"/>
      <c r="Z524" s="13"/>
      <c r="AA524" s="13"/>
      <c r="AB524" s="13"/>
      <c r="AC524" s="13"/>
      <c r="AD524" s="13"/>
      <c r="AE524" s="13"/>
      <c r="AF524" s="13"/>
      <c r="AG524" s="13"/>
      <c r="AH524" s="13"/>
      <c r="AI524" s="13"/>
      <c r="AJ524" s="13"/>
      <c r="AK524" s="13"/>
      <c r="AL524" s="13"/>
      <c r="AM524" s="13"/>
      <c r="AN524" s="13"/>
      <c r="AO524" s="13"/>
      <c r="AP524" s="13"/>
      <c r="AQ524" s="13"/>
      <c r="AR524" s="13"/>
      <c r="AS524" s="13"/>
      <c r="AT524" s="13"/>
      <c r="AU524" s="13"/>
      <c r="AV524" s="13"/>
      <c r="AW524" s="13"/>
      <c r="AX524" s="13"/>
      <c r="AY524" s="13"/>
      <c r="AZ524" s="13"/>
      <c r="BA524" s="13"/>
      <c r="BB524" s="13"/>
      <c r="BC524" s="13"/>
      <c r="BD524" s="13"/>
      <c r="BE524" s="13"/>
      <c r="BF524" s="13"/>
      <c r="BG524" s="13"/>
      <c r="BH524" s="13"/>
      <c r="BI524" s="13"/>
      <c r="BJ524" s="13"/>
      <c r="BK524" s="13"/>
      <c r="BL524" s="13"/>
      <c r="BM524" s="13"/>
      <c r="BN524" s="13"/>
      <c r="BO524" s="13"/>
      <c r="BP524" s="13"/>
      <c r="BQ524" s="13"/>
    </row>
    <row r="525" spans="1:69" ht="15.75" hidden="1" customHeight="1" x14ac:dyDescent="0.2">
      <c r="A525" s="13"/>
      <c r="B525" s="5"/>
      <c r="C525" s="198"/>
      <c r="D525" s="198"/>
      <c r="E525" s="198"/>
      <c r="F525" s="198"/>
      <c r="G525" s="137"/>
      <c r="H525" s="137"/>
      <c r="I525" s="137"/>
      <c r="J525" s="137"/>
      <c r="K525" s="137"/>
      <c r="L525" s="137"/>
      <c r="M525" s="137"/>
      <c r="N525" s="299"/>
      <c r="O525" s="299"/>
      <c r="P525" s="299"/>
      <c r="Q525" s="5"/>
      <c r="R525" s="5"/>
      <c r="S525" s="5"/>
      <c r="T525" s="5"/>
      <c r="U525" s="5"/>
      <c r="V525" s="5"/>
      <c r="W525" s="13"/>
      <c r="X525" s="13"/>
      <c r="Y525" s="13"/>
      <c r="Z525" s="13"/>
      <c r="AA525" s="13"/>
      <c r="AB525" s="13"/>
      <c r="AC525" s="13"/>
      <c r="AD525" s="13"/>
      <c r="AE525" s="13"/>
      <c r="AF525" s="13"/>
      <c r="AG525" s="13"/>
      <c r="AH525" s="13"/>
      <c r="AI525" s="13"/>
      <c r="AJ525" s="13"/>
      <c r="AK525" s="13"/>
      <c r="AL525" s="13"/>
      <c r="AM525" s="13"/>
      <c r="AN525" s="13"/>
      <c r="AO525" s="13"/>
      <c r="AP525" s="13"/>
      <c r="AQ525" s="13"/>
      <c r="AR525" s="13"/>
      <c r="AS525" s="13"/>
      <c r="AT525" s="13"/>
      <c r="AU525" s="13"/>
      <c r="AV525" s="13"/>
      <c r="AW525" s="13"/>
      <c r="AX525" s="13"/>
      <c r="AY525" s="13"/>
      <c r="AZ525" s="13"/>
      <c r="BA525" s="13"/>
      <c r="BB525" s="13"/>
      <c r="BC525" s="13"/>
      <c r="BD525" s="13"/>
      <c r="BE525" s="13"/>
      <c r="BF525" s="13"/>
      <c r="BG525" s="13"/>
      <c r="BH525" s="13"/>
      <c r="BI525" s="13"/>
      <c r="BJ525" s="13"/>
      <c r="BK525" s="13"/>
      <c r="BL525" s="13"/>
      <c r="BM525" s="13"/>
      <c r="BN525" s="13"/>
      <c r="BO525" s="13"/>
      <c r="BP525" s="13"/>
      <c r="BQ525" s="13"/>
    </row>
    <row r="526" spans="1:69" ht="15.75" hidden="1" customHeight="1" x14ac:dyDescent="0.2">
      <c r="A526" s="13"/>
      <c r="B526" s="5"/>
      <c r="C526" s="198"/>
      <c r="D526" s="198"/>
      <c r="E526" s="198"/>
      <c r="F526" s="198"/>
      <c r="G526" s="137"/>
      <c r="H526" s="137"/>
      <c r="I526" s="137"/>
      <c r="J526" s="137"/>
      <c r="K526" s="137"/>
      <c r="L526" s="137"/>
      <c r="M526" s="137"/>
      <c r="N526" s="299"/>
      <c r="O526" s="299"/>
      <c r="P526" s="299"/>
      <c r="Q526" s="5"/>
      <c r="R526" s="5"/>
      <c r="S526" s="5"/>
      <c r="T526" s="5"/>
      <c r="U526" s="5"/>
      <c r="V526" s="5"/>
      <c r="W526" s="13"/>
      <c r="X526" s="13"/>
      <c r="Y526" s="13"/>
      <c r="Z526" s="13"/>
      <c r="AA526" s="13"/>
      <c r="AB526" s="13"/>
      <c r="AC526" s="13"/>
      <c r="AD526" s="13"/>
      <c r="AE526" s="13"/>
      <c r="AF526" s="13"/>
      <c r="AG526" s="13"/>
      <c r="AH526" s="13"/>
      <c r="AI526" s="13"/>
      <c r="AJ526" s="13"/>
      <c r="AK526" s="13"/>
      <c r="AL526" s="13"/>
      <c r="AM526" s="13"/>
      <c r="AN526" s="13"/>
      <c r="AO526" s="13"/>
      <c r="AP526" s="13"/>
      <c r="AQ526" s="13"/>
      <c r="AR526" s="13"/>
      <c r="AS526" s="13"/>
      <c r="AT526" s="13"/>
      <c r="AU526" s="13"/>
      <c r="AV526" s="13"/>
      <c r="AW526" s="13"/>
      <c r="AX526" s="13"/>
      <c r="AY526" s="13"/>
      <c r="AZ526" s="13"/>
      <c r="BA526" s="13"/>
      <c r="BB526" s="13"/>
      <c r="BC526" s="13"/>
      <c r="BD526" s="13"/>
      <c r="BE526" s="13"/>
      <c r="BF526" s="13"/>
      <c r="BG526" s="13"/>
      <c r="BH526" s="13"/>
      <c r="BI526" s="13"/>
      <c r="BJ526" s="13"/>
      <c r="BK526" s="13"/>
      <c r="BL526" s="13"/>
      <c r="BM526" s="13"/>
      <c r="BN526" s="13"/>
      <c r="BO526" s="13"/>
      <c r="BP526" s="13"/>
      <c r="BQ526" s="13"/>
    </row>
    <row r="527" spans="1:69" ht="15.75" hidden="1" customHeight="1" x14ac:dyDescent="0.2">
      <c r="A527" s="13"/>
      <c r="B527" s="5"/>
      <c r="C527" s="198"/>
      <c r="D527" s="198"/>
      <c r="E527" s="198"/>
      <c r="F527" s="198"/>
      <c r="G527" s="137"/>
      <c r="H527" s="137"/>
      <c r="I527" s="137"/>
      <c r="J527" s="137"/>
      <c r="K527" s="137"/>
      <c r="L527" s="137"/>
      <c r="M527" s="137"/>
      <c r="N527" s="299"/>
      <c r="O527" s="299"/>
      <c r="P527" s="299"/>
      <c r="Q527" s="5"/>
      <c r="R527" s="5"/>
      <c r="S527" s="5"/>
      <c r="T527" s="5"/>
      <c r="U527" s="5"/>
      <c r="V527" s="5"/>
      <c r="W527" s="13"/>
      <c r="X527" s="13"/>
      <c r="Y527" s="13"/>
      <c r="Z527" s="13"/>
      <c r="AA527" s="13"/>
      <c r="AB527" s="13"/>
      <c r="AC527" s="13"/>
      <c r="AD527" s="13"/>
      <c r="AE527" s="13"/>
      <c r="AF527" s="13"/>
      <c r="AG527" s="13"/>
      <c r="AH527" s="13"/>
      <c r="AI527" s="13"/>
      <c r="AJ527" s="13"/>
      <c r="AK527" s="13"/>
      <c r="AL527" s="13"/>
      <c r="AM527" s="13"/>
      <c r="AN527" s="13"/>
      <c r="AO527" s="13"/>
      <c r="AP527" s="13"/>
      <c r="AQ527" s="13"/>
      <c r="AR527" s="13"/>
      <c r="AS527" s="13"/>
      <c r="AT527" s="13"/>
      <c r="AU527" s="13"/>
      <c r="AV527" s="13"/>
      <c r="AW527" s="13"/>
      <c r="AX527" s="13"/>
      <c r="AY527" s="13"/>
      <c r="AZ527" s="13"/>
      <c r="BA527" s="13"/>
      <c r="BB527" s="13"/>
      <c r="BC527" s="13"/>
      <c r="BD527" s="13"/>
      <c r="BE527" s="13"/>
      <c r="BF527" s="13"/>
      <c r="BG527" s="13"/>
      <c r="BH527" s="13"/>
      <c r="BI527" s="13"/>
      <c r="BJ527" s="13"/>
      <c r="BK527" s="13"/>
      <c r="BL527" s="13"/>
      <c r="BM527" s="13"/>
      <c r="BN527" s="13"/>
      <c r="BO527" s="13"/>
      <c r="BP527" s="13"/>
      <c r="BQ527" s="13"/>
    </row>
    <row r="528" spans="1:69" ht="15.75" hidden="1" customHeight="1" x14ac:dyDescent="0.2">
      <c r="A528" s="13"/>
      <c r="B528" s="5"/>
      <c r="C528" s="198"/>
      <c r="D528" s="198"/>
      <c r="E528" s="198"/>
      <c r="F528" s="198"/>
      <c r="G528" s="137"/>
      <c r="H528" s="137"/>
      <c r="I528" s="137"/>
      <c r="J528" s="137"/>
      <c r="K528" s="137"/>
      <c r="L528" s="137"/>
      <c r="M528" s="137"/>
      <c r="N528" s="299"/>
      <c r="O528" s="299"/>
      <c r="P528" s="299"/>
      <c r="Q528" s="5"/>
      <c r="R528" s="5"/>
      <c r="S528" s="5"/>
      <c r="T528" s="5"/>
      <c r="U528" s="5"/>
      <c r="V528" s="5"/>
      <c r="W528" s="13"/>
      <c r="X528" s="13"/>
      <c r="Y528" s="13"/>
      <c r="Z528" s="13"/>
      <c r="AA528" s="13"/>
      <c r="AB528" s="13"/>
      <c r="AC528" s="13"/>
      <c r="AD528" s="13"/>
      <c r="AE528" s="13"/>
      <c r="AF528" s="13"/>
      <c r="AG528" s="13"/>
      <c r="AH528" s="13"/>
      <c r="AI528" s="13"/>
      <c r="AJ528" s="13"/>
      <c r="AK528" s="13"/>
      <c r="AL528" s="13"/>
      <c r="AM528" s="13"/>
      <c r="AN528" s="13"/>
      <c r="AO528" s="13"/>
      <c r="AP528" s="13"/>
      <c r="AQ528" s="13"/>
      <c r="AR528" s="13"/>
      <c r="AS528" s="13"/>
      <c r="AT528" s="13"/>
      <c r="AU528" s="13"/>
      <c r="AV528" s="13"/>
      <c r="AW528" s="13"/>
      <c r="AX528" s="13"/>
      <c r="AY528" s="13"/>
      <c r="AZ528" s="13"/>
      <c r="BA528" s="13"/>
      <c r="BB528" s="13"/>
      <c r="BC528" s="13"/>
      <c r="BD528" s="13"/>
      <c r="BE528" s="13"/>
      <c r="BF528" s="13"/>
      <c r="BG528" s="13"/>
      <c r="BH528" s="13"/>
      <c r="BI528" s="13"/>
      <c r="BJ528" s="13"/>
      <c r="BK528" s="13"/>
      <c r="BL528" s="13"/>
      <c r="BM528" s="13"/>
      <c r="BN528" s="13"/>
      <c r="BO528" s="13"/>
      <c r="BP528" s="13"/>
      <c r="BQ528" s="13"/>
    </row>
    <row r="529" spans="1:69" ht="15.75" hidden="1" customHeight="1" x14ac:dyDescent="0.2">
      <c r="A529" s="13"/>
      <c r="B529" s="5"/>
      <c r="C529" s="198"/>
      <c r="D529" s="198"/>
      <c r="E529" s="198"/>
      <c r="F529" s="198"/>
      <c r="G529" s="137"/>
      <c r="H529" s="137"/>
      <c r="I529" s="137"/>
      <c r="J529" s="137"/>
      <c r="K529" s="137"/>
      <c r="L529" s="137"/>
      <c r="M529" s="137"/>
      <c r="N529" s="299"/>
      <c r="O529" s="299"/>
      <c r="P529" s="299"/>
      <c r="Q529" s="5"/>
      <c r="R529" s="5"/>
      <c r="S529" s="5"/>
      <c r="T529" s="5"/>
      <c r="U529" s="5"/>
      <c r="V529" s="5"/>
      <c r="W529" s="13"/>
      <c r="X529" s="13"/>
      <c r="Y529" s="13"/>
      <c r="Z529" s="13"/>
      <c r="AA529" s="13"/>
      <c r="AB529" s="13"/>
      <c r="AC529" s="13"/>
      <c r="AD529" s="13"/>
      <c r="AE529" s="13"/>
      <c r="AF529" s="13"/>
      <c r="AG529" s="13"/>
      <c r="AH529" s="13"/>
      <c r="AI529" s="13"/>
      <c r="AJ529" s="13"/>
      <c r="AK529" s="13"/>
      <c r="AL529" s="13"/>
      <c r="AM529" s="13"/>
      <c r="AN529" s="13"/>
      <c r="AO529" s="13"/>
      <c r="AP529" s="13"/>
      <c r="AQ529" s="13"/>
      <c r="AR529" s="13"/>
      <c r="AS529" s="13"/>
      <c r="AT529" s="13"/>
      <c r="AU529" s="13"/>
      <c r="AV529" s="13"/>
      <c r="AW529" s="13"/>
      <c r="AX529" s="13"/>
      <c r="AY529" s="13"/>
      <c r="AZ529" s="13"/>
      <c r="BA529" s="13"/>
      <c r="BB529" s="13"/>
      <c r="BC529" s="13"/>
      <c r="BD529" s="13"/>
      <c r="BE529" s="13"/>
      <c r="BF529" s="13"/>
      <c r="BG529" s="13"/>
      <c r="BH529" s="13"/>
      <c r="BI529" s="13"/>
      <c r="BJ529" s="13"/>
      <c r="BK529" s="13"/>
      <c r="BL529" s="13"/>
      <c r="BM529" s="13"/>
      <c r="BN529" s="13"/>
      <c r="BO529" s="13"/>
      <c r="BP529" s="13"/>
      <c r="BQ529" s="13"/>
    </row>
    <row r="530" spans="1:69" ht="15.75" hidden="1" customHeight="1" x14ac:dyDescent="0.2">
      <c r="A530" s="13"/>
      <c r="B530" s="5"/>
      <c r="C530" s="198"/>
      <c r="D530" s="198"/>
      <c r="E530" s="198"/>
      <c r="F530" s="198"/>
      <c r="G530" s="137"/>
      <c r="H530" s="137"/>
      <c r="I530" s="137"/>
      <c r="J530" s="137"/>
      <c r="K530" s="137"/>
      <c r="L530" s="137"/>
      <c r="M530" s="137"/>
      <c r="N530" s="299"/>
      <c r="O530" s="299"/>
      <c r="P530" s="299"/>
      <c r="Q530" s="5"/>
      <c r="R530" s="5"/>
      <c r="S530" s="5"/>
      <c r="T530" s="5"/>
      <c r="U530" s="5"/>
      <c r="V530" s="5"/>
      <c r="W530" s="13"/>
      <c r="X530" s="13"/>
      <c r="Y530" s="13"/>
      <c r="Z530" s="13"/>
      <c r="AA530" s="13"/>
      <c r="AB530" s="13"/>
      <c r="AC530" s="13"/>
      <c r="AD530" s="13"/>
      <c r="AE530" s="13"/>
      <c r="AF530" s="13"/>
      <c r="AG530" s="13"/>
      <c r="AH530" s="13"/>
      <c r="AI530" s="13"/>
      <c r="AJ530" s="13"/>
      <c r="AK530" s="13"/>
      <c r="AL530" s="13"/>
      <c r="AM530" s="13"/>
      <c r="AN530" s="13"/>
      <c r="AO530" s="13"/>
      <c r="AP530" s="13"/>
      <c r="AQ530" s="13"/>
      <c r="AR530" s="13"/>
      <c r="AS530" s="13"/>
      <c r="AT530" s="13"/>
      <c r="AU530" s="13"/>
      <c r="AV530" s="13"/>
      <c r="AW530" s="13"/>
      <c r="AX530" s="13"/>
      <c r="AY530" s="13"/>
      <c r="AZ530" s="13"/>
      <c r="BA530" s="13"/>
      <c r="BB530" s="13"/>
      <c r="BC530" s="13"/>
      <c r="BD530" s="13"/>
      <c r="BE530" s="13"/>
      <c r="BF530" s="13"/>
      <c r="BG530" s="13"/>
      <c r="BH530" s="13"/>
      <c r="BI530" s="13"/>
      <c r="BJ530" s="13"/>
      <c r="BK530" s="13"/>
      <c r="BL530" s="13"/>
      <c r="BM530" s="13"/>
      <c r="BN530" s="13"/>
      <c r="BO530" s="13"/>
      <c r="BP530" s="13"/>
      <c r="BQ530" s="13"/>
    </row>
    <row r="531" spans="1:69" ht="15.75" hidden="1" customHeight="1" x14ac:dyDescent="0.2">
      <c r="A531" s="13"/>
      <c r="B531" s="5"/>
      <c r="C531" s="198"/>
      <c r="D531" s="198"/>
      <c r="E531" s="198"/>
      <c r="F531" s="198"/>
      <c r="G531" s="137"/>
      <c r="H531" s="137"/>
      <c r="I531" s="137"/>
      <c r="J531" s="137"/>
      <c r="K531" s="137"/>
      <c r="L531" s="137"/>
      <c r="M531" s="137"/>
      <c r="N531" s="299"/>
      <c r="O531" s="299"/>
      <c r="P531" s="299"/>
      <c r="Q531" s="5"/>
      <c r="R531" s="5"/>
      <c r="S531" s="5"/>
      <c r="T531" s="5"/>
      <c r="U531" s="5"/>
      <c r="V531" s="5"/>
      <c r="W531" s="13"/>
      <c r="X531" s="13"/>
      <c r="Y531" s="13"/>
      <c r="Z531" s="13"/>
      <c r="AA531" s="13"/>
      <c r="AB531" s="13"/>
      <c r="AC531" s="13"/>
      <c r="AD531" s="13"/>
      <c r="AE531" s="13"/>
      <c r="AF531" s="13"/>
      <c r="AG531" s="13"/>
      <c r="AH531" s="13"/>
      <c r="AI531" s="13"/>
      <c r="AJ531" s="13"/>
      <c r="AK531" s="13"/>
      <c r="AL531" s="13"/>
      <c r="AM531" s="13"/>
      <c r="AN531" s="13"/>
      <c r="AO531" s="13"/>
      <c r="AP531" s="13"/>
      <c r="AQ531" s="13"/>
      <c r="AR531" s="13"/>
      <c r="AS531" s="13"/>
      <c r="AT531" s="13"/>
      <c r="AU531" s="13"/>
      <c r="AV531" s="13"/>
      <c r="AW531" s="13"/>
      <c r="AX531" s="13"/>
      <c r="AY531" s="13"/>
      <c r="AZ531" s="13"/>
      <c r="BA531" s="13"/>
      <c r="BB531" s="13"/>
      <c r="BC531" s="13"/>
      <c r="BD531" s="13"/>
      <c r="BE531" s="13"/>
      <c r="BF531" s="13"/>
      <c r="BG531" s="13"/>
      <c r="BH531" s="13"/>
      <c r="BI531" s="13"/>
      <c r="BJ531" s="13"/>
      <c r="BK531" s="13"/>
      <c r="BL531" s="13"/>
      <c r="BM531" s="13"/>
      <c r="BN531" s="13"/>
      <c r="BO531" s="13"/>
      <c r="BP531" s="13"/>
      <c r="BQ531" s="13"/>
    </row>
    <row r="532" spans="1:69" ht="15.75" hidden="1" customHeight="1" x14ac:dyDescent="0.2">
      <c r="A532" s="13"/>
      <c r="B532" s="5"/>
      <c r="C532" s="198"/>
      <c r="D532" s="198"/>
      <c r="E532" s="198"/>
      <c r="F532" s="198"/>
      <c r="G532" s="137"/>
      <c r="H532" s="137"/>
      <c r="I532" s="137"/>
      <c r="J532" s="137"/>
      <c r="K532" s="137"/>
      <c r="L532" s="137"/>
      <c r="M532" s="137"/>
      <c r="N532" s="299"/>
      <c r="O532" s="299"/>
      <c r="P532" s="299"/>
      <c r="Q532" s="5"/>
      <c r="R532" s="5"/>
      <c r="S532" s="5"/>
      <c r="T532" s="5"/>
      <c r="U532" s="5"/>
      <c r="V532" s="5"/>
      <c r="W532" s="13"/>
      <c r="X532" s="13"/>
      <c r="Y532" s="13"/>
      <c r="Z532" s="13"/>
      <c r="AA532" s="13"/>
      <c r="AB532" s="13"/>
      <c r="AC532" s="13"/>
      <c r="AD532" s="13"/>
      <c r="AE532" s="13"/>
      <c r="AF532" s="13"/>
      <c r="AG532" s="13"/>
      <c r="AH532" s="13"/>
      <c r="AI532" s="13"/>
      <c r="AJ532" s="13"/>
      <c r="AK532" s="13"/>
      <c r="AL532" s="13"/>
      <c r="AM532" s="13"/>
      <c r="AN532" s="13"/>
      <c r="AO532" s="13"/>
      <c r="AP532" s="13"/>
      <c r="AQ532" s="13"/>
      <c r="AR532" s="13"/>
      <c r="AS532" s="13"/>
      <c r="AT532" s="13"/>
      <c r="AU532" s="13"/>
      <c r="AV532" s="13"/>
      <c r="AW532" s="13"/>
      <c r="AX532" s="13"/>
      <c r="AY532" s="13"/>
      <c r="AZ532" s="13"/>
      <c r="BA532" s="13"/>
      <c r="BB532" s="13"/>
      <c r="BC532" s="13"/>
      <c r="BD532" s="13"/>
      <c r="BE532" s="13"/>
      <c r="BF532" s="13"/>
      <c r="BG532" s="13"/>
      <c r="BH532" s="13"/>
      <c r="BI532" s="13"/>
      <c r="BJ532" s="13"/>
      <c r="BK532" s="13"/>
      <c r="BL532" s="13"/>
      <c r="BM532" s="13"/>
      <c r="BN532" s="13"/>
      <c r="BO532" s="13"/>
      <c r="BP532" s="13"/>
      <c r="BQ532" s="13"/>
    </row>
    <row r="533" spans="1:69" ht="15.75" hidden="1" customHeight="1" x14ac:dyDescent="0.2">
      <c r="A533" s="13"/>
      <c r="B533" s="5"/>
      <c r="C533" s="198"/>
      <c r="D533" s="198"/>
      <c r="E533" s="198"/>
      <c r="F533" s="198"/>
      <c r="G533" s="137"/>
      <c r="H533" s="137"/>
      <c r="I533" s="137"/>
      <c r="J533" s="137"/>
      <c r="K533" s="137"/>
      <c r="L533" s="137"/>
      <c r="M533" s="137"/>
      <c r="N533" s="299"/>
      <c r="O533" s="299"/>
      <c r="P533" s="299"/>
      <c r="Q533" s="5"/>
      <c r="R533" s="5"/>
      <c r="S533" s="5"/>
      <c r="T533" s="5"/>
      <c r="U533" s="5"/>
      <c r="V533" s="5"/>
      <c r="W533" s="13"/>
      <c r="X533" s="13"/>
      <c r="Y533" s="13"/>
      <c r="Z533" s="13"/>
      <c r="AA533" s="13"/>
      <c r="AB533" s="13"/>
      <c r="AC533" s="13"/>
      <c r="AD533" s="13"/>
      <c r="AE533" s="13"/>
      <c r="AF533" s="13"/>
      <c r="AG533" s="13"/>
      <c r="AH533" s="13"/>
      <c r="AI533" s="13"/>
      <c r="AJ533" s="13"/>
      <c r="AK533" s="13"/>
      <c r="AL533" s="13"/>
      <c r="AM533" s="13"/>
      <c r="AN533" s="13"/>
      <c r="AO533" s="13"/>
      <c r="AP533" s="13"/>
      <c r="AQ533" s="13"/>
      <c r="AR533" s="13"/>
      <c r="AS533" s="13"/>
      <c r="AT533" s="13"/>
      <c r="AU533" s="13"/>
      <c r="AV533" s="13"/>
      <c r="AW533" s="13"/>
      <c r="AX533" s="13"/>
      <c r="AY533" s="13"/>
      <c r="AZ533" s="13"/>
      <c r="BA533" s="13"/>
      <c r="BB533" s="13"/>
      <c r="BC533" s="13"/>
      <c r="BD533" s="13"/>
      <c r="BE533" s="13"/>
      <c r="BF533" s="13"/>
      <c r="BG533" s="13"/>
      <c r="BH533" s="13"/>
      <c r="BI533" s="13"/>
      <c r="BJ533" s="13"/>
      <c r="BK533" s="13"/>
      <c r="BL533" s="13"/>
      <c r="BM533" s="13"/>
      <c r="BN533" s="13"/>
      <c r="BO533" s="13"/>
      <c r="BP533" s="13"/>
      <c r="BQ533" s="13"/>
    </row>
    <row r="534" spans="1:69" ht="15.75" hidden="1" customHeight="1" x14ac:dyDescent="0.2">
      <c r="A534" s="13"/>
      <c r="B534" s="5"/>
      <c r="C534" s="198"/>
      <c r="D534" s="198"/>
      <c r="E534" s="198"/>
      <c r="F534" s="198"/>
      <c r="G534" s="137"/>
      <c r="H534" s="137"/>
      <c r="I534" s="137"/>
      <c r="J534" s="137"/>
      <c r="K534" s="137"/>
      <c r="L534" s="137"/>
      <c r="M534" s="137"/>
      <c r="N534" s="299"/>
      <c r="O534" s="299"/>
      <c r="P534" s="299"/>
      <c r="Q534" s="5"/>
      <c r="R534" s="5"/>
      <c r="S534" s="5"/>
      <c r="T534" s="5"/>
      <c r="U534" s="5"/>
      <c r="V534" s="5"/>
      <c r="W534" s="13"/>
      <c r="X534" s="13"/>
      <c r="Y534" s="13"/>
      <c r="Z534" s="13"/>
      <c r="AA534" s="13"/>
      <c r="AB534" s="13"/>
      <c r="AC534" s="13"/>
      <c r="AD534" s="13"/>
      <c r="AE534" s="13"/>
      <c r="AF534" s="13"/>
      <c r="AG534" s="13"/>
      <c r="AH534" s="13"/>
      <c r="AI534" s="13"/>
      <c r="AJ534" s="13"/>
      <c r="AK534" s="13"/>
      <c r="AL534" s="13"/>
      <c r="AM534" s="13"/>
      <c r="AN534" s="13"/>
      <c r="AO534" s="13"/>
      <c r="AP534" s="13"/>
      <c r="AQ534" s="13"/>
      <c r="AR534" s="13"/>
      <c r="AS534" s="13"/>
      <c r="AT534" s="13"/>
      <c r="AU534" s="13"/>
      <c r="AV534" s="13"/>
      <c r="AW534" s="13"/>
      <c r="AX534" s="13"/>
      <c r="AY534" s="13"/>
      <c r="AZ534" s="13"/>
      <c r="BA534" s="13"/>
      <c r="BB534" s="13"/>
      <c r="BC534" s="13"/>
      <c r="BD534" s="13"/>
      <c r="BE534" s="13"/>
      <c r="BF534" s="13"/>
      <c r="BG534" s="13"/>
      <c r="BH534" s="13"/>
      <c r="BI534" s="13"/>
      <c r="BJ534" s="13"/>
      <c r="BK534" s="13"/>
      <c r="BL534" s="13"/>
      <c r="BM534" s="13"/>
      <c r="BN534" s="13"/>
      <c r="BO534" s="13"/>
      <c r="BP534" s="13"/>
      <c r="BQ534" s="13"/>
    </row>
    <row r="535" spans="1:69" ht="15.75" hidden="1" customHeight="1" x14ac:dyDescent="0.2">
      <c r="A535" s="13"/>
      <c r="B535" s="5"/>
      <c r="C535" s="198"/>
      <c r="D535" s="198"/>
      <c r="E535" s="198"/>
      <c r="F535" s="198"/>
      <c r="G535" s="137"/>
      <c r="H535" s="137"/>
      <c r="I535" s="137"/>
      <c r="J535" s="137"/>
      <c r="K535" s="137"/>
      <c r="L535" s="137"/>
      <c r="M535" s="137"/>
      <c r="N535" s="299"/>
      <c r="O535" s="299"/>
      <c r="P535" s="299"/>
      <c r="Q535" s="5"/>
      <c r="R535" s="5"/>
      <c r="S535" s="5"/>
      <c r="T535" s="5"/>
      <c r="U535" s="5"/>
      <c r="V535" s="5"/>
      <c r="W535" s="13"/>
      <c r="X535" s="13"/>
      <c r="Y535" s="13"/>
      <c r="Z535" s="13"/>
      <c r="AA535" s="13"/>
      <c r="AB535" s="13"/>
      <c r="AC535" s="13"/>
      <c r="AD535" s="13"/>
      <c r="AE535" s="13"/>
      <c r="AF535" s="13"/>
      <c r="AG535" s="13"/>
      <c r="AH535" s="13"/>
      <c r="AI535" s="13"/>
      <c r="AJ535" s="13"/>
      <c r="AK535" s="13"/>
      <c r="AL535" s="13"/>
      <c r="AM535" s="13"/>
      <c r="AN535" s="13"/>
      <c r="AO535" s="13"/>
      <c r="AP535" s="13"/>
      <c r="AQ535" s="13"/>
      <c r="AR535" s="13"/>
      <c r="AS535" s="13"/>
      <c r="AT535" s="13"/>
      <c r="AU535" s="13"/>
      <c r="AV535" s="13"/>
      <c r="AW535" s="13"/>
      <c r="AX535" s="13"/>
      <c r="AY535" s="13"/>
      <c r="AZ535" s="13"/>
      <c r="BA535" s="13"/>
      <c r="BB535" s="13"/>
      <c r="BC535" s="13"/>
      <c r="BD535" s="13"/>
      <c r="BE535" s="13"/>
      <c r="BF535" s="13"/>
      <c r="BG535" s="13"/>
      <c r="BH535" s="13"/>
      <c r="BI535" s="13"/>
      <c r="BJ535" s="13"/>
      <c r="BK535" s="13"/>
      <c r="BL535" s="13"/>
      <c r="BM535" s="13"/>
      <c r="BN535" s="13"/>
      <c r="BO535" s="13"/>
      <c r="BP535" s="13"/>
      <c r="BQ535" s="13"/>
    </row>
    <row r="536" spans="1:69" ht="15.75" hidden="1" customHeight="1" x14ac:dyDescent="0.2">
      <c r="A536" s="13"/>
      <c r="B536" s="5"/>
      <c r="C536" s="198"/>
      <c r="D536" s="198"/>
      <c r="E536" s="198"/>
      <c r="F536" s="198"/>
      <c r="G536" s="137"/>
      <c r="H536" s="137"/>
      <c r="I536" s="137"/>
      <c r="J536" s="137"/>
      <c r="K536" s="137"/>
      <c r="L536" s="137"/>
      <c r="M536" s="137"/>
      <c r="N536" s="299"/>
      <c r="O536" s="299"/>
      <c r="P536" s="299"/>
      <c r="Q536" s="5"/>
      <c r="R536" s="5"/>
      <c r="S536" s="5"/>
      <c r="T536" s="5"/>
      <c r="U536" s="5"/>
      <c r="V536" s="5"/>
      <c r="W536" s="13"/>
      <c r="X536" s="13"/>
      <c r="Y536" s="13"/>
      <c r="Z536" s="13"/>
      <c r="AA536" s="13"/>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c r="AY536" s="13"/>
      <c r="AZ536" s="13"/>
      <c r="BA536" s="13"/>
      <c r="BB536" s="13"/>
      <c r="BC536" s="13"/>
      <c r="BD536" s="13"/>
      <c r="BE536" s="13"/>
      <c r="BF536" s="13"/>
      <c r="BG536" s="13"/>
      <c r="BH536" s="13"/>
      <c r="BI536" s="13"/>
      <c r="BJ536" s="13"/>
      <c r="BK536" s="13"/>
      <c r="BL536" s="13"/>
      <c r="BM536" s="13"/>
      <c r="BN536" s="13"/>
      <c r="BO536" s="13"/>
      <c r="BP536" s="13"/>
      <c r="BQ536" s="13"/>
    </row>
    <row r="537" spans="1:69" ht="15.75" hidden="1" customHeight="1" x14ac:dyDescent="0.2">
      <c r="A537" s="13"/>
      <c r="B537" s="5"/>
      <c r="C537" s="198"/>
      <c r="D537" s="198"/>
      <c r="E537" s="198"/>
      <c r="F537" s="198"/>
      <c r="G537" s="137"/>
      <c r="H537" s="137"/>
      <c r="I537" s="137"/>
      <c r="J537" s="137"/>
      <c r="K537" s="137"/>
      <c r="L537" s="137"/>
      <c r="M537" s="137"/>
      <c r="N537" s="299"/>
      <c r="O537" s="299"/>
      <c r="P537" s="299"/>
      <c r="Q537" s="5"/>
      <c r="R537" s="5"/>
      <c r="S537" s="5"/>
      <c r="T537" s="5"/>
      <c r="U537" s="5"/>
      <c r="V537" s="5"/>
      <c r="W537" s="13"/>
      <c r="X537" s="13"/>
      <c r="Y537" s="13"/>
      <c r="Z537" s="13"/>
      <c r="AA537" s="13"/>
      <c r="AB537" s="13"/>
      <c r="AC537" s="13"/>
      <c r="AD537" s="13"/>
      <c r="AE537" s="13"/>
      <c r="AF537" s="13"/>
      <c r="AG537" s="13"/>
      <c r="AH537" s="13"/>
      <c r="AI537" s="13"/>
      <c r="AJ537" s="13"/>
      <c r="AK537" s="13"/>
      <c r="AL537" s="13"/>
      <c r="AM537" s="13"/>
      <c r="AN537" s="13"/>
      <c r="AO537" s="13"/>
      <c r="AP537" s="13"/>
      <c r="AQ537" s="13"/>
      <c r="AR537" s="13"/>
      <c r="AS537" s="13"/>
      <c r="AT537" s="13"/>
      <c r="AU537" s="13"/>
      <c r="AV537" s="13"/>
      <c r="AW537" s="13"/>
      <c r="AX537" s="13"/>
      <c r="AY537" s="13"/>
      <c r="AZ537" s="13"/>
      <c r="BA537" s="13"/>
      <c r="BB537" s="13"/>
      <c r="BC537" s="13"/>
      <c r="BD537" s="13"/>
      <c r="BE537" s="13"/>
      <c r="BF537" s="13"/>
      <c r="BG537" s="13"/>
      <c r="BH537" s="13"/>
      <c r="BI537" s="13"/>
      <c r="BJ537" s="13"/>
      <c r="BK537" s="13"/>
      <c r="BL537" s="13"/>
      <c r="BM537" s="13"/>
      <c r="BN537" s="13"/>
      <c r="BO537" s="13"/>
      <c r="BP537" s="13"/>
      <c r="BQ537" s="13"/>
    </row>
    <row r="538" spans="1:69" ht="15.75" hidden="1" customHeight="1" x14ac:dyDescent="0.2">
      <c r="A538" s="13"/>
      <c r="B538" s="5"/>
      <c r="C538" s="198"/>
      <c r="D538" s="198"/>
      <c r="E538" s="198"/>
      <c r="F538" s="198"/>
      <c r="G538" s="137"/>
      <c r="H538" s="137"/>
      <c r="I538" s="137"/>
      <c r="J538" s="137"/>
      <c r="K538" s="137"/>
      <c r="L538" s="137"/>
      <c r="M538" s="137"/>
      <c r="N538" s="299"/>
      <c r="O538" s="299"/>
      <c r="P538" s="299"/>
      <c r="Q538" s="5"/>
      <c r="R538" s="5"/>
      <c r="S538" s="5"/>
      <c r="T538" s="5"/>
      <c r="U538" s="5"/>
      <c r="V538" s="5"/>
      <c r="W538" s="13"/>
      <c r="X538" s="13"/>
      <c r="Y538" s="13"/>
      <c r="Z538" s="13"/>
      <c r="AA538" s="13"/>
      <c r="AB538" s="13"/>
      <c r="AC538" s="13"/>
      <c r="AD538" s="13"/>
      <c r="AE538" s="13"/>
      <c r="AF538" s="13"/>
      <c r="AG538" s="13"/>
      <c r="AH538" s="13"/>
      <c r="AI538" s="13"/>
      <c r="AJ538" s="13"/>
      <c r="AK538" s="13"/>
      <c r="AL538" s="13"/>
      <c r="AM538" s="13"/>
      <c r="AN538" s="13"/>
      <c r="AO538" s="13"/>
      <c r="AP538" s="13"/>
      <c r="AQ538" s="13"/>
      <c r="AR538" s="13"/>
      <c r="AS538" s="13"/>
      <c r="AT538" s="13"/>
      <c r="AU538" s="13"/>
      <c r="AV538" s="13"/>
      <c r="AW538" s="13"/>
      <c r="AX538" s="13"/>
      <c r="AY538" s="13"/>
      <c r="AZ538" s="13"/>
      <c r="BA538" s="13"/>
      <c r="BB538" s="13"/>
      <c r="BC538" s="13"/>
      <c r="BD538" s="13"/>
      <c r="BE538" s="13"/>
      <c r="BF538" s="13"/>
      <c r="BG538" s="13"/>
      <c r="BH538" s="13"/>
      <c r="BI538" s="13"/>
      <c r="BJ538" s="13"/>
      <c r="BK538" s="13"/>
      <c r="BL538" s="13"/>
      <c r="BM538" s="13"/>
      <c r="BN538" s="13"/>
      <c r="BO538" s="13"/>
      <c r="BP538" s="13"/>
      <c r="BQ538" s="13"/>
    </row>
    <row r="539" spans="1:69" ht="15.75" hidden="1" customHeight="1" x14ac:dyDescent="0.2">
      <c r="A539" s="13"/>
      <c r="B539" s="5"/>
      <c r="C539" s="198"/>
      <c r="D539" s="198"/>
      <c r="E539" s="198"/>
      <c r="F539" s="198"/>
      <c r="G539" s="137"/>
      <c r="H539" s="137"/>
      <c r="I539" s="137"/>
      <c r="J539" s="137"/>
      <c r="K539" s="137"/>
      <c r="L539" s="137"/>
      <c r="M539" s="137"/>
      <c r="N539" s="299"/>
      <c r="O539" s="299"/>
      <c r="P539" s="299"/>
      <c r="Q539" s="5"/>
      <c r="R539" s="5"/>
      <c r="S539" s="5"/>
      <c r="T539" s="5"/>
      <c r="U539" s="5"/>
      <c r="V539" s="5"/>
      <c r="W539" s="13"/>
      <c r="X539" s="13"/>
      <c r="Y539" s="13"/>
      <c r="Z539" s="13"/>
      <c r="AA539" s="13"/>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c r="AY539" s="13"/>
      <c r="AZ539" s="13"/>
      <c r="BA539" s="13"/>
      <c r="BB539" s="13"/>
      <c r="BC539" s="13"/>
      <c r="BD539" s="13"/>
      <c r="BE539" s="13"/>
      <c r="BF539" s="13"/>
      <c r="BG539" s="13"/>
      <c r="BH539" s="13"/>
      <c r="BI539" s="13"/>
      <c r="BJ539" s="13"/>
      <c r="BK539" s="13"/>
      <c r="BL539" s="13"/>
      <c r="BM539" s="13"/>
      <c r="BN539" s="13"/>
      <c r="BO539" s="13"/>
      <c r="BP539" s="13"/>
      <c r="BQ539" s="13"/>
    </row>
    <row r="540" spans="1:69" ht="15.75" hidden="1" customHeight="1" x14ac:dyDescent="0.2">
      <c r="A540" s="13"/>
      <c r="B540" s="5"/>
      <c r="C540" s="198"/>
      <c r="D540" s="198"/>
      <c r="E540" s="198"/>
      <c r="F540" s="198"/>
      <c r="G540" s="137"/>
      <c r="H540" s="137"/>
      <c r="I540" s="137"/>
      <c r="J540" s="137"/>
      <c r="K540" s="137"/>
      <c r="L540" s="137"/>
      <c r="M540" s="137"/>
      <c r="N540" s="299"/>
      <c r="O540" s="299"/>
      <c r="P540" s="299"/>
      <c r="Q540" s="5"/>
      <c r="R540" s="5"/>
      <c r="S540" s="5"/>
      <c r="T540" s="5"/>
      <c r="U540" s="5"/>
      <c r="V540" s="5"/>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c r="AY540" s="13"/>
      <c r="AZ540" s="13"/>
      <c r="BA540" s="13"/>
      <c r="BB540" s="13"/>
      <c r="BC540" s="13"/>
      <c r="BD540" s="13"/>
      <c r="BE540" s="13"/>
      <c r="BF540" s="13"/>
      <c r="BG540" s="13"/>
      <c r="BH540" s="13"/>
      <c r="BI540" s="13"/>
      <c r="BJ540" s="13"/>
      <c r="BK540" s="13"/>
      <c r="BL540" s="13"/>
      <c r="BM540" s="13"/>
      <c r="BN540" s="13"/>
      <c r="BO540" s="13"/>
      <c r="BP540" s="13"/>
      <c r="BQ540" s="13"/>
    </row>
    <row r="541" spans="1:69" ht="15.75" hidden="1" customHeight="1" x14ac:dyDescent="0.2">
      <c r="A541" s="13"/>
      <c r="B541" s="5"/>
      <c r="C541" s="198"/>
      <c r="D541" s="198"/>
      <c r="E541" s="198"/>
      <c r="F541" s="198"/>
      <c r="G541" s="137"/>
      <c r="H541" s="137"/>
      <c r="I541" s="137"/>
      <c r="J541" s="137"/>
      <c r="K541" s="137"/>
      <c r="L541" s="137"/>
      <c r="M541" s="137"/>
      <c r="N541" s="299"/>
      <c r="O541" s="299"/>
      <c r="P541" s="299"/>
      <c r="Q541" s="5"/>
      <c r="R541" s="5"/>
      <c r="S541" s="5"/>
      <c r="T541" s="5"/>
      <c r="U541" s="5"/>
      <c r="V541" s="5"/>
      <c r="W541" s="13"/>
      <c r="X541" s="13"/>
      <c r="Y541" s="13"/>
      <c r="Z541" s="13"/>
      <c r="AA541" s="13"/>
      <c r="AB541" s="13"/>
      <c r="AC541" s="13"/>
      <c r="AD541" s="13"/>
      <c r="AE541" s="13"/>
      <c r="AF541" s="13"/>
      <c r="AG541" s="13"/>
      <c r="AH541" s="13"/>
      <c r="AI541" s="13"/>
      <c r="AJ541" s="13"/>
      <c r="AK541" s="13"/>
      <c r="AL541" s="13"/>
      <c r="AM541" s="13"/>
      <c r="AN541" s="13"/>
      <c r="AO541" s="13"/>
      <c r="AP541" s="13"/>
      <c r="AQ541" s="13"/>
      <c r="AR541" s="13"/>
      <c r="AS541" s="13"/>
      <c r="AT541" s="13"/>
      <c r="AU541" s="13"/>
      <c r="AV541" s="13"/>
      <c r="AW541" s="13"/>
      <c r="AX541" s="13"/>
      <c r="AY541" s="13"/>
      <c r="AZ541" s="13"/>
      <c r="BA541" s="13"/>
      <c r="BB541" s="13"/>
      <c r="BC541" s="13"/>
      <c r="BD541" s="13"/>
      <c r="BE541" s="13"/>
      <c r="BF541" s="13"/>
      <c r="BG541" s="13"/>
      <c r="BH541" s="13"/>
      <c r="BI541" s="13"/>
      <c r="BJ541" s="13"/>
      <c r="BK541" s="13"/>
      <c r="BL541" s="13"/>
      <c r="BM541" s="13"/>
      <c r="BN541" s="13"/>
      <c r="BO541" s="13"/>
      <c r="BP541" s="13"/>
      <c r="BQ541" s="13"/>
    </row>
    <row r="542" spans="1:69" ht="15.75" hidden="1" customHeight="1" x14ac:dyDescent="0.2">
      <c r="A542" s="13"/>
      <c r="B542" s="5"/>
      <c r="C542" s="198"/>
      <c r="D542" s="198"/>
      <c r="E542" s="198"/>
      <c r="F542" s="198"/>
      <c r="G542" s="137"/>
      <c r="H542" s="137"/>
      <c r="I542" s="137"/>
      <c r="J542" s="137"/>
      <c r="K542" s="137"/>
      <c r="L542" s="137"/>
      <c r="M542" s="137"/>
      <c r="N542" s="299"/>
      <c r="O542" s="299"/>
      <c r="P542" s="299"/>
      <c r="Q542" s="5"/>
      <c r="R542" s="5"/>
      <c r="S542" s="5"/>
      <c r="T542" s="5"/>
      <c r="U542" s="5"/>
      <c r="V542" s="5"/>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c r="AY542" s="13"/>
      <c r="AZ542" s="13"/>
      <c r="BA542" s="13"/>
      <c r="BB542" s="13"/>
      <c r="BC542" s="13"/>
      <c r="BD542" s="13"/>
      <c r="BE542" s="13"/>
      <c r="BF542" s="13"/>
      <c r="BG542" s="13"/>
      <c r="BH542" s="13"/>
      <c r="BI542" s="13"/>
      <c r="BJ542" s="13"/>
      <c r="BK542" s="13"/>
      <c r="BL542" s="13"/>
      <c r="BM542" s="13"/>
      <c r="BN542" s="13"/>
      <c r="BO542" s="13"/>
      <c r="BP542" s="13"/>
      <c r="BQ542" s="13"/>
    </row>
    <row r="543" spans="1:69" ht="15.75" hidden="1" customHeight="1" x14ac:dyDescent="0.2">
      <c r="A543" s="13"/>
      <c r="B543" s="5"/>
      <c r="C543" s="198"/>
      <c r="D543" s="198"/>
      <c r="E543" s="198"/>
      <c r="F543" s="198"/>
      <c r="G543" s="137"/>
      <c r="H543" s="137"/>
      <c r="I543" s="137"/>
      <c r="J543" s="137"/>
      <c r="K543" s="137"/>
      <c r="L543" s="137"/>
      <c r="M543" s="137"/>
      <c r="N543" s="299"/>
      <c r="O543" s="299"/>
      <c r="P543" s="299"/>
      <c r="Q543" s="5"/>
      <c r="R543" s="5"/>
      <c r="S543" s="5"/>
      <c r="T543" s="5"/>
      <c r="U543" s="5"/>
      <c r="V543" s="5"/>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c r="AY543" s="13"/>
      <c r="AZ543" s="13"/>
      <c r="BA543" s="13"/>
      <c r="BB543" s="13"/>
      <c r="BC543" s="13"/>
      <c r="BD543" s="13"/>
      <c r="BE543" s="13"/>
      <c r="BF543" s="13"/>
      <c r="BG543" s="13"/>
      <c r="BH543" s="13"/>
      <c r="BI543" s="13"/>
      <c r="BJ543" s="13"/>
      <c r="BK543" s="13"/>
      <c r="BL543" s="13"/>
      <c r="BM543" s="13"/>
      <c r="BN543" s="13"/>
      <c r="BO543" s="13"/>
      <c r="BP543" s="13"/>
      <c r="BQ543" s="13"/>
    </row>
    <row r="544" spans="1:69" ht="15.75" hidden="1" customHeight="1" x14ac:dyDescent="0.2">
      <c r="A544" s="13"/>
      <c r="B544" s="5"/>
      <c r="C544" s="198"/>
      <c r="D544" s="198"/>
      <c r="E544" s="198"/>
      <c r="F544" s="198"/>
      <c r="G544" s="137"/>
      <c r="H544" s="137"/>
      <c r="I544" s="137"/>
      <c r="J544" s="137"/>
      <c r="K544" s="137"/>
      <c r="L544" s="137"/>
      <c r="M544" s="137"/>
      <c r="N544" s="299"/>
      <c r="O544" s="299"/>
      <c r="P544" s="299"/>
      <c r="Q544" s="5"/>
      <c r="R544" s="5"/>
      <c r="S544" s="5"/>
      <c r="T544" s="5"/>
      <c r="U544" s="5"/>
      <c r="V544" s="5"/>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c r="AY544" s="13"/>
      <c r="AZ544" s="13"/>
      <c r="BA544" s="13"/>
      <c r="BB544" s="13"/>
      <c r="BC544" s="13"/>
      <c r="BD544" s="13"/>
      <c r="BE544" s="13"/>
      <c r="BF544" s="13"/>
      <c r="BG544" s="13"/>
      <c r="BH544" s="13"/>
      <c r="BI544" s="13"/>
      <c r="BJ544" s="13"/>
      <c r="BK544" s="13"/>
      <c r="BL544" s="13"/>
      <c r="BM544" s="13"/>
      <c r="BN544" s="13"/>
      <c r="BO544" s="13"/>
      <c r="BP544" s="13"/>
      <c r="BQ544" s="13"/>
    </row>
    <row r="545" spans="1:69" ht="15.75" hidden="1" customHeight="1" x14ac:dyDescent="0.2">
      <c r="A545" s="13"/>
      <c r="B545" s="5"/>
      <c r="C545" s="198"/>
      <c r="D545" s="198"/>
      <c r="E545" s="198"/>
      <c r="F545" s="198"/>
      <c r="G545" s="137"/>
      <c r="H545" s="137"/>
      <c r="I545" s="137"/>
      <c r="J545" s="137"/>
      <c r="K545" s="137"/>
      <c r="L545" s="137"/>
      <c r="M545" s="137"/>
      <c r="N545" s="299"/>
      <c r="O545" s="299"/>
      <c r="P545" s="299"/>
      <c r="Q545" s="5"/>
      <c r="R545" s="5"/>
      <c r="S545" s="5"/>
      <c r="T545" s="5"/>
      <c r="U545" s="5"/>
      <c r="V545" s="5"/>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c r="AY545" s="13"/>
      <c r="AZ545" s="13"/>
      <c r="BA545" s="13"/>
      <c r="BB545" s="13"/>
      <c r="BC545" s="13"/>
      <c r="BD545" s="13"/>
      <c r="BE545" s="13"/>
      <c r="BF545" s="13"/>
      <c r="BG545" s="13"/>
      <c r="BH545" s="13"/>
      <c r="BI545" s="13"/>
      <c r="BJ545" s="13"/>
      <c r="BK545" s="13"/>
      <c r="BL545" s="13"/>
      <c r="BM545" s="13"/>
      <c r="BN545" s="13"/>
      <c r="BO545" s="13"/>
      <c r="BP545" s="13"/>
      <c r="BQ545" s="13"/>
    </row>
    <row r="546" spans="1:69" ht="15.75" hidden="1" customHeight="1" x14ac:dyDescent="0.2">
      <c r="A546" s="13"/>
      <c r="B546" s="5"/>
      <c r="C546" s="198"/>
      <c r="D546" s="198"/>
      <c r="E546" s="198"/>
      <c r="F546" s="198"/>
      <c r="G546" s="137"/>
      <c r="H546" s="137"/>
      <c r="I546" s="137"/>
      <c r="J546" s="137"/>
      <c r="K546" s="137"/>
      <c r="L546" s="137"/>
      <c r="M546" s="137"/>
      <c r="N546" s="299"/>
      <c r="O546" s="299"/>
      <c r="P546" s="299"/>
      <c r="Q546" s="5"/>
      <c r="R546" s="5"/>
      <c r="S546" s="5"/>
      <c r="T546" s="5"/>
      <c r="U546" s="5"/>
      <c r="V546" s="5"/>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c r="AY546" s="13"/>
      <c r="AZ546" s="13"/>
      <c r="BA546" s="13"/>
      <c r="BB546" s="13"/>
      <c r="BC546" s="13"/>
      <c r="BD546" s="13"/>
      <c r="BE546" s="13"/>
      <c r="BF546" s="13"/>
      <c r="BG546" s="13"/>
      <c r="BH546" s="13"/>
      <c r="BI546" s="13"/>
      <c r="BJ546" s="13"/>
      <c r="BK546" s="13"/>
      <c r="BL546" s="13"/>
      <c r="BM546" s="13"/>
      <c r="BN546" s="13"/>
      <c r="BO546" s="13"/>
      <c r="BP546" s="13"/>
      <c r="BQ546" s="13"/>
    </row>
    <row r="547" spans="1:69" ht="15.75" hidden="1" customHeight="1" x14ac:dyDescent="0.2">
      <c r="A547" s="13"/>
      <c r="B547" s="5"/>
      <c r="C547" s="198"/>
      <c r="D547" s="198"/>
      <c r="E547" s="198"/>
      <c r="F547" s="198"/>
      <c r="G547" s="137"/>
      <c r="H547" s="137"/>
      <c r="I547" s="137"/>
      <c r="J547" s="137"/>
      <c r="K547" s="137"/>
      <c r="L547" s="137"/>
      <c r="M547" s="137"/>
      <c r="N547" s="299"/>
      <c r="O547" s="299"/>
      <c r="P547" s="299"/>
      <c r="Q547" s="5"/>
      <c r="R547" s="5"/>
      <c r="S547" s="5"/>
      <c r="T547" s="5"/>
      <c r="U547" s="5"/>
      <c r="V547" s="5"/>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c r="AY547" s="13"/>
      <c r="AZ547" s="13"/>
      <c r="BA547" s="13"/>
      <c r="BB547" s="13"/>
      <c r="BC547" s="13"/>
      <c r="BD547" s="13"/>
      <c r="BE547" s="13"/>
      <c r="BF547" s="13"/>
      <c r="BG547" s="13"/>
      <c r="BH547" s="13"/>
      <c r="BI547" s="13"/>
      <c r="BJ547" s="13"/>
      <c r="BK547" s="13"/>
      <c r="BL547" s="13"/>
      <c r="BM547" s="13"/>
      <c r="BN547" s="13"/>
      <c r="BO547" s="13"/>
      <c r="BP547" s="13"/>
      <c r="BQ547" s="13"/>
    </row>
    <row r="548" spans="1:69" ht="15.75" hidden="1" customHeight="1" x14ac:dyDescent="0.2">
      <c r="A548" s="13"/>
      <c r="B548" s="5"/>
      <c r="C548" s="198"/>
      <c r="D548" s="198"/>
      <c r="E548" s="198"/>
      <c r="F548" s="198"/>
      <c r="G548" s="137"/>
      <c r="H548" s="137"/>
      <c r="I548" s="137"/>
      <c r="J548" s="137"/>
      <c r="K548" s="137"/>
      <c r="L548" s="137"/>
      <c r="M548" s="137"/>
      <c r="N548" s="299"/>
      <c r="O548" s="299"/>
      <c r="P548" s="299"/>
      <c r="Q548" s="5"/>
      <c r="R548" s="5"/>
      <c r="S548" s="5"/>
      <c r="T548" s="5"/>
      <c r="U548" s="5"/>
      <c r="V548" s="5"/>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c r="AY548" s="13"/>
      <c r="AZ548" s="13"/>
      <c r="BA548" s="13"/>
      <c r="BB548" s="13"/>
      <c r="BC548" s="13"/>
      <c r="BD548" s="13"/>
      <c r="BE548" s="13"/>
      <c r="BF548" s="13"/>
      <c r="BG548" s="13"/>
      <c r="BH548" s="13"/>
      <c r="BI548" s="13"/>
      <c r="BJ548" s="13"/>
      <c r="BK548" s="13"/>
      <c r="BL548" s="13"/>
      <c r="BM548" s="13"/>
      <c r="BN548" s="13"/>
      <c r="BO548" s="13"/>
      <c r="BP548" s="13"/>
      <c r="BQ548" s="13"/>
    </row>
    <row r="549" spans="1:69" ht="15.75" hidden="1" customHeight="1" x14ac:dyDescent="0.2">
      <c r="A549" s="13"/>
      <c r="B549" s="5"/>
      <c r="C549" s="198"/>
      <c r="D549" s="198"/>
      <c r="E549" s="198"/>
      <c r="F549" s="198"/>
      <c r="G549" s="137"/>
      <c r="H549" s="137"/>
      <c r="I549" s="137"/>
      <c r="J549" s="137"/>
      <c r="K549" s="137"/>
      <c r="L549" s="137"/>
      <c r="M549" s="137"/>
      <c r="N549" s="299"/>
      <c r="O549" s="299"/>
      <c r="P549" s="299"/>
      <c r="Q549" s="5"/>
      <c r="R549" s="5"/>
      <c r="S549" s="5"/>
      <c r="T549" s="5"/>
      <c r="U549" s="5"/>
      <c r="V549" s="5"/>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c r="AY549" s="13"/>
      <c r="AZ549" s="13"/>
      <c r="BA549" s="13"/>
      <c r="BB549" s="13"/>
      <c r="BC549" s="13"/>
      <c r="BD549" s="13"/>
      <c r="BE549" s="13"/>
      <c r="BF549" s="13"/>
      <c r="BG549" s="13"/>
      <c r="BH549" s="13"/>
      <c r="BI549" s="13"/>
      <c r="BJ549" s="13"/>
      <c r="BK549" s="13"/>
      <c r="BL549" s="13"/>
      <c r="BM549" s="13"/>
      <c r="BN549" s="13"/>
      <c r="BO549" s="13"/>
      <c r="BP549" s="13"/>
      <c r="BQ549" s="13"/>
    </row>
    <row r="550" spans="1:69" ht="15.75" hidden="1" customHeight="1" x14ac:dyDescent="0.2">
      <c r="B550" s="5"/>
      <c r="C550" s="8"/>
      <c r="D550" s="8"/>
      <c r="E550" s="8"/>
      <c r="F550" s="8"/>
      <c r="G550" s="7"/>
      <c r="H550" s="7"/>
      <c r="I550" s="7"/>
      <c r="J550" s="7"/>
      <c r="K550" s="7"/>
      <c r="L550" s="7"/>
      <c r="M550" s="7"/>
      <c r="N550" s="10"/>
      <c r="O550" s="10"/>
      <c r="P550" s="10"/>
      <c r="Q550" s="5"/>
      <c r="R550" s="5"/>
      <c r="S550" s="5"/>
      <c r="T550" s="5"/>
      <c r="U550" s="5"/>
      <c r="V550" s="5"/>
      <c r="W550" s="12"/>
      <c r="X550" s="12"/>
      <c r="Y550" s="12"/>
      <c r="Z550" s="12"/>
      <c r="AA550" s="12"/>
      <c r="AB550" s="12"/>
      <c r="AC550" s="12"/>
      <c r="AD550" s="12"/>
      <c r="AE550" s="12"/>
      <c r="AF550" s="12"/>
      <c r="AG550" s="12"/>
      <c r="AH550" s="12"/>
      <c r="AI550" s="12"/>
      <c r="AJ550" s="12"/>
      <c r="AK550" s="12"/>
      <c r="AL550" s="12"/>
      <c r="AM550" s="6"/>
      <c r="AN550" s="6"/>
      <c r="AO550" s="6"/>
      <c r="AP550" s="6"/>
      <c r="AQ550" s="6"/>
      <c r="AR550" s="6"/>
      <c r="AS550" s="6"/>
      <c r="AT550" s="6"/>
      <c r="AU550" s="6"/>
      <c r="AV550" s="6"/>
      <c r="AW550" s="6"/>
      <c r="AX550" s="6"/>
      <c r="AY550" s="6"/>
      <c r="AZ550" s="6"/>
      <c r="BA550" s="6"/>
      <c r="BB550" s="6"/>
      <c r="BC550" s="6"/>
      <c r="BD550" s="6"/>
      <c r="BE550" s="6"/>
      <c r="BF550" s="6"/>
      <c r="BG550" s="6"/>
      <c r="BH550" s="6"/>
      <c r="BI550" s="6"/>
      <c r="BJ550" s="6"/>
      <c r="BK550" s="6"/>
      <c r="BL550" s="6"/>
      <c r="BM550" s="6"/>
      <c r="BN550" s="6"/>
      <c r="BO550" s="6"/>
      <c r="BP550" s="6"/>
      <c r="BQ550" s="6"/>
    </row>
    <row r="551" spans="1:69" ht="15.75" hidden="1" customHeight="1" x14ac:dyDescent="0.2">
      <c r="B551" s="5"/>
      <c r="C551" s="8"/>
      <c r="D551" s="8"/>
      <c r="E551" s="8"/>
      <c r="F551" s="8"/>
      <c r="G551" s="7"/>
      <c r="H551" s="7"/>
      <c r="I551" s="7"/>
      <c r="J551" s="7"/>
      <c r="K551" s="7"/>
      <c r="L551" s="7"/>
      <c r="M551" s="7"/>
      <c r="N551" s="10"/>
      <c r="O551" s="10"/>
      <c r="P551" s="10"/>
      <c r="Q551" s="5"/>
      <c r="R551" s="5"/>
      <c r="S551" s="5"/>
      <c r="T551" s="5"/>
      <c r="U551" s="5"/>
      <c r="V551" s="5"/>
      <c r="W551" s="12"/>
      <c r="X551" s="12"/>
      <c r="Y551" s="12"/>
      <c r="Z551" s="12"/>
      <c r="AA551" s="12"/>
      <c r="AB551" s="12"/>
      <c r="AC551" s="12"/>
      <c r="AD551" s="12"/>
      <c r="AE551" s="12"/>
      <c r="AF551" s="12"/>
      <c r="AG551" s="12"/>
      <c r="AH551" s="12"/>
      <c r="AI551" s="12"/>
      <c r="AJ551" s="12"/>
      <c r="AK551" s="12"/>
      <c r="AL551" s="12"/>
      <c r="AM551" s="6"/>
      <c r="AN551" s="6"/>
      <c r="AO551" s="6"/>
      <c r="AP551" s="6"/>
      <c r="AQ551" s="6"/>
      <c r="AR551" s="6"/>
      <c r="AS551" s="6"/>
      <c r="AT551" s="6"/>
      <c r="AU551" s="6"/>
      <c r="AV551" s="6"/>
      <c r="AW551" s="6"/>
      <c r="AX551" s="6"/>
      <c r="AY551" s="6"/>
      <c r="AZ551" s="6"/>
      <c r="BA551" s="6"/>
      <c r="BB551" s="6"/>
      <c r="BC551" s="6"/>
      <c r="BD551" s="6"/>
      <c r="BE551" s="6"/>
      <c r="BF551" s="6"/>
      <c r="BG551" s="6"/>
      <c r="BH551" s="6"/>
      <c r="BI551" s="6"/>
      <c r="BJ551" s="6"/>
      <c r="BK551" s="6"/>
      <c r="BL551" s="6"/>
      <c r="BM551" s="6"/>
      <c r="BN551" s="6"/>
      <c r="BO551" s="6"/>
      <c r="BP551" s="6"/>
      <c r="BQ551" s="6"/>
    </row>
    <row r="552" spans="1:69" ht="15.75" hidden="1" customHeight="1" x14ac:dyDescent="0.2">
      <c r="B552" s="5"/>
      <c r="C552" s="8"/>
      <c r="D552" s="8"/>
      <c r="E552" s="8"/>
      <c r="F552" s="8"/>
      <c r="G552" s="7"/>
      <c r="H552" s="7"/>
      <c r="I552" s="7"/>
      <c r="J552" s="7"/>
      <c r="K552" s="7"/>
      <c r="L552" s="7"/>
      <c r="M552" s="7"/>
      <c r="N552" s="10"/>
      <c r="O552" s="10"/>
      <c r="P552" s="10"/>
      <c r="Q552" s="5"/>
      <c r="R552" s="5"/>
      <c r="S552" s="5"/>
      <c r="T552" s="5"/>
      <c r="U552" s="5"/>
      <c r="V552" s="5"/>
      <c r="W552" s="12"/>
      <c r="X552" s="12"/>
      <c r="Y552" s="12"/>
      <c r="Z552" s="12"/>
      <c r="AA552" s="12"/>
      <c r="AB552" s="12"/>
      <c r="AC552" s="12"/>
      <c r="AD552" s="12"/>
      <c r="AE552" s="12"/>
      <c r="AF552" s="12"/>
      <c r="AG552" s="12"/>
      <c r="AH552" s="12"/>
      <c r="AI552" s="12"/>
      <c r="AJ552" s="12"/>
      <c r="AK552" s="12"/>
      <c r="AL552" s="12"/>
      <c r="AM552" s="6"/>
      <c r="AN552" s="6"/>
      <c r="AO552" s="6"/>
      <c r="AP552" s="6"/>
      <c r="AQ552" s="6"/>
      <c r="AR552" s="6"/>
      <c r="AS552" s="6"/>
      <c r="AT552" s="6"/>
      <c r="AU552" s="6"/>
      <c r="AV552" s="6"/>
      <c r="AW552" s="6"/>
      <c r="AX552" s="6"/>
      <c r="AY552" s="6"/>
      <c r="AZ552" s="6"/>
      <c r="BA552" s="6"/>
      <c r="BB552" s="6"/>
      <c r="BC552" s="6"/>
      <c r="BD552" s="6"/>
      <c r="BE552" s="6"/>
      <c r="BF552" s="6"/>
      <c r="BG552" s="6"/>
      <c r="BH552" s="6"/>
      <c r="BI552" s="6"/>
      <c r="BJ552" s="6"/>
      <c r="BK552" s="6"/>
      <c r="BL552" s="6"/>
      <c r="BM552" s="6"/>
      <c r="BN552" s="6"/>
      <c r="BO552" s="6"/>
      <c r="BP552" s="6"/>
      <c r="BQ552" s="6"/>
    </row>
    <row r="553" spans="1:69" ht="15.75" hidden="1" customHeight="1" x14ac:dyDescent="0.2">
      <c r="B553" s="5"/>
      <c r="C553" s="8"/>
      <c r="D553" s="8"/>
      <c r="E553" s="8"/>
      <c r="F553" s="8"/>
      <c r="G553" s="7"/>
      <c r="H553" s="7"/>
      <c r="I553" s="7"/>
      <c r="J553" s="7"/>
      <c r="K553" s="7"/>
      <c r="L553" s="7"/>
      <c r="M553" s="7"/>
      <c r="N553" s="10"/>
      <c r="O553" s="10"/>
      <c r="P553" s="10"/>
      <c r="Q553" s="5"/>
      <c r="R553" s="5"/>
      <c r="S553" s="5"/>
      <c r="T553" s="5"/>
      <c r="U553" s="5"/>
      <c r="V553" s="5"/>
      <c r="W553" s="12"/>
      <c r="X553" s="12"/>
      <c r="Y553" s="12"/>
      <c r="Z553" s="12"/>
      <c r="AA553" s="12"/>
      <c r="AB553" s="12"/>
      <c r="AC553" s="12"/>
      <c r="AD553" s="12"/>
      <c r="AE553" s="12"/>
      <c r="AF553" s="12"/>
      <c r="AG553" s="12"/>
      <c r="AH553" s="12"/>
      <c r="AI553" s="12"/>
      <c r="AJ553" s="12"/>
      <c r="AK553" s="12"/>
      <c r="AL553" s="12"/>
      <c r="AM553" s="6"/>
      <c r="AN553" s="6"/>
      <c r="AO553" s="6"/>
      <c r="AP553" s="6"/>
      <c r="AQ553" s="6"/>
      <c r="AR553" s="6"/>
      <c r="AS553" s="6"/>
      <c r="AT553" s="6"/>
      <c r="AU553" s="6"/>
      <c r="AV553" s="6"/>
      <c r="AW553" s="6"/>
      <c r="AX553" s="6"/>
      <c r="AY553" s="6"/>
      <c r="AZ553" s="6"/>
      <c r="BA553" s="6"/>
      <c r="BB553" s="6"/>
      <c r="BC553" s="6"/>
      <c r="BD553" s="6"/>
      <c r="BE553" s="6"/>
      <c r="BF553" s="6"/>
      <c r="BG553" s="6"/>
      <c r="BH553" s="6"/>
      <c r="BI553" s="6"/>
      <c r="BJ553" s="6"/>
      <c r="BK553" s="6"/>
      <c r="BL553" s="6"/>
      <c r="BM553" s="6"/>
      <c r="BN553" s="6"/>
      <c r="BO553" s="6"/>
      <c r="BP553" s="6"/>
      <c r="BQ553" s="6"/>
    </row>
    <row r="554" spans="1:69" ht="15.75" hidden="1" customHeight="1" x14ac:dyDescent="0.2">
      <c r="B554" s="5"/>
      <c r="C554" s="8"/>
      <c r="D554" s="8"/>
      <c r="E554" s="8"/>
      <c r="F554" s="8"/>
      <c r="G554" s="7"/>
      <c r="H554" s="7"/>
      <c r="I554" s="7"/>
      <c r="J554" s="7"/>
      <c r="K554" s="7"/>
      <c r="L554" s="7"/>
      <c r="M554" s="7"/>
      <c r="N554" s="10"/>
      <c r="O554" s="10"/>
      <c r="P554" s="10"/>
      <c r="Q554" s="5"/>
      <c r="R554" s="5"/>
      <c r="S554" s="5"/>
      <c r="T554" s="5"/>
      <c r="U554" s="5"/>
      <c r="V554" s="5"/>
      <c r="W554" s="12"/>
      <c r="X554" s="12"/>
      <c r="Y554" s="12"/>
      <c r="Z554" s="12"/>
      <c r="AA554" s="12"/>
      <c r="AB554" s="12"/>
      <c r="AC554" s="12"/>
      <c r="AD554" s="12"/>
      <c r="AE554" s="12"/>
      <c r="AF554" s="12"/>
      <c r="AG554" s="12"/>
      <c r="AH554" s="12"/>
      <c r="AI554" s="12"/>
      <c r="AJ554" s="12"/>
      <c r="AK554" s="12"/>
      <c r="AL554" s="12"/>
      <c r="AM554" s="6"/>
      <c r="AN554" s="6"/>
      <c r="AO554" s="6"/>
      <c r="AP554" s="6"/>
      <c r="AQ554" s="6"/>
      <c r="AR554" s="6"/>
      <c r="AS554" s="6"/>
      <c r="AT554" s="6"/>
      <c r="AU554" s="6"/>
      <c r="AV554" s="6"/>
      <c r="AW554" s="6"/>
      <c r="AX554" s="6"/>
      <c r="AY554" s="6"/>
      <c r="AZ554" s="6"/>
      <c r="BA554" s="6"/>
      <c r="BB554" s="6"/>
      <c r="BC554" s="6"/>
      <c r="BD554" s="6"/>
      <c r="BE554" s="6"/>
      <c r="BF554" s="6"/>
      <c r="BG554" s="6"/>
      <c r="BH554" s="6"/>
      <c r="BI554" s="6"/>
      <c r="BJ554" s="6"/>
      <c r="BK554" s="6"/>
      <c r="BL554" s="6"/>
      <c r="BM554" s="6"/>
      <c r="BN554" s="6"/>
      <c r="BO554" s="6"/>
      <c r="BP554" s="6"/>
      <c r="BQ554" s="6"/>
    </row>
    <row r="555" spans="1:69" ht="15.75" hidden="1" customHeight="1" x14ac:dyDescent="0.2">
      <c r="B555" s="5"/>
      <c r="C555" s="8"/>
      <c r="D555" s="8"/>
      <c r="E555" s="8"/>
      <c r="F555" s="8"/>
      <c r="G555" s="7"/>
      <c r="H555" s="7"/>
      <c r="I555" s="7"/>
      <c r="J555" s="7"/>
      <c r="K555" s="7"/>
      <c r="L555" s="7"/>
      <c r="M555" s="7"/>
      <c r="N555" s="10"/>
      <c r="O555" s="10"/>
      <c r="P555" s="10"/>
      <c r="Q555" s="5"/>
      <c r="R555" s="5"/>
      <c r="S555" s="5"/>
      <c r="T555" s="5"/>
      <c r="U555" s="5"/>
      <c r="V555" s="5"/>
      <c r="W555" s="12"/>
      <c r="X555" s="12"/>
      <c r="Y555" s="12"/>
      <c r="Z555" s="12"/>
      <c r="AA555" s="12"/>
      <c r="AB555" s="12"/>
      <c r="AC555" s="12"/>
      <c r="AD555" s="12"/>
      <c r="AE555" s="12"/>
      <c r="AF555" s="12"/>
      <c r="AG555" s="12"/>
      <c r="AH555" s="12"/>
      <c r="AI555" s="12"/>
      <c r="AJ555" s="12"/>
      <c r="AK555" s="12"/>
      <c r="AL555" s="12"/>
      <c r="AM555" s="6"/>
      <c r="AN555" s="6"/>
      <c r="AO555" s="6"/>
      <c r="AP555" s="6"/>
      <c r="AQ555" s="6"/>
      <c r="AR555" s="6"/>
      <c r="AS555" s="6"/>
      <c r="AT555" s="6"/>
      <c r="AU555" s="6"/>
      <c r="AV555" s="6"/>
      <c r="AW555" s="6"/>
      <c r="AX555" s="6"/>
      <c r="AY555" s="6"/>
      <c r="AZ555" s="6"/>
      <c r="BA555" s="6"/>
      <c r="BB555" s="6"/>
      <c r="BC555" s="6"/>
      <c r="BD555" s="6"/>
      <c r="BE555" s="6"/>
      <c r="BF555" s="6"/>
      <c r="BG555" s="6"/>
      <c r="BH555" s="6"/>
      <c r="BI555" s="6"/>
      <c r="BJ555" s="6"/>
      <c r="BK555" s="6"/>
      <c r="BL555" s="6"/>
      <c r="BM555" s="6"/>
      <c r="BN555" s="6"/>
      <c r="BO555" s="6"/>
      <c r="BP555" s="6"/>
      <c r="BQ555" s="6"/>
    </row>
    <row r="556" spans="1:69" ht="15.75" hidden="1" customHeight="1" x14ac:dyDescent="0.2">
      <c r="B556" s="5"/>
      <c r="C556" s="8"/>
      <c r="D556" s="8"/>
      <c r="E556" s="8"/>
      <c r="F556" s="8"/>
      <c r="G556" s="7"/>
      <c r="H556" s="7"/>
      <c r="I556" s="7"/>
      <c r="J556" s="7"/>
      <c r="K556" s="7"/>
      <c r="L556" s="7"/>
      <c r="M556" s="7"/>
      <c r="N556" s="10"/>
      <c r="O556" s="10"/>
      <c r="P556" s="10"/>
      <c r="Q556" s="5"/>
      <c r="R556" s="5"/>
      <c r="S556" s="5"/>
      <c r="T556" s="5"/>
      <c r="U556" s="5"/>
      <c r="V556" s="5"/>
      <c r="W556" s="12"/>
      <c r="X556" s="12"/>
      <c r="Y556" s="12"/>
      <c r="Z556" s="12"/>
      <c r="AA556" s="12"/>
      <c r="AB556" s="12"/>
      <c r="AC556" s="12"/>
      <c r="AD556" s="12"/>
      <c r="AE556" s="12"/>
      <c r="AF556" s="12"/>
      <c r="AG556" s="12"/>
      <c r="AH556" s="12"/>
      <c r="AI556" s="12"/>
      <c r="AJ556" s="12"/>
      <c r="AK556" s="12"/>
      <c r="AL556" s="12"/>
      <c r="AM556" s="6"/>
      <c r="AN556" s="6"/>
      <c r="AO556" s="6"/>
      <c r="AP556" s="6"/>
      <c r="AQ556" s="6"/>
      <c r="AR556" s="6"/>
      <c r="AS556" s="6"/>
      <c r="AT556" s="6"/>
      <c r="AU556" s="6"/>
      <c r="AV556" s="6"/>
      <c r="AW556" s="6"/>
      <c r="AX556" s="6"/>
      <c r="AY556" s="6"/>
      <c r="AZ556" s="6"/>
      <c r="BA556" s="6"/>
      <c r="BB556" s="6"/>
      <c r="BC556" s="6"/>
      <c r="BD556" s="6"/>
      <c r="BE556" s="6"/>
      <c r="BF556" s="6"/>
      <c r="BG556" s="6"/>
      <c r="BH556" s="6"/>
      <c r="BI556" s="6"/>
      <c r="BJ556" s="6"/>
      <c r="BK556" s="6"/>
      <c r="BL556" s="6"/>
      <c r="BM556" s="6"/>
      <c r="BN556" s="6"/>
      <c r="BO556" s="6"/>
      <c r="BP556" s="6"/>
      <c r="BQ556" s="6"/>
    </row>
    <row r="557" spans="1:69" ht="15.75" hidden="1" customHeight="1" x14ac:dyDescent="0.2">
      <c r="B557" s="5"/>
      <c r="C557" s="8"/>
      <c r="D557" s="8"/>
      <c r="E557" s="8"/>
      <c r="F557" s="8"/>
      <c r="G557" s="7"/>
      <c r="H557" s="7"/>
      <c r="I557" s="7"/>
      <c r="J557" s="7"/>
      <c r="K557" s="7"/>
      <c r="L557" s="7"/>
      <c r="M557" s="7"/>
      <c r="N557" s="10"/>
      <c r="O557" s="10"/>
      <c r="P557" s="10"/>
      <c r="Q557" s="5"/>
      <c r="R557" s="5"/>
      <c r="S557" s="5"/>
      <c r="T557" s="5"/>
      <c r="U557" s="5"/>
      <c r="V557" s="5"/>
      <c r="W557" s="12"/>
      <c r="X557" s="12"/>
      <c r="Y557" s="12"/>
      <c r="Z557" s="12"/>
      <c r="AA557" s="12"/>
      <c r="AB557" s="12"/>
      <c r="AC557" s="12"/>
      <c r="AD557" s="12"/>
      <c r="AE557" s="12"/>
      <c r="AF557" s="12"/>
      <c r="AG557" s="12"/>
      <c r="AH557" s="12"/>
      <c r="AI557" s="12"/>
      <c r="AJ557" s="12"/>
      <c r="AK557" s="12"/>
      <c r="AL557" s="12"/>
      <c r="AM557" s="6"/>
      <c r="AN557" s="6"/>
      <c r="AO557" s="6"/>
      <c r="AP557" s="6"/>
      <c r="AQ557" s="6"/>
      <c r="AR557" s="6"/>
      <c r="AS557" s="6"/>
      <c r="AT557" s="6"/>
      <c r="AU557" s="6"/>
      <c r="AV557" s="6"/>
      <c r="AW557" s="6"/>
      <c r="AX557" s="6"/>
      <c r="AY557" s="6"/>
      <c r="AZ557" s="6"/>
      <c r="BA557" s="6"/>
      <c r="BB557" s="6"/>
      <c r="BC557" s="6"/>
      <c r="BD557" s="6"/>
      <c r="BE557" s="6"/>
      <c r="BF557" s="6"/>
      <c r="BG557" s="6"/>
      <c r="BH557" s="6"/>
      <c r="BI557" s="6"/>
      <c r="BJ557" s="6"/>
      <c r="BK557" s="6"/>
      <c r="BL557" s="6"/>
      <c r="BM557" s="6"/>
      <c r="BN557" s="6"/>
      <c r="BO557" s="6"/>
      <c r="BP557" s="6"/>
      <c r="BQ557" s="6"/>
    </row>
    <row r="558" spans="1:69" ht="15.75" hidden="1" customHeight="1" x14ac:dyDescent="0.2">
      <c r="B558" s="5"/>
      <c r="C558" s="8"/>
      <c r="D558" s="8"/>
      <c r="E558" s="8"/>
      <c r="F558" s="8"/>
      <c r="G558" s="7"/>
      <c r="H558" s="7"/>
      <c r="I558" s="7"/>
      <c r="J558" s="7"/>
      <c r="K558" s="7"/>
      <c r="L558" s="7"/>
      <c r="M558" s="7"/>
      <c r="N558" s="10"/>
      <c r="O558" s="10"/>
      <c r="P558" s="10"/>
      <c r="Q558" s="5"/>
      <c r="R558" s="5"/>
      <c r="S558" s="5"/>
      <c r="T558" s="5"/>
      <c r="U558" s="5"/>
      <c r="V558" s="5"/>
      <c r="W558" s="12"/>
      <c r="X558" s="12"/>
      <c r="Y558" s="12"/>
      <c r="Z558" s="12"/>
      <c r="AA558" s="12"/>
      <c r="AB558" s="12"/>
      <c r="AC558" s="12"/>
      <c r="AD558" s="12"/>
      <c r="AE558" s="12"/>
      <c r="AF558" s="12"/>
      <c r="AG558" s="12"/>
      <c r="AH558" s="12"/>
      <c r="AI558" s="12"/>
      <c r="AJ558" s="12"/>
      <c r="AK558" s="12"/>
      <c r="AL558" s="12"/>
      <c r="AM558" s="6"/>
      <c r="AN558" s="6"/>
      <c r="AO558" s="6"/>
      <c r="AP558" s="6"/>
      <c r="AQ558" s="6"/>
      <c r="AR558" s="6"/>
      <c r="AS558" s="6"/>
      <c r="AT558" s="6"/>
      <c r="AU558" s="6"/>
      <c r="AV558" s="6"/>
      <c r="AW558" s="6"/>
      <c r="AX558" s="6"/>
      <c r="AY558" s="6"/>
      <c r="AZ558" s="6"/>
      <c r="BA558" s="6"/>
      <c r="BB558" s="6"/>
      <c r="BC558" s="6"/>
      <c r="BD558" s="6"/>
      <c r="BE558" s="6"/>
      <c r="BF558" s="6"/>
      <c r="BG558" s="6"/>
      <c r="BH558" s="6"/>
      <c r="BI558" s="6"/>
      <c r="BJ558" s="6"/>
      <c r="BK558" s="6"/>
      <c r="BL558" s="6"/>
      <c r="BM558" s="6"/>
      <c r="BN558" s="6"/>
      <c r="BO558" s="6"/>
      <c r="BP558" s="6"/>
      <c r="BQ558" s="6"/>
    </row>
    <row r="559" spans="1:69" ht="15.75" hidden="1" customHeight="1" x14ac:dyDescent="0.2">
      <c r="B559" s="5"/>
      <c r="C559" s="8"/>
      <c r="D559" s="8"/>
      <c r="E559" s="8"/>
      <c r="F559" s="8"/>
      <c r="G559" s="7"/>
      <c r="H559" s="7"/>
      <c r="I559" s="7"/>
      <c r="J559" s="7"/>
      <c r="K559" s="7"/>
      <c r="L559" s="7"/>
      <c r="M559" s="7"/>
      <c r="N559" s="10"/>
      <c r="O559" s="10"/>
      <c r="P559" s="10"/>
      <c r="Q559" s="5"/>
      <c r="R559" s="5"/>
      <c r="S559" s="5"/>
      <c r="T559" s="5"/>
      <c r="U559" s="5"/>
      <c r="V559" s="5"/>
      <c r="W559" s="12"/>
      <c r="X559" s="12"/>
      <c r="Y559" s="12"/>
      <c r="Z559" s="12"/>
      <c r="AA559" s="12"/>
      <c r="AB559" s="12"/>
      <c r="AC559" s="12"/>
      <c r="AD559" s="12"/>
      <c r="AE559" s="12"/>
      <c r="AF559" s="12"/>
      <c r="AG559" s="12"/>
      <c r="AH559" s="12"/>
      <c r="AI559" s="12"/>
      <c r="AJ559" s="12"/>
      <c r="AK559" s="12"/>
      <c r="AL559" s="12"/>
      <c r="AM559" s="6"/>
      <c r="AN559" s="6"/>
      <c r="AO559" s="6"/>
      <c r="AP559" s="6"/>
      <c r="AQ559" s="6"/>
      <c r="AR559" s="6"/>
      <c r="AS559" s="6"/>
      <c r="AT559" s="6"/>
      <c r="AU559" s="6"/>
      <c r="AV559" s="6"/>
      <c r="AW559" s="6"/>
      <c r="AX559" s="6"/>
      <c r="AY559" s="6"/>
      <c r="AZ559" s="6"/>
      <c r="BA559" s="6"/>
      <c r="BB559" s="6"/>
      <c r="BC559" s="6"/>
      <c r="BD559" s="6"/>
      <c r="BE559" s="6"/>
      <c r="BF559" s="6"/>
      <c r="BG559" s="6"/>
      <c r="BH559" s="6"/>
      <c r="BI559" s="6"/>
      <c r="BJ559" s="6"/>
      <c r="BK559" s="6"/>
      <c r="BL559" s="6"/>
      <c r="BM559" s="6"/>
      <c r="BN559" s="6"/>
      <c r="BO559" s="6"/>
      <c r="BP559" s="6"/>
      <c r="BQ559" s="6"/>
    </row>
    <row r="560" spans="1:69" ht="15.75" hidden="1" customHeight="1" x14ac:dyDescent="0.2">
      <c r="B560" s="5"/>
      <c r="C560" s="8"/>
      <c r="D560" s="8"/>
      <c r="E560" s="8"/>
      <c r="F560" s="8"/>
      <c r="G560" s="7"/>
      <c r="H560" s="7"/>
      <c r="I560" s="7"/>
      <c r="J560" s="7"/>
      <c r="K560" s="7"/>
      <c r="L560" s="7"/>
      <c r="M560" s="7"/>
      <c r="N560" s="10"/>
      <c r="O560" s="10"/>
      <c r="P560" s="10"/>
      <c r="Q560" s="5"/>
      <c r="R560" s="5"/>
      <c r="S560" s="5"/>
      <c r="T560" s="5"/>
      <c r="U560" s="5"/>
      <c r="V560" s="5"/>
      <c r="W560" s="12"/>
      <c r="X560" s="12"/>
      <c r="Y560" s="12"/>
      <c r="Z560" s="12"/>
      <c r="AA560" s="12"/>
      <c r="AB560" s="12"/>
      <c r="AC560" s="12"/>
      <c r="AD560" s="12"/>
      <c r="AE560" s="12"/>
      <c r="AF560" s="12"/>
      <c r="AG560" s="12"/>
      <c r="AH560" s="12"/>
      <c r="AI560" s="12"/>
      <c r="AJ560" s="12"/>
      <c r="AK560" s="12"/>
      <c r="AL560" s="12"/>
      <c r="AM560" s="6"/>
      <c r="AN560" s="6"/>
      <c r="AO560" s="6"/>
      <c r="AP560" s="6"/>
      <c r="AQ560" s="6"/>
      <c r="AR560" s="6"/>
      <c r="AS560" s="6"/>
      <c r="AT560" s="6"/>
      <c r="AU560" s="6"/>
      <c r="AV560" s="6"/>
      <c r="AW560" s="6"/>
      <c r="AX560" s="6"/>
      <c r="AY560" s="6"/>
      <c r="AZ560" s="6"/>
      <c r="BA560" s="6"/>
      <c r="BB560" s="6"/>
      <c r="BC560" s="6"/>
      <c r="BD560" s="6"/>
      <c r="BE560" s="6"/>
      <c r="BF560" s="6"/>
      <c r="BG560" s="6"/>
      <c r="BH560" s="6"/>
      <c r="BI560" s="6"/>
      <c r="BJ560" s="6"/>
      <c r="BK560" s="6"/>
      <c r="BL560" s="6"/>
      <c r="BM560" s="6"/>
      <c r="BN560" s="6"/>
      <c r="BO560" s="6"/>
      <c r="BP560" s="6"/>
      <c r="BQ560" s="6"/>
    </row>
    <row r="561" spans="2:69" ht="15.75" hidden="1" customHeight="1" x14ac:dyDescent="0.2">
      <c r="B561" s="5"/>
      <c r="C561" s="8"/>
      <c r="D561" s="8"/>
      <c r="E561" s="8"/>
      <c r="F561" s="8"/>
      <c r="G561" s="7"/>
      <c r="H561" s="7"/>
      <c r="I561" s="7"/>
      <c r="J561" s="7"/>
      <c r="K561" s="7"/>
      <c r="L561" s="7"/>
      <c r="M561" s="7"/>
      <c r="N561" s="10"/>
      <c r="O561" s="10"/>
      <c r="P561" s="10"/>
      <c r="Q561" s="5"/>
      <c r="R561" s="5"/>
      <c r="S561" s="5"/>
      <c r="T561" s="5"/>
      <c r="U561" s="5"/>
      <c r="V561" s="5"/>
      <c r="W561" s="12"/>
      <c r="X561" s="12"/>
      <c r="Y561" s="12"/>
      <c r="Z561" s="12"/>
      <c r="AA561" s="12"/>
      <c r="AB561" s="12"/>
      <c r="AC561" s="12"/>
      <c r="AD561" s="12"/>
      <c r="AE561" s="12"/>
      <c r="AF561" s="12"/>
      <c r="AG561" s="12"/>
      <c r="AH561" s="12"/>
      <c r="AI561" s="12"/>
      <c r="AJ561" s="12"/>
      <c r="AK561" s="12"/>
      <c r="AL561" s="12"/>
      <c r="AM561" s="6"/>
      <c r="AN561" s="6"/>
      <c r="AO561" s="6"/>
      <c r="AP561" s="6"/>
      <c r="AQ561" s="6"/>
      <c r="AR561" s="6"/>
      <c r="AS561" s="6"/>
      <c r="AT561" s="6"/>
      <c r="AU561" s="6"/>
      <c r="AV561" s="6"/>
      <c r="AW561" s="6"/>
      <c r="AX561" s="6"/>
      <c r="AY561" s="6"/>
      <c r="AZ561" s="6"/>
      <c r="BA561" s="6"/>
      <c r="BB561" s="6"/>
      <c r="BC561" s="6"/>
      <c r="BD561" s="6"/>
      <c r="BE561" s="6"/>
      <c r="BF561" s="6"/>
      <c r="BG561" s="6"/>
      <c r="BH561" s="6"/>
      <c r="BI561" s="6"/>
      <c r="BJ561" s="6"/>
      <c r="BK561" s="6"/>
      <c r="BL561" s="6"/>
      <c r="BM561" s="6"/>
      <c r="BN561" s="6"/>
      <c r="BO561" s="6"/>
      <c r="BP561" s="6"/>
      <c r="BQ561" s="6"/>
    </row>
    <row r="562" spans="2:69" ht="15.75" hidden="1" customHeight="1" x14ac:dyDescent="0.2">
      <c r="B562" s="5"/>
      <c r="C562" s="8"/>
      <c r="D562" s="8"/>
      <c r="E562" s="8"/>
      <c r="F562" s="8"/>
      <c r="G562" s="7"/>
      <c r="H562" s="7"/>
      <c r="I562" s="7"/>
      <c r="J562" s="7"/>
      <c r="K562" s="7"/>
      <c r="L562" s="7"/>
      <c r="M562" s="7"/>
      <c r="N562" s="10"/>
      <c r="O562" s="10"/>
      <c r="P562" s="10"/>
      <c r="Q562" s="5"/>
      <c r="R562" s="5"/>
      <c r="S562" s="5"/>
      <c r="T562" s="5"/>
      <c r="U562" s="5"/>
      <c r="V562" s="5"/>
      <c r="W562" s="12"/>
      <c r="X562" s="12"/>
      <c r="Y562" s="12"/>
      <c r="Z562" s="12"/>
      <c r="AA562" s="12"/>
      <c r="AB562" s="12"/>
      <c r="AC562" s="12"/>
      <c r="AD562" s="12"/>
      <c r="AE562" s="12"/>
      <c r="AF562" s="12"/>
      <c r="AG562" s="12"/>
      <c r="AH562" s="12"/>
      <c r="AI562" s="12"/>
      <c r="AJ562" s="12"/>
      <c r="AK562" s="12"/>
      <c r="AL562" s="12"/>
      <c r="AM562" s="6"/>
      <c r="AN562" s="6"/>
      <c r="AO562" s="6"/>
      <c r="AP562" s="6"/>
      <c r="AQ562" s="6"/>
      <c r="AR562" s="6"/>
      <c r="AS562" s="6"/>
      <c r="AT562" s="6"/>
      <c r="AU562" s="6"/>
      <c r="AV562" s="6"/>
      <c r="AW562" s="6"/>
      <c r="AX562" s="6"/>
      <c r="AY562" s="6"/>
      <c r="AZ562" s="6"/>
      <c r="BA562" s="6"/>
      <c r="BB562" s="6"/>
      <c r="BC562" s="6"/>
      <c r="BD562" s="6"/>
      <c r="BE562" s="6"/>
      <c r="BF562" s="6"/>
      <c r="BG562" s="6"/>
      <c r="BH562" s="6"/>
      <c r="BI562" s="6"/>
      <c r="BJ562" s="6"/>
      <c r="BK562" s="6"/>
      <c r="BL562" s="6"/>
      <c r="BM562" s="6"/>
      <c r="BN562" s="6"/>
      <c r="BO562" s="6"/>
      <c r="BP562" s="6"/>
      <c r="BQ562" s="6"/>
    </row>
    <row r="563" spans="2:69" ht="15.75" hidden="1" customHeight="1" x14ac:dyDescent="0.2">
      <c r="B563" s="5"/>
      <c r="C563" s="8"/>
      <c r="D563" s="8"/>
      <c r="E563" s="8"/>
      <c r="F563" s="8"/>
      <c r="G563" s="7"/>
      <c r="H563" s="7"/>
      <c r="I563" s="7"/>
      <c r="J563" s="7"/>
      <c r="K563" s="7"/>
      <c r="L563" s="7"/>
      <c r="M563" s="7"/>
      <c r="N563" s="10"/>
      <c r="O563" s="10"/>
      <c r="P563" s="10"/>
      <c r="Q563" s="5"/>
      <c r="R563" s="5"/>
      <c r="S563" s="5"/>
      <c r="T563" s="5"/>
      <c r="U563" s="5"/>
      <c r="V563" s="5"/>
      <c r="W563" s="12"/>
      <c r="X563" s="12"/>
      <c r="Y563" s="12"/>
      <c r="Z563" s="12"/>
      <c r="AA563" s="12"/>
      <c r="AB563" s="12"/>
      <c r="AC563" s="12"/>
      <c r="AD563" s="12"/>
      <c r="AE563" s="12"/>
      <c r="AF563" s="12"/>
      <c r="AG563" s="12"/>
      <c r="AH563" s="12"/>
      <c r="AI563" s="12"/>
      <c r="AJ563" s="12"/>
      <c r="AK563" s="12"/>
      <c r="AL563" s="12"/>
      <c r="AM563" s="6"/>
      <c r="AN563" s="6"/>
      <c r="AO563" s="6"/>
      <c r="AP563" s="6"/>
      <c r="AQ563" s="6"/>
      <c r="AR563" s="6"/>
      <c r="AS563" s="6"/>
      <c r="AT563" s="6"/>
      <c r="AU563" s="6"/>
      <c r="AV563" s="6"/>
      <c r="AW563" s="6"/>
      <c r="AX563" s="6"/>
      <c r="AY563" s="6"/>
      <c r="AZ563" s="6"/>
      <c r="BA563" s="6"/>
      <c r="BB563" s="6"/>
      <c r="BC563" s="6"/>
      <c r="BD563" s="6"/>
      <c r="BE563" s="6"/>
      <c r="BF563" s="6"/>
      <c r="BG563" s="6"/>
      <c r="BH563" s="6"/>
      <c r="BI563" s="6"/>
      <c r="BJ563" s="6"/>
      <c r="BK563" s="6"/>
      <c r="BL563" s="6"/>
      <c r="BM563" s="6"/>
      <c r="BN563" s="6"/>
      <c r="BO563" s="6"/>
      <c r="BP563" s="6"/>
      <c r="BQ563" s="6"/>
    </row>
    <row r="564" spans="2:69" ht="15.75" hidden="1" customHeight="1" x14ac:dyDescent="0.2">
      <c r="B564" s="5"/>
      <c r="C564" s="8"/>
      <c r="D564" s="8"/>
      <c r="E564" s="8"/>
      <c r="F564" s="8"/>
      <c r="G564" s="7"/>
      <c r="H564" s="7"/>
      <c r="I564" s="7"/>
      <c r="J564" s="7"/>
      <c r="K564" s="7"/>
      <c r="L564" s="7"/>
      <c r="M564" s="7"/>
      <c r="N564" s="10"/>
      <c r="O564" s="10"/>
      <c r="P564" s="10"/>
      <c r="Q564" s="5"/>
      <c r="R564" s="5"/>
      <c r="S564" s="5"/>
      <c r="T564" s="5"/>
      <c r="U564" s="5"/>
      <c r="V564" s="5"/>
      <c r="W564" s="12"/>
      <c r="X564" s="12"/>
      <c r="Y564" s="12"/>
      <c r="Z564" s="12"/>
      <c r="AA564" s="12"/>
      <c r="AB564" s="12"/>
      <c r="AC564" s="12"/>
      <c r="AD564" s="12"/>
      <c r="AE564" s="12"/>
      <c r="AF564" s="12"/>
      <c r="AG564" s="12"/>
      <c r="AH564" s="12"/>
      <c r="AI564" s="12"/>
      <c r="AJ564" s="12"/>
      <c r="AK564" s="12"/>
      <c r="AL564" s="12"/>
      <c r="AM564" s="6"/>
      <c r="AN564" s="6"/>
      <c r="AO564" s="6"/>
      <c r="AP564" s="6"/>
      <c r="AQ564" s="6"/>
      <c r="AR564" s="6"/>
      <c r="AS564" s="6"/>
      <c r="AT564" s="6"/>
      <c r="AU564" s="6"/>
      <c r="AV564" s="6"/>
      <c r="AW564" s="6"/>
      <c r="AX564" s="6"/>
      <c r="AY564" s="6"/>
      <c r="AZ564" s="6"/>
      <c r="BA564" s="6"/>
      <c r="BB564" s="6"/>
      <c r="BC564" s="6"/>
      <c r="BD564" s="6"/>
      <c r="BE564" s="6"/>
      <c r="BF564" s="6"/>
      <c r="BG564" s="6"/>
      <c r="BH564" s="6"/>
      <c r="BI564" s="6"/>
      <c r="BJ564" s="6"/>
      <c r="BK564" s="6"/>
      <c r="BL564" s="6"/>
      <c r="BM564" s="6"/>
      <c r="BN564" s="6"/>
      <c r="BO564" s="6"/>
      <c r="BP564" s="6"/>
      <c r="BQ564" s="6"/>
    </row>
    <row r="565" spans="2:69" ht="15.75" hidden="1" customHeight="1" x14ac:dyDescent="0.2">
      <c r="B565" s="5"/>
      <c r="C565" s="8"/>
      <c r="D565" s="8"/>
      <c r="E565" s="8"/>
      <c r="F565" s="8"/>
      <c r="G565" s="7"/>
      <c r="H565" s="7"/>
      <c r="I565" s="7"/>
      <c r="J565" s="7"/>
      <c r="K565" s="7"/>
      <c r="L565" s="7"/>
      <c r="M565" s="7"/>
      <c r="N565" s="10"/>
      <c r="O565" s="10"/>
      <c r="P565" s="10"/>
      <c r="Q565" s="5"/>
      <c r="R565" s="5"/>
      <c r="S565" s="5"/>
      <c r="T565" s="5"/>
      <c r="U565" s="5"/>
      <c r="V565" s="5"/>
      <c r="W565" s="12"/>
      <c r="X565" s="12"/>
      <c r="Y565" s="12"/>
      <c r="Z565" s="12"/>
      <c r="AA565" s="12"/>
      <c r="AB565" s="12"/>
      <c r="AC565" s="12"/>
      <c r="AD565" s="12"/>
      <c r="AE565" s="12"/>
      <c r="AF565" s="12"/>
      <c r="AG565" s="12"/>
      <c r="AH565" s="12"/>
      <c r="AI565" s="12"/>
      <c r="AJ565" s="12"/>
      <c r="AK565" s="12"/>
      <c r="AL565" s="12"/>
      <c r="AM565" s="6"/>
      <c r="AN565" s="6"/>
      <c r="AO565" s="6"/>
      <c r="AP565" s="6"/>
      <c r="AQ565" s="6"/>
      <c r="AR565" s="6"/>
      <c r="AS565" s="6"/>
      <c r="AT565" s="6"/>
      <c r="AU565" s="6"/>
      <c r="AV565" s="6"/>
      <c r="AW565" s="6"/>
      <c r="AX565" s="6"/>
      <c r="AY565" s="6"/>
      <c r="AZ565" s="6"/>
      <c r="BA565" s="6"/>
      <c r="BB565" s="6"/>
      <c r="BC565" s="6"/>
      <c r="BD565" s="6"/>
      <c r="BE565" s="6"/>
      <c r="BF565" s="6"/>
      <c r="BG565" s="6"/>
      <c r="BH565" s="6"/>
      <c r="BI565" s="6"/>
      <c r="BJ565" s="6"/>
      <c r="BK565" s="6"/>
      <c r="BL565" s="6"/>
      <c r="BM565" s="6"/>
      <c r="BN565" s="6"/>
      <c r="BO565" s="6"/>
      <c r="BP565" s="6"/>
      <c r="BQ565" s="6"/>
    </row>
    <row r="566" spans="2:69" ht="15.75" hidden="1" customHeight="1" x14ac:dyDescent="0.2">
      <c r="B566" s="5"/>
      <c r="C566" s="8"/>
      <c r="D566" s="8"/>
      <c r="E566" s="8"/>
      <c r="F566" s="8"/>
      <c r="G566" s="7"/>
      <c r="H566" s="7"/>
      <c r="I566" s="7"/>
      <c r="J566" s="7"/>
      <c r="K566" s="7"/>
      <c r="L566" s="7"/>
      <c r="M566" s="7"/>
      <c r="N566" s="10"/>
      <c r="O566" s="10"/>
      <c r="P566" s="10"/>
      <c r="Q566" s="5"/>
      <c r="R566" s="5"/>
      <c r="S566" s="5"/>
      <c r="T566" s="5"/>
      <c r="U566" s="5"/>
      <c r="V566" s="5"/>
      <c r="W566" s="12"/>
      <c r="X566" s="12"/>
      <c r="Y566" s="12"/>
      <c r="Z566" s="12"/>
      <c r="AA566" s="12"/>
      <c r="AB566" s="12"/>
      <c r="AC566" s="12"/>
      <c r="AD566" s="12"/>
      <c r="AE566" s="12"/>
      <c r="AF566" s="12"/>
      <c r="AG566" s="12"/>
      <c r="AH566" s="12"/>
      <c r="AI566" s="12"/>
      <c r="AJ566" s="12"/>
      <c r="AK566" s="12"/>
      <c r="AL566" s="12"/>
      <c r="AM566" s="6"/>
      <c r="AN566" s="6"/>
      <c r="AO566" s="6"/>
      <c r="AP566" s="6"/>
      <c r="AQ566" s="6"/>
      <c r="AR566" s="6"/>
      <c r="AS566" s="6"/>
      <c r="AT566" s="6"/>
      <c r="AU566" s="6"/>
      <c r="AV566" s="6"/>
      <c r="AW566" s="6"/>
      <c r="AX566" s="6"/>
      <c r="AY566" s="6"/>
      <c r="AZ566" s="6"/>
      <c r="BA566" s="6"/>
      <c r="BB566" s="6"/>
      <c r="BC566" s="6"/>
      <c r="BD566" s="6"/>
      <c r="BE566" s="6"/>
      <c r="BF566" s="6"/>
      <c r="BG566" s="6"/>
      <c r="BH566" s="6"/>
      <c r="BI566" s="6"/>
      <c r="BJ566" s="6"/>
      <c r="BK566" s="6"/>
      <c r="BL566" s="6"/>
      <c r="BM566" s="6"/>
      <c r="BN566" s="6"/>
      <c r="BO566" s="6"/>
      <c r="BP566" s="6"/>
      <c r="BQ566" s="6"/>
    </row>
    <row r="567" spans="2:69" ht="15.75" hidden="1" customHeight="1" x14ac:dyDescent="0.2">
      <c r="B567" s="5"/>
      <c r="C567" s="8"/>
      <c r="D567" s="8"/>
      <c r="E567" s="8"/>
      <c r="F567" s="8"/>
      <c r="G567" s="7"/>
      <c r="H567" s="7"/>
      <c r="I567" s="7"/>
      <c r="J567" s="7"/>
      <c r="K567" s="7"/>
      <c r="L567" s="7"/>
      <c r="M567" s="7"/>
      <c r="N567" s="10"/>
      <c r="O567" s="10"/>
      <c r="P567" s="10"/>
      <c r="Q567" s="5"/>
      <c r="R567" s="5"/>
      <c r="S567" s="5"/>
      <c r="T567" s="5"/>
      <c r="U567" s="5"/>
      <c r="V567" s="5"/>
      <c r="W567" s="12"/>
      <c r="X567" s="12"/>
      <c r="Y567" s="12"/>
      <c r="Z567" s="12"/>
      <c r="AA567" s="12"/>
      <c r="AB567" s="12"/>
      <c r="AC567" s="12"/>
      <c r="AD567" s="12"/>
      <c r="AE567" s="12"/>
      <c r="AF567" s="12"/>
      <c r="AG567" s="12"/>
      <c r="AH567" s="12"/>
      <c r="AI567" s="12"/>
      <c r="AJ567" s="12"/>
      <c r="AK567" s="12"/>
      <c r="AL567" s="12"/>
      <c r="AM567" s="6"/>
      <c r="AN567" s="6"/>
      <c r="AO567" s="6"/>
      <c r="AP567" s="6"/>
      <c r="AQ567" s="6"/>
      <c r="AR567" s="6"/>
      <c r="AS567" s="6"/>
      <c r="AT567" s="6"/>
      <c r="AU567" s="6"/>
      <c r="AV567" s="6"/>
      <c r="AW567" s="6"/>
      <c r="AX567" s="6"/>
      <c r="AY567" s="6"/>
      <c r="AZ567" s="6"/>
      <c r="BA567" s="6"/>
      <c r="BB567" s="6"/>
      <c r="BC567" s="6"/>
      <c r="BD567" s="6"/>
      <c r="BE567" s="6"/>
      <c r="BF567" s="6"/>
      <c r="BG567" s="6"/>
      <c r="BH567" s="6"/>
      <c r="BI567" s="6"/>
      <c r="BJ567" s="6"/>
      <c r="BK567" s="6"/>
      <c r="BL567" s="6"/>
      <c r="BM567" s="6"/>
      <c r="BN567" s="6"/>
      <c r="BO567" s="6"/>
      <c r="BP567" s="6"/>
      <c r="BQ567" s="6"/>
    </row>
    <row r="568" spans="2:69" ht="15.75" hidden="1" customHeight="1" x14ac:dyDescent="0.2">
      <c r="B568" s="5"/>
      <c r="C568" s="8"/>
      <c r="D568" s="8"/>
      <c r="E568" s="8"/>
      <c r="F568" s="8"/>
      <c r="G568" s="7"/>
      <c r="H568" s="7"/>
      <c r="I568" s="7"/>
      <c r="J568" s="7"/>
      <c r="K568" s="7"/>
      <c r="L568" s="7"/>
      <c r="M568" s="7"/>
      <c r="N568" s="10"/>
      <c r="O568" s="10"/>
      <c r="P568" s="10"/>
      <c r="Q568" s="5"/>
      <c r="R568" s="5"/>
      <c r="S568" s="5"/>
      <c r="T568" s="5"/>
      <c r="U568" s="5"/>
      <c r="V568" s="5"/>
      <c r="W568" s="12"/>
      <c r="X568" s="12"/>
      <c r="Y568" s="12"/>
      <c r="Z568" s="12"/>
      <c r="AA568" s="12"/>
      <c r="AB568" s="12"/>
      <c r="AC568" s="12"/>
      <c r="AD568" s="12"/>
      <c r="AE568" s="12"/>
      <c r="AF568" s="12"/>
      <c r="AG568" s="12"/>
      <c r="AH568" s="12"/>
      <c r="AI568" s="12"/>
      <c r="AJ568" s="12"/>
      <c r="AK568" s="12"/>
      <c r="AL568" s="12"/>
      <c r="AM568" s="6"/>
      <c r="AN568" s="6"/>
      <c r="AO568" s="6"/>
      <c r="AP568" s="6"/>
      <c r="AQ568" s="6"/>
      <c r="AR568" s="6"/>
      <c r="AS568" s="6"/>
      <c r="AT568" s="6"/>
      <c r="AU568" s="6"/>
      <c r="AV568" s="6"/>
      <c r="AW568" s="6"/>
      <c r="AX568" s="6"/>
      <c r="AY568" s="6"/>
      <c r="AZ568" s="6"/>
      <c r="BA568" s="6"/>
      <c r="BB568" s="6"/>
      <c r="BC568" s="6"/>
      <c r="BD568" s="6"/>
      <c r="BE568" s="6"/>
      <c r="BF568" s="6"/>
      <c r="BG568" s="6"/>
      <c r="BH568" s="6"/>
      <c r="BI568" s="6"/>
      <c r="BJ568" s="6"/>
      <c r="BK568" s="6"/>
      <c r="BL568" s="6"/>
      <c r="BM568" s="6"/>
      <c r="BN568" s="6"/>
      <c r="BO568" s="6"/>
      <c r="BP568" s="6"/>
      <c r="BQ568" s="6"/>
    </row>
    <row r="569" spans="2:69" ht="15.75" hidden="1" customHeight="1" x14ac:dyDescent="0.2">
      <c r="B569" s="5"/>
      <c r="C569" s="8"/>
      <c r="D569" s="8"/>
      <c r="E569" s="8"/>
      <c r="F569" s="8"/>
      <c r="G569" s="7"/>
      <c r="H569" s="7"/>
      <c r="I569" s="7"/>
      <c r="J569" s="7"/>
      <c r="K569" s="7"/>
      <c r="L569" s="7"/>
      <c r="M569" s="7"/>
      <c r="N569" s="10"/>
      <c r="O569" s="10"/>
      <c r="P569" s="10"/>
      <c r="Q569" s="5"/>
      <c r="R569" s="5"/>
      <c r="S569" s="5"/>
      <c r="T569" s="5"/>
      <c r="U569" s="5"/>
      <c r="V569" s="5"/>
      <c r="W569" s="12"/>
      <c r="X569" s="12"/>
      <c r="Y569" s="12"/>
      <c r="Z569" s="12"/>
      <c r="AA569" s="12"/>
      <c r="AB569" s="12"/>
      <c r="AC569" s="12"/>
      <c r="AD569" s="12"/>
      <c r="AE569" s="12"/>
      <c r="AF569" s="12"/>
      <c r="AG569" s="12"/>
      <c r="AH569" s="12"/>
      <c r="AI569" s="12"/>
      <c r="AJ569" s="12"/>
      <c r="AK569" s="12"/>
      <c r="AL569" s="12"/>
      <c r="AM569" s="6"/>
      <c r="AN569" s="6"/>
      <c r="AO569" s="6"/>
      <c r="AP569" s="6"/>
      <c r="AQ569" s="6"/>
      <c r="AR569" s="6"/>
      <c r="AS569" s="6"/>
      <c r="AT569" s="6"/>
      <c r="AU569" s="6"/>
      <c r="AV569" s="6"/>
      <c r="AW569" s="6"/>
      <c r="AX569" s="6"/>
      <c r="AY569" s="6"/>
      <c r="AZ569" s="6"/>
      <c r="BA569" s="6"/>
      <c r="BB569" s="6"/>
      <c r="BC569" s="6"/>
      <c r="BD569" s="6"/>
      <c r="BE569" s="6"/>
      <c r="BF569" s="6"/>
      <c r="BG569" s="6"/>
      <c r="BH569" s="6"/>
      <c r="BI569" s="6"/>
      <c r="BJ569" s="6"/>
      <c r="BK569" s="6"/>
      <c r="BL569" s="6"/>
      <c r="BM569" s="6"/>
      <c r="BN569" s="6"/>
      <c r="BO569" s="6"/>
      <c r="BP569" s="6"/>
      <c r="BQ569" s="6"/>
    </row>
    <row r="570" spans="2:69" ht="15.75" hidden="1" customHeight="1" x14ac:dyDescent="0.2">
      <c r="B570" s="5"/>
      <c r="C570" s="8"/>
      <c r="D570" s="8"/>
      <c r="E570" s="8"/>
      <c r="F570" s="8"/>
      <c r="G570" s="7"/>
      <c r="H570" s="7"/>
      <c r="I570" s="7"/>
      <c r="J570" s="7"/>
      <c r="K570" s="7"/>
      <c r="L570" s="7"/>
      <c r="M570" s="7"/>
      <c r="N570" s="10"/>
      <c r="O570" s="10"/>
      <c r="P570" s="10"/>
      <c r="Q570" s="5"/>
      <c r="R570" s="5"/>
      <c r="S570" s="5"/>
      <c r="T570" s="5"/>
      <c r="U570" s="5"/>
      <c r="V570" s="5"/>
      <c r="W570" s="12"/>
      <c r="X570" s="12"/>
      <c r="Y570" s="12"/>
      <c r="Z570" s="12"/>
      <c r="AA570" s="12"/>
      <c r="AB570" s="12"/>
      <c r="AC570" s="12"/>
      <c r="AD570" s="12"/>
      <c r="AE570" s="12"/>
      <c r="AF570" s="12"/>
      <c r="AG570" s="12"/>
      <c r="AH570" s="12"/>
      <c r="AI570" s="12"/>
      <c r="AJ570" s="12"/>
      <c r="AK570" s="12"/>
      <c r="AL570" s="12"/>
      <c r="AM570" s="6"/>
      <c r="AN570" s="6"/>
      <c r="AO570" s="6"/>
      <c r="AP570" s="6"/>
      <c r="AQ570" s="6"/>
      <c r="AR570" s="6"/>
      <c r="AS570" s="6"/>
      <c r="AT570" s="6"/>
      <c r="AU570" s="6"/>
      <c r="AV570" s="6"/>
      <c r="AW570" s="6"/>
      <c r="AX570" s="6"/>
      <c r="AY570" s="6"/>
      <c r="AZ570" s="6"/>
      <c r="BA570" s="6"/>
      <c r="BB570" s="6"/>
      <c r="BC570" s="6"/>
      <c r="BD570" s="6"/>
      <c r="BE570" s="6"/>
      <c r="BF570" s="6"/>
      <c r="BG570" s="6"/>
      <c r="BH570" s="6"/>
      <c r="BI570" s="6"/>
      <c r="BJ570" s="6"/>
      <c r="BK570" s="6"/>
      <c r="BL570" s="6"/>
      <c r="BM570" s="6"/>
      <c r="BN570" s="6"/>
      <c r="BO570" s="6"/>
      <c r="BP570" s="6"/>
      <c r="BQ570" s="6"/>
    </row>
    <row r="571" spans="2:69" ht="15.75" hidden="1" customHeight="1" x14ac:dyDescent="0.2">
      <c r="B571" s="5"/>
      <c r="C571" s="8"/>
      <c r="D571" s="8"/>
      <c r="E571" s="8"/>
      <c r="F571" s="8"/>
      <c r="G571" s="7"/>
      <c r="H571" s="7"/>
      <c r="I571" s="7"/>
      <c r="J571" s="7"/>
      <c r="K571" s="7"/>
      <c r="L571" s="7"/>
      <c r="M571" s="7"/>
      <c r="N571" s="10"/>
      <c r="O571" s="10"/>
      <c r="P571" s="10"/>
      <c r="Q571" s="5"/>
      <c r="R571" s="5"/>
      <c r="S571" s="5"/>
      <c r="T571" s="5"/>
      <c r="U571" s="5"/>
      <c r="V571" s="5"/>
      <c r="W571" s="12"/>
      <c r="X571" s="12"/>
      <c r="Y571" s="12"/>
      <c r="Z571" s="12"/>
      <c r="AA571" s="12"/>
      <c r="AB571" s="12"/>
      <c r="AC571" s="12"/>
      <c r="AD571" s="12"/>
      <c r="AE571" s="12"/>
      <c r="AF571" s="12"/>
      <c r="AG571" s="12"/>
      <c r="AH571" s="12"/>
      <c r="AI571" s="12"/>
      <c r="AJ571" s="12"/>
      <c r="AK571" s="12"/>
      <c r="AL571" s="12"/>
      <c r="AM571" s="6"/>
      <c r="AN571" s="6"/>
      <c r="AO571" s="6"/>
      <c r="AP571" s="6"/>
      <c r="AQ571" s="6"/>
      <c r="AR571" s="6"/>
      <c r="AS571" s="6"/>
      <c r="AT571" s="6"/>
      <c r="AU571" s="6"/>
      <c r="AV571" s="6"/>
      <c r="AW571" s="6"/>
      <c r="AX571" s="6"/>
      <c r="AY571" s="6"/>
      <c r="AZ571" s="6"/>
      <c r="BA571" s="6"/>
      <c r="BB571" s="6"/>
      <c r="BC571" s="6"/>
      <c r="BD571" s="6"/>
      <c r="BE571" s="6"/>
      <c r="BF571" s="6"/>
      <c r="BG571" s="6"/>
      <c r="BH571" s="6"/>
      <c r="BI571" s="6"/>
      <c r="BJ571" s="6"/>
      <c r="BK571" s="6"/>
      <c r="BL571" s="6"/>
      <c r="BM571" s="6"/>
      <c r="BN571" s="6"/>
      <c r="BO571" s="6"/>
      <c r="BP571" s="6"/>
      <c r="BQ571" s="6"/>
    </row>
    <row r="572" spans="2:69" ht="15.75" hidden="1" customHeight="1" x14ac:dyDescent="0.2">
      <c r="B572" s="5"/>
      <c r="C572" s="8"/>
      <c r="D572" s="8"/>
      <c r="E572" s="8"/>
      <c r="F572" s="8"/>
      <c r="G572" s="7"/>
      <c r="H572" s="7"/>
      <c r="I572" s="7"/>
      <c r="J572" s="7"/>
      <c r="K572" s="7"/>
      <c r="L572" s="7"/>
      <c r="M572" s="7"/>
      <c r="N572" s="10"/>
      <c r="O572" s="10"/>
      <c r="P572" s="10"/>
      <c r="Q572" s="5"/>
      <c r="R572" s="5"/>
      <c r="S572" s="5"/>
      <c r="T572" s="5"/>
      <c r="U572" s="5"/>
      <c r="V572" s="5"/>
      <c r="W572" s="12"/>
      <c r="X572" s="12"/>
      <c r="Y572" s="12"/>
      <c r="Z572" s="12"/>
      <c r="AA572" s="12"/>
      <c r="AB572" s="12"/>
      <c r="AC572" s="12"/>
      <c r="AD572" s="12"/>
      <c r="AE572" s="12"/>
      <c r="AF572" s="12"/>
      <c r="AG572" s="12"/>
      <c r="AH572" s="12"/>
      <c r="AI572" s="12"/>
      <c r="AJ572" s="12"/>
      <c r="AK572" s="12"/>
      <c r="AL572" s="12"/>
      <c r="AM572" s="6"/>
      <c r="AN572" s="6"/>
      <c r="AO572" s="6"/>
      <c r="AP572" s="6"/>
      <c r="AQ572" s="6"/>
      <c r="AR572" s="6"/>
      <c r="AS572" s="6"/>
      <c r="AT572" s="6"/>
      <c r="AU572" s="6"/>
      <c r="AV572" s="6"/>
      <c r="AW572" s="6"/>
      <c r="AX572" s="6"/>
      <c r="AY572" s="6"/>
      <c r="AZ572" s="6"/>
      <c r="BA572" s="6"/>
      <c r="BB572" s="6"/>
      <c r="BC572" s="6"/>
      <c r="BD572" s="6"/>
      <c r="BE572" s="6"/>
      <c r="BF572" s="6"/>
      <c r="BG572" s="6"/>
      <c r="BH572" s="6"/>
      <c r="BI572" s="6"/>
      <c r="BJ572" s="6"/>
      <c r="BK572" s="6"/>
      <c r="BL572" s="6"/>
      <c r="BM572" s="6"/>
      <c r="BN572" s="6"/>
      <c r="BO572" s="6"/>
      <c r="BP572" s="6"/>
      <c r="BQ572" s="6"/>
    </row>
    <row r="573" spans="2:69" ht="15.75" hidden="1" customHeight="1" x14ac:dyDescent="0.2">
      <c r="B573" s="5"/>
      <c r="C573" s="8"/>
      <c r="D573" s="8"/>
      <c r="E573" s="8"/>
      <c r="F573" s="8"/>
      <c r="G573" s="7"/>
      <c r="H573" s="7"/>
      <c r="I573" s="7"/>
      <c r="J573" s="7"/>
      <c r="K573" s="7"/>
      <c r="L573" s="7"/>
      <c r="M573" s="7"/>
      <c r="N573" s="10"/>
      <c r="O573" s="10"/>
      <c r="P573" s="10"/>
      <c r="Q573" s="5"/>
      <c r="R573" s="5"/>
      <c r="S573" s="5"/>
      <c r="T573" s="5"/>
      <c r="U573" s="5"/>
      <c r="V573" s="5"/>
      <c r="W573" s="12"/>
      <c r="X573" s="12"/>
      <c r="Y573" s="12"/>
      <c r="Z573" s="12"/>
      <c r="AA573" s="12"/>
      <c r="AB573" s="12"/>
      <c r="AC573" s="12"/>
      <c r="AD573" s="12"/>
      <c r="AE573" s="12"/>
      <c r="AF573" s="12"/>
      <c r="AG573" s="12"/>
      <c r="AH573" s="12"/>
      <c r="AI573" s="12"/>
      <c r="AJ573" s="12"/>
      <c r="AK573" s="12"/>
      <c r="AL573" s="12"/>
      <c r="AM573" s="6"/>
      <c r="AN573" s="6"/>
      <c r="AO573" s="6"/>
      <c r="AP573" s="6"/>
      <c r="AQ573" s="6"/>
      <c r="AR573" s="6"/>
      <c r="AS573" s="6"/>
      <c r="AT573" s="6"/>
      <c r="AU573" s="6"/>
      <c r="AV573" s="6"/>
      <c r="AW573" s="6"/>
      <c r="AX573" s="6"/>
      <c r="AY573" s="6"/>
      <c r="AZ573" s="6"/>
      <c r="BA573" s="6"/>
      <c r="BB573" s="6"/>
      <c r="BC573" s="6"/>
      <c r="BD573" s="6"/>
      <c r="BE573" s="6"/>
      <c r="BF573" s="6"/>
      <c r="BG573" s="6"/>
      <c r="BH573" s="6"/>
      <c r="BI573" s="6"/>
      <c r="BJ573" s="6"/>
      <c r="BK573" s="6"/>
      <c r="BL573" s="6"/>
      <c r="BM573" s="6"/>
      <c r="BN573" s="6"/>
      <c r="BO573" s="6"/>
      <c r="BP573" s="6"/>
      <c r="BQ573" s="6"/>
    </row>
    <row r="574" spans="2:69" ht="15.75" hidden="1" customHeight="1" x14ac:dyDescent="0.2">
      <c r="B574" s="5"/>
      <c r="C574" s="8"/>
      <c r="D574" s="8"/>
      <c r="E574" s="8"/>
      <c r="F574" s="8"/>
      <c r="G574" s="7"/>
      <c r="H574" s="7"/>
      <c r="I574" s="7"/>
      <c r="J574" s="7"/>
      <c r="K574" s="7"/>
      <c r="L574" s="7"/>
      <c r="M574" s="7"/>
      <c r="N574" s="10"/>
      <c r="O574" s="10"/>
      <c r="P574" s="10"/>
      <c r="Q574" s="5"/>
      <c r="R574" s="5"/>
      <c r="S574" s="5"/>
      <c r="T574" s="5"/>
      <c r="U574" s="5"/>
      <c r="V574" s="5"/>
      <c r="W574" s="12"/>
      <c r="X574" s="12"/>
      <c r="Y574" s="12"/>
      <c r="Z574" s="12"/>
      <c r="AA574" s="12"/>
      <c r="AB574" s="12"/>
      <c r="AC574" s="12"/>
      <c r="AD574" s="12"/>
      <c r="AE574" s="12"/>
      <c r="AF574" s="12"/>
      <c r="AG574" s="12"/>
      <c r="AH574" s="12"/>
      <c r="AI574" s="12"/>
      <c r="AJ574" s="12"/>
      <c r="AK574" s="12"/>
      <c r="AL574" s="12"/>
      <c r="AM574" s="6"/>
      <c r="AN574" s="6"/>
      <c r="AO574" s="6"/>
      <c r="AP574" s="6"/>
      <c r="AQ574" s="6"/>
      <c r="AR574" s="6"/>
      <c r="AS574" s="6"/>
      <c r="AT574" s="6"/>
      <c r="AU574" s="6"/>
      <c r="AV574" s="6"/>
      <c r="AW574" s="6"/>
      <c r="AX574" s="6"/>
      <c r="AY574" s="6"/>
      <c r="AZ574" s="6"/>
      <c r="BA574" s="6"/>
      <c r="BB574" s="6"/>
      <c r="BC574" s="6"/>
      <c r="BD574" s="6"/>
      <c r="BE574" s="6"/>
      <c r="BF574" s="6"/>
      <c r="BG574" s="6"/>
      <c r="BH574" s="6"/>
      <c r="BI574" s="6"/>
      <c r="BJ574" s="6"/>
      <c r="BK574" s="6"/>
      <c r="BL574" s="6"/>
      <c r="BM574" s="6"/>
      <c r="BN574" s="6"/>
      <c r="BO574" s="6"/>
      <c r="BP574" s="6"/>
      <c r="BQ574" s="6"/>
    </row>
    <row r="575" spans="2:69" ht="15.75" hidden="1" customHeight="1" x14ac:dyDescent="0.2">
      <c r="B575" s="5"/>
      <c r="C575" s="8"/>
      <c r="D575" s="8"/>
      <c r="E575" s="8"/>
      <c r="F575" s="8"/>
      <c r="G575" s="7"/>
      <c r="H575" s="7"/>
      <c r="I575" s="7"/>
      <c r="J575" s="7"/>
      <c r="K575" s="7"/>
      <c r="L575" s="7"/>
      <c r="M575" s="7"/>
      <c r="N575" s="10"/>
      <c r="O575" s="10"/>
      <c r="P575" s="10"/>
      <c r="Q575" s="5"/>
      <c r="R575" s="5"/>
      <c r="S575" s="5"/>
      <c r="T575" s="5"/>
      <c r="U575" s="5"/>
      <c r="V575" s="5"/>
      <c r="W575" s="12"/>
      <c r="X575" s="12"/>
      <c r="Y575" s="12"/>
      <c r="Z575" s="12"/>
      <c r="AA575" s="12"/>
      <c r="AB575" s="12"/>
      <c r="AC575" s="12"/>
      <c r="AD575" s="12"/>
      <c r="AE575" s="12"/>
      <c r="AF575" s="12"/>
      <c r="AG575" s="12"/>
      <c r="AH575" s="12"/>
      <c r="AI575" s="12"/>
      <c r="AJ575" s="12"/>
      <c r="AK575" s="12"/>
      <c r="AL575" s="12"/>
      <c r="AM575" s="6"/>
      <c r="AN575" s="6"/>
      <c r="AO575" s="6"/>
      <c r="AP575" s="6"/>
      <c r="AQ575" s="6"/>
      <c r="AR575" s="6"/>
      <c r="AS575" s="6"/>
      <c r="AT575" s="6"/>
      <c r="AU575" s="6"/>
      <c r="AV575" s="6"/>
      <c r="AW575" s="6"/>
      <c r="AX575" s="6"/>
      <c r="AY575" s="6"/>
      <c r="AZ575" s="6"/>
      <c r="BA575" s="6"/>
      <c r="BB575" s="6"/>
      <c r="BC575" s="6"/>
      <c r="BD575" s="6"/>
      <c r="BE575" s="6"/>
      <c r="BF575" s="6"/>
      <c r="BG575" s="6"/>
      <c r="BH575" s="6"/>
      <c r="BI575" s="6"/>
      <c r="BJ575" s="6"/>
      <c r="BK575" s="6"/>
      <c r="BL575" s="6"/>
      <c r="BM575" s="6"/>
      <c r="BN575" s="6"/>
      <c r="BO575" s="6"/>
      <c r="BP575" s="6"/>
      <c r="BQ575" s="6"/>
    </row>
    <row r="576" spans="2:69" ht="15.75" hidden="1" customHeight="1" x14ac:dyDescent="0.2">
      <c r="B576" s="5"/>
      <c r="C576" s="8"/>
      <c r="D576" s="8"/>
      <c r="E576" s="8"/>
      <c r="F576" s="8"/>
      <c r="G576" s="7"/>
      <c r="H576" s="7"/>
      <c r="I576" s="7"/>
      <c r="J576" s="7"/>
      <c r="K576" s="7"/>
      <c r="L576" s="7"/>
      <c r="M576" s="7"/>
      <c r="N576" s="10"/>
      <c r="O576" s="10"/>
      <c r="P576" s="10"/>
      <c r="Q576" s="5"/>
      <c r="R576" s="5"/>
      <c r="S576" s="5"/>
      <c r="T576" s="5"/>
      <c r="U576" s="5"/>
      <c r="V576" s="5"/>
      <c r="W576" s="12"/>
      <c r="X576" s="12"/>
      <c r="Y576" s="12"/>
      <c r="Z576" s="12"/>
      <c r="AA576" s="12"/>
      <c r="AB576" s="12"/>
      <c r="AC576" s="12"/>
      <c r="AD576" s="12"/>
      <c r="AE576" s="12"/>
      <c r="AF576" s="12"/>
      <c r="AG576" s="12"/>
      <c r="AH576" s="12"/>
      <c r="AI576" s="12"/>
      <c r="AJ576" s="12"/>
      <c r="AK576" s="12"/>
      <c r="AL576" s="12"/>
      <c r="AM576" s="6"/>
      <c r="AN576" s="6"/>
      <c r="AO576" s="6"/>
      <c r="AP576" s="6"/>
      <c r="AQ576" s="6"/>
      <c r="AR576" s="6"/>
      <c r="AS576" s="6"/>
      <c r="AT576" s="6"/>
      <c r="AU576" s="6"/>
      <c r="AV576" s="6"/>
      <c r="AW576" s="6"/>
      <c r="AX576" s="6"/>
      <c r="AY576" s="6"/>
      <c r="AZ576" s="6"/>
      <c r="BA576" s="6"/>
      <c r="BB576" s="6"/>
      <c r="BC576" s="6"/>
      <c r="BD576" s="6"/>
      <c r="BE576" s="6"/>
      <c r="BF576" s="6"/>
      <c r="BG576" s="6"/>
      <c r="BH576" s="6"/>
      <c r="BI576" s="6"/>
      <c r="BJ576" s="6"/>
      <c r="BK576" s="6"/>
      <c r="BL576" s="6"/>
      <c r="BM576" s="6"/>
      <c r="BN576" s="6"/>
      <c r="BO576" s="6"/>
      <c r="BP576" s="6"/>
      <c r="BQ576" s="6"/>
    </row>
    <row r="577" spans="2:69" ht="15.75" hidden="1" customHeight="1" x14ac:dyDescent="0.2">
      <c r="B577" s="5"/>
      <c r="C577" s="8"/>
      <c r="D577" s="8"/>
      <c r="E577" s="8"/>
      <c r="F577" s="8"/>
      <c r="G577" s="7"/>
      <c r="H577" s="7"/>
      <c r="I577" s="7"/>
      <c r="J577" s="7"/>
      <c r="K577" s="7"/>
      <c r="L577" s="7"/>
      <c r="M577" s="7"/>
      <c r="N577" s="10"/>
      <c r="O577" s="10"/>
      <c r="P577" s="10"/>
      <c r="Q577" s="5"/>
      <c r="R577" s="5"/>
      <c r="S577" s="5"/>
      <c r="T577" s="5"/>
      <c r="U577" s="5"/>
      <c r="V577" s="5"/>
      <c r="W577" s="12"/>
      <c r="X577" s="12"/>
      <c r="Y577" s="12"/>
      <c r="Z577" s="12"/>
      <c r="AA577" s="12"/>
      <c r="AB577" s="12"/>
      <c r="AC577" s="12"/>
      <c r="AD577" s="12"/>
      <c r="AE577" s="12"/>
      <c r="AF577" s="12"/>
      <c r="AG577" s="12"/>
      <c r="AH577" s="12"/>
      <c r="AI577" s="12"/>
      <c r="AJ577" s="12"/>
      <c r="AK577" s="12"/>
      <c r="AL577" s="12"/>
      <c r="AM577" s="6"/>
      <c r="AN577" s="6"/>
      <c r="AO577" s="6"/>
      <c r="AP577" s="6"/>
      <c r="AQ577" s="6"/>
      <c r="AR577" s="6"/>
      <c r="AS577" s="6"/>
      <c r="AT577" s="6"/>
      <c r="AU577" s="6"/>
      <c r="AV577" s="6"/>
      <c r="AW577" s="6"/>
      <c r="AX577" s="6"/>
      <c r="AY577" s="6"/>
      <c r="AZ577" s="6"/>
      <c r="BA577" s="6"/>
      <c r="BB577" s="6"/>
      <c r="BC577" s="6"/>
      <c r="BD577" s="6"/>
      <c r="BE577" s="6"/>
      <c r="BF577" s="6"/>
      <c r="BG577" s="6"/>
      <c r="BH577" s="6"/>
      <c r="BI577" s="6"/>
      <c r="BJ577" s="6"/>
      <c r="BK577" s="6"/>
      <c r="BL577" s="6"/>
      <c r="BM577" s="6"/>
      <c r="BN577" s="6"/>
      <c r="BO577" s="6"/>
      <c r="BP577" s="6"/>
      <c r="BQ577" s="6"/>
    </row>
    <row r="578" spans="2:69" ht="15.75" hidden="1" customHeight="1" x14ac:dyDescent="0.2">
      <c r="B578" s="5"/>
      <c r="C578" s="8"/>
      <c r="D578" s="8"/>
      <c r="E578" s="8"/>
      <c r="F578" s="8"/>
      <c r="G578" s="7"/>
      <c r="H578" s="7"/>
      <c r="I578" s="7"/>
      <c r="J578" s="7"/>
      <c r="K578" s="7"/>
      <c r="L578" s="7"/>
      <c r="M578" s="7"/>
      <c r="N578" s="10"/>
      <c r="O578" s="10"/>
      <c r="P578" s="10"/>
      <c r="Q578" s="5"/>
      <c r="R578" s="5"/>
      <c r="S578" s="5"/>
      <c r="T578" s="5"/>
      <c r="U578" s="5"/>
      <c r="V578" s="5"/>
      <c r="W578" s="12"/>
      <c r="X578" s="12"/>
      <c r="Y578" s="12"/>
      <c r="Z578" s="12"/>
      <c r="AA578" s="12"/>
      <c r="AB578" s="12"/>
      <c r="AC578" s="12"/>
      <c r="AD578" s="12"/>
      <c r="AE578" s="12"/>
      <c r="AF578" s="12"/>
      <c r="AG578" s="12"/>
      <c r="AH578" s="12"/>
      <c r="AI578" s="12"/>
      <c r="AJ578" s="12"/>
      <c r="AK578" s="12"/>
      <c r="AL578" s="12"/>
      <c r="AM578" s="6"/>
      <c r="AN578" s="6"/>
      <c r="AO578" s="6"/>
      <c r="AP578" s="6"/>
      <c r="AQ578" s="6"/>
      <c r="AR578" s="6"/>
      <c r="AS578" s="6"/>
      <c r="AT578" s="6"/>
      <c r="AU578" s="6"/>
      <c r="AV578" s="6"/>
      <c r="AW578" s="6"/>
      <c r="AX578" s="6"/>
      <c r="AY578" s="6"/>
      <c r="AZ578" s="6"/>
      <c r="BA578" s="6"/>
      <c r="BB578" s="6"/>
      <c r="BC578" s="6"/>
      <c r="BD578" s="6"/>
      <c r="BE578" s="6"/>
      <c r="BF578" s="6"/>
      <c r="BG578" s="6"/>
      <c r="BH578" s="6"/>
      <c r="BI578" s="6"/>
      <c r="BJ578" s="6"/>
      <c r="BK578" s="6"/>
      <c r="BL578" s="6"/>
      <c r="BM578" s="6"/>
      <c r="BN578" s="6"/>
      <c r="BO578" s="6"/>
      <c r="BP578" s="6"/>
      <c r="BQ578" s="6"/>
    </row>
    <row r="579" spans="2:69" ht="15.75" hidden="1" customHeight="1" x14ac:dyDescent="0.2">
      <c r="B579" s="5"/>
      <c r="C579" s="8"/>
      <c r="D579" s="8"/>
      <c r="E579" s="8"/>
      <c r="F579" s="8"/>
      <c r="G579" s="7"/>
      <c r="H579" s="7"/>
      <c r="I579" s="7"/>
      <c r="J579" s="7"/>
      <c r="K579" s="7"/>
      <c r="L579" s="7"/>
      <c r="M579" s="7"/>
      <c r="N579" s="10"/>
      <c r="O579" s="10"/>
      <c r="P579" s="10"/>
      <c r="Q579" s="5"/>
      <c r="R579" s="5"/>
      <c r="S579" s="5"/>
      <c r="T579" s="5"/>
      <c r="U579" s="5"/>
      <c r="V579" s="5"/>
      <c r="W579" s="12"/>
      <c r="X579" s="12"/>
      <c r="Y579" s="12"/>
      <c r="Z579" s="12"/>
      <c r="AA579" s="12"/>
      <c r="AB579" s="12"/>
      <c r="AC579" s="12"/>
      <c r="AD579" s="12"/>
      <c r="AE579" s="12"/>
      <c r="AF579" s="12"/>
      <c r="AG579" s="12"/>
      <c r="AH579" s="12"/>
      <c r="AI579" s="12"/>
      <c r="AJ579" s="12"/>
      <c r="AK579" s="12"/>
      <c r="AL579" s="12"/>
      <c r="AM579" s="6"/>
      <c r="AN579" s="6"/>
      <c r="AO579" s="6"/>
      <c r="AP579" s="6"/>
      <c r="AQ579" s="6"/>
      <c r="AR579" s="6"/>
      <c r="AS579" s="6"/>
      <c r="AT579" s="6"/>
      <c r="AU579" s="6"/>
      <c r="AV579" s="6"/>
      <c r="AW579" s="6"/>
      <c r="AX579" s="6"/>
      <c r="AY579" s="6"/>
      <c r="AZ579" s="6"/>
      <c r="BA579" s="6"/>
      <c r="BB579" s="6"/>
      <c r="BC579" s="6"/>
      <c r="BD579" s="6"/>
      <c r="BE579" s="6"/>
      <c r="BF579" s="6"/>
      <c r="BG579" s="6"/>
      <c r="BH579" s="6"/>
      <c r="BI579" s="6"/>
      <c r="BJ579" s="6"/>
      <c r="BK579" s="6"/>
      <c r="BL579" s="6"/>
      <c r="BM579" s="6"/>
      <c r="BN579" s="6"/>
      <c r="BO579" s="6"/>
      <c r="BP579" s="6"/>
      <c r="BQ579" s="6"/>
    </row>
    <row r="580" spans="2:69" ht="15.75" hidden="1" customHeight="1" x14ac:dyDescent="0.2">
      <c r="B580" s="5"/>
      <c r="C580" s="8"/>
      <c r="D580" s="8"/>
      <c r="E580" s="8"/>
      <c r="F580" s="8"/>
      <c r="G580" s="7"/>
      <c r="H580" s="7"/>
      <c r="I580" s="7"/>
      <c r="J580" s="7"/>
      <c r="K580" s="7"/>
      <c r="L580" s="7"/>
      <c r="M580" s="7"/>
      <c r="N580" s="10"/>
      <c r="O580" s="10"/>
      <c r="P580" s="10"/>
      <c r="Q580" s="5"/>
      <c r="R580" s="5"/>
      <c r="S580" s="5"/>
      <c r="T580" s="5"/>
      <c r="U580" s="5"/>
      <c r="V580" s="5"/>
      <c r="W580" s="12"/>
      <c r="X580" s="12"/>
      <c r="Y580" s="12"/>
      <c r="Z580" s="12"/>
      <c r="AA580" s="12"/>
      <c r="AB580" s="12"/>
      <c r="AC580" s="12"/>
      <c r="AD580" s="12"/>
      <c r="AE580" s="12"/>
      <c r="AF580" s="12"/>
      <c r="AG580" s="12"/>
      <c r="AH580" s="12"/>
      <c r="AI580" s="12"/>
      <c r="AJ580" s="12"/>
      <c r="AK580" s="12"/>
      <c r="AL580" s="12"/>
      <c r="AM580" s="6"/>
      <c r="AN580" s="6"/>
      <c r="AO580" s="6"/>
      <c r="AP580" s="6"/>
      <c r="AQ580" s="6"/>
      <c r="AR580" s="6"/>
      <c r="AS580" s="6"/>
      <c r="AT580" s="6"/>
      <c r="AU580" s="6"/>
      <c r="AV580" s="6"/>
      <c r="AW580" s="6"/>
      <c r="AX580" s="6"/>
      <c r="AY580" s="6"/>
      <c r="AZ580" s="6"/>
      <c r="BA580" s="6"/>
      <c r="BB580" s="6"/>
      <c r="BC580" s="6"/>
      <c r="BD580" s="6"/>
      <c r="BE580" s="6"/>
      <c r="BF580" s="6"/>
      <c r="BG580" s="6"/>
      <c r="BH580" s="6"/>
      <c r="BI580" s="6"/>
      <c r="BJ580" s="6"/>
      <c r="BK580" s="6"/>
      <c r="BL580" s="6"/>
      <c r="BM580" s="6"/>
      <c r="BN580" s="6"/>
      <c r="BO580" s="6"/>
      <c r="BP580" s="6"/>
      <c r="BQ580" s="6"/>
    </row>
    <row r="581" spans="2:69" ht="15.75" hidden="1" customHeight="1" x14ac:dyDescent="0.2">
      <c r="B581" s="5"/>
      <c r="C581" s="8"/>
      <c r="D581" s="8"/>
      <c r="E581" s="8"/>
      <c r="F581" s="8"/>
      <c r="G581" s="7"/>
      <c r="H581" s="7"/>
      <c r="I581" s="7"/>
      <c r="J581" s="7"/>
      <c r="K581" s="7"/>
      <c r="L581" s="7"/>
      <c r="M581" s="7"/>
      <c r="N581" s="10"/>
      <c r="O581" s="10"/>
      <c r="P581" s="10"/>
      <c r="Q581" s="5"/>
      <c r="R581" s="5"/>
      <c r="S581" s="5"/>
      <c r="T581" s="5"/>
      <c r="U581" s="5"/>
      <c r="V581" s="5"/>
      <c r="W581" s="12"/>
      <c r="X581" s="12"/>
      <c r="Y581" s="12"/>
      <c r="Z581" s="12"/>
      <c r="AA581" s="12"/>
      <c r="AB581" s="12"/>
      <c r="AC581" s="12"/>
      <c r="AD581" s="12"/>
      <c r="AE581" s="12"/>
      <c r="AF581" s="12"/>
      <c r="AG581" s="12"/>
      <c r="AH581" s="12"/>
      <c r="AI581" s="12"/>
      <c r="AJ581" s="12"/>
      <c r="AK581" s="12"/>
      <c r="AL581" s="12"/>
      <c r="AM581" s="6"/>
      <c r="AN581" s="6"/>
      <c r="AO581" s="6"/>
      <c r="AP581" s="6"/>
      <c r="AQ581" s="6"/>
      <c r="AR581" s="6"/>
      <c r="AS581" s="6"/>
      <c r="AT581" s="6"/>
      <c r="AU581" s="6"/>
      <c r="AV581" s="6"/>
      <c r="AW581" s="6"/>
      <c r="AX581" s="6"/>
      <c r="AY581" s="6"/>
      <c r="AZ581" s="6"/>
      <c r="BA581" s="6"/>
      <c r="BB581" s="6"/>
      <c r="BC581" s="6"/>
      <c r="BD581" s="6"/>
      <c r="BE581" s="6"/>
      <c r="BF581" s="6"/>
      <c r="BG581" s="6"/>
      <c r="BH581" s="6"/>
      <c r="BI581" s="6"/>
      <c r="BJ581" s="6"/>
      <c r="BK581" s="6"/>
      <c r="BL581" s="6"/>
      <c r="BM581" s="6"/>
      <c r="BN581" s="6"/>
      <c r="BO581" s="6"/>
      <c r="BP581" s="6"/>
      <c r="BQ581" s="6"/>
    </row>
    <row r="582" spans="2:69" ht="15.75" hidden="1" customHeight="1" x14ac:dyDescent="0.2">
      <c r="B582" s="5"/>
      <c r="C582" s="8"/>
      <c r="D582" s="8"/>
      <c r="E582" s="8"/>
      <c r="F582" s="8"/>
      <c r="G582" s="7"/>
      <c r="H582" s="7"/>
      <c r="I582" s="7"/>
      <c r="J582" s="7"/>
      <c r="K582" s="7"/>
      <c r="L582" s="7"/>
      <c r="M582" s="7"/>
      <c r="N582" s="10"/>
      <c r="O582" s="10"/>
      <c r="P582" s="10"/>
      <c r="Q582" s="5"/>
      <c r="R582" s="5"/>
      <c r="S582" s="5"/>
      <c r="T582" s="5"/>
      <c r="U582" s="5"/>
      <c r="V582" s="5"/>
      <c r="W582" s="12"/>
      <c r="X582" s="12"/>
      <c r="Y582" s="12"/>
      <c r="Z582" s="12"/>
      <c r="AA582" s="12"/>
      <c r="AB582" s="12"/>
      <c r="AC582" s="12"/>
      <c r="AD582" s="12"/>
      <c r="AE582" s="12"/>
      <c r="AF582" s="12"/>
      <c r="AG582" s="12"/>
      <c r="AH582" s="12"/>
      <c r="AI582" s="12"/>
      <c r="AJ582" s="12"/>
      <c r="AK582" s="12"/>
      <c r="AL582" s="12"/>
      <c r="AM582" s="6"/>
      <c r="AN582" s="6"/>
      <c r="AO582" s="6"/>
      <c r="AP582" s="6"/>
      <c r="AQ582" s="6"/>
      <c r="AR582" s="6"/>
      <c r="AS582" s="6"/>
      <c r="AT582" s="6"/>
      <c r="AU582" s="6"/>
      <c r="AV582" s="6"/>
      <c r="AW582" s="6"/>
      <c r="AX582" s="6"/>
      <c r="AY582" s="6"/>
      <c r="AZ582" s="6"/>
      <c r="BA582" s="6"/>
      <c r="BB582" s="6"/>
      <c r="BC582" s="6"/>
      <c r="BD582" s="6"/>
      <c r="BE582" s="6"/>
      <c r="BF582" s="6"/>
      <c r="BG582" s="6"/>
      <c r="BH582" s="6"/>
      <c r="BI582" s="6"/>
      <c r="BJ582" s="6"/>
      <c r="BK582" s="6"/>
      <c r="BL582" s="6"/>
      <c r="BM582" s="6"/>
      <c r="BN582" s="6"/>
      <c r="BO582" s="6"/>
      <c r="BP582" s="6"/>
      <c r="BQ582" s="6"/>
    </row>
    <row r="583" spans="2:69" ht="15.75" hidden="1" customHeight="1" x14ac:dyDescent="0.2">
      <c r="B583" s="5"/>
      <c r="C583" s="8"/>
      <c r="D583" s="8"/>
      <c r="E583" s="8"/>
      <c r="F583" s="8"/>
      <c r="G583" s="7"/>
      <c r="H583" s="7"/>
      <c r="I583" s="7"/>
      <c r="J583" s="7"/>
      <c r="K583" s="7"/>
      <c r="L583" s="7"/>
      <c r="M583" s="7"/>
      <c r="N583" s="10"/>
      <c r="O583" s="10"/>
      <c r="P583" s="10"/>
      <c r="Q583" s="5"/>
      <c r="R583" s="5"/>
      <c r="S583" s="5"/>
      <c r="T583" s="5"/>
      <c r="U583" s="5"/>
      <c r="V583" s="5"/>
      <c r="W583" s="12"/>
      <c r="X583" s="12"/>
      <c r="Y583" s="12"/>
      <c r="Z583" s="12"/>
      <c r="AA583" s="12"/>
      <c r="AB583" s="12"/>
      <c r="AC583" s="12"/>
      <c r="AD583" s="12"/>
      <c r="AE583" s="12"/>
      <c r="AF583" s="12"/>
      <c r="AG583" s="12"/>
      <c r="AH583" s="12"/>
      <c r="AI583" s="12"/>
      <c r="AJ583" s="12"/>
      <c r="AK583" s="12"/>
      <c r="AL583" s="12"/>
      <c r="AM583" s="6"/>
      <c r="AN583" s="6"/>
      <c r="AO583" s="6"/>
      <c r="AP583" s="6"/>
      <c r="AQ583" s="6"/>
      <c r="AR583" s="6"/>
      <c r="AS583" s="6"/>
      <c r="AT583" s="6"/>
      <c r="AU583" s="6"/>
      <c r="AV583" s="6"/>
      <c r="AW583" s="6"/>
      <c r="AX583" s="6"/>
      <c r="AY583" s="6"/>
      <c r="AZ583" s="6"/>
      <c r="BA583" s="6"/>
      <c r="BB583" s="6"/>
      <c r="BC583" s="6"/>
      <c r="BD583" s="6"/>
      <c r="BE583" s="6"/>
      <c r="BF583" s="6"/>
      <c r="BG583" s="6"/>
      <c r="BH583" s="6"/>
      <c r="BI583" s="6"/>
      <c r="BJ583" s="6"/>
      <c r="BK583" s="6"/>
      <c r="BL583" s="6"/>
      <c r="BM583" s="6"/>
      <c r="BN583" s="6"/>
      <c r="BO583" s="6"/>
      <c r="BP583" s="6"/>
      <c r="BQ583" s="6"/>
    </row>
    <row r="584" spans="2:69" ht="15.75" hidden="1" customHeight="1" x14ac:dyDescent="0.2">
      <c r="B584" s="5"/>
      <c r="C584" s="8"/>
      <c r="D584" s="8"/>
      <c r="E584" s="8"/>
      <c r="F584" s="8"/>
      <c r="G584" s="7"/>
      <c r="H584" s="7"/>
      <c r="I584" s="7"/>
      <c r="J584" s="7"/>
      <c r="K584" s="7"/>
      <c r="L584" s="7"/>
      <c r="M584" s="7"/>
      <c r="N584" s="10"/>
      <c r="O584" s="10"/>
      <c r="P584" s="10"/>
      <c r="Q584" s="5"/>
      <c r="R584" s="5"/>
      <c r="S584" s="5"/>
      <c r="T584" s="5"/>
      <c r="U584" s="5"/>
      <c r="V584" s="5"/>
      <c r="W584" s="12"/>
      <c r="X584" s="12"/>
      <c r="Y584" s="12"/>
      <c r="Z584" s="12"/>
      <c r="AA584" s="12"/>
      <c r="AB584" s="12"/>
      <c r="AC584" s="12"/>
      <c r="AD584" s="12"/>
      <c r="AE584" s="12"/>
      <c r="AF584" s="12"/>
      <c r="AG584" s="12"/>
      <c r="AH584" s="12"/>
      <c r="AI584" s="12"/>
      <c r="AJ584" s="12"/>
      <c r="AK584" s="12"/>
      <c r="AL584" s="12"/>
      <c r="AM584" s="6"/>
      <c r="AN584" s="6"/>
      <c r="AO584" s="6"/>
      <c r="AP584" s="6"/>
      <c r="AQ584" s="6"/>
      <c r="AR584" s="6"/>
      <c r="AS584" s="6"/>
      <c r="AT584" s="6"/>
      <c r="AU584" s="6"/>
      <c r="AV584" s="6"/>
      <c r="AW584" s="6"/>
      <c r="AX584" s="6"/>
      <c r="AY584" s="6"/>
      <c r="AZ584" s="6"/>
      <c r="BA584" s="6"/>
      <c r="BB584" s="6"/>
      <c r="BC584" s="6"/>
      <c r="BD584" s="6"/>
      <c r="BE584" s="6"/>
      <c r="BF584" s="6"/>
      <c r="BG584" s="6"/>
      <c r="BH584" s="6"/>
      <c r="BI584" s="6"/>
      <c r="BJ584" s="6"/>
      <c r="BK584" s="6"/>
      <c r="BL584" s="6"/>
      <c r="BM584" s="6"/>
      <c r="BN584" s="6"/>
      <c r="BO584" s="6"/>
      <c r="BP584" s="6"/>
      <c r="BQ584" s="6"/>
    </row>
    <row r="585" spans="2:69" ht="15.75" hidden="1" customHeight="1" x14ac:dyDescent="0.2">
      <c r="B585" s="5"/>
      <c r="C585" s="8"/>
      <c r="D585" s="8"/>
      <c r="E585" s="8"/>
      <c r="F585" s="8"/>
      <c r="G585" s="7"/>
      <c r="H585" s="7"/>
      <c r="I585" s="7"/>
      <c r="J585" s="7"/>
      <c r="K585" s="7"/>
      <c r="L585" s="7"/>
      <c r="M585" s="7"/>
      <c r="N585" s="10"/>
      <c r="O585" s="10"/>
      <c r="P585" s="10"/>
      <c r="Q585" s="5"/>
      <c r="R585" s="5"/>
      <c r="S585" s="5"/>
      <c r="T585" s="5"/>
      <c r="U585" s="5"/>
      <c r="V585" s="5"/>
      <c r="W585" s="12"/>
      <c r="X585" s="12"/>
      <c r="Y585" s="12"/>
      <c r="Z585" s="12"/>
      <c r="AA585" s="12"/>
      <c r="AB585" s="12"/>
      <c r="AC585" s="12"/>
      <c r="AD585" s="12"/>
      <c r="AE585" s="12"/>
      <c r="AF585" s="12"/>
      <c r="AG585" s="12"/>
      <c r="AH585" s="12"/>
      <c r="AI585" s="12"/>
      <c r="AJ585" s="12"/>
      <c r="AK585" s="12"/>
      <c r="AL585" s="12"/>
      <c r="AM585" s="6"/>
      <c r="AN585" s="6"/>
      <c r="AO585" s="6"/>
      <c r="AP585" s="6"/>
      <c r="AQ585" s="6"/>
      <c r="AR585" s="6"/>
      <c r="AS585" s="6"/>
      <c r="AT585" s="6"/>
      <c r="AU585" s="6"/>
      <c r="AV585" s="6"/>
      <c r="AW585" s="6"/>
      <c r="AX585" s="6"/>
      <c r="AY585" s="6"/>
      <c r="AZ585" s="6"/>
      <c r="BA585" s="6"/>
      <c r="BB585" s="6"/>
      <c r="BC585" s="6"/>
      <c r="BD585" s="6"/>
      <c r="BE585" s="6"/>
      <c r="BF585" s="6"/>
      <c r="BG585" s="6"/>
      <c r="BH585" s="6"/>
      <c r="BI585" s="6"/>
      <c r="BJ585" s="6"/>
      <c r="BK585" s="6"/>
      <c r="BL585" s="6"/>
      <c r="BM585" s="6"/>
      <c r="BN585" s="6"/>
      <c r="BO585" s="6"/>
      <c r="BP585" s="6"/>
      <c r="BQ585" s="6"/>
    </row>
    <row r="586" spans="2:69" ht="15.75" hidden="1" customHeight="1" x14ac:dyDescent="0.2">
      <c r="B586" s="5"/>
      <c r="C586" s="8"/>
      <c r="D586" s="8"/>
      <c r="E586" s="8"/>
      <c r="F586" s="8"/>
      <c r="G586" s="7"/>
      <c r="H586" s="7"/>
      <c r="I586" s="7"/>
      <c r="J586" s="7"/>
      <c r="K586" s="7"/>
      <c r="L586" s="7"/>
      <c r="M586" s="7"/>
      <c r="N586" s="10"/>
      <c r="O586" s="10"/>
      <c r="P586" s="10"/>
      <c r="Q586" s="5"/>
      <c r="R586" s="5"/>
      <c r="S586" s="5"/>
      <c r="T586" s="5"/>
      <c r="U586" s="5"/>
      <c r="V586" s="5"/>
      <c r="W586" s="12"/>
      <c r="X586" s="12"/>
      <c r="Y586" s="12"/>
      <c r="Z586" s="12"/>
      <c r="AA586" s="12"/>
      <c r="AB586" s="12"/>
      <c r="AC586" s="12"/>
      <c r="AD586" s="12"/>
      <c r="AE586" s="12"/>
      <c r="AF586" s="12"/>
      <c r="AG586" s="12"/>
      <c r="AH586" s="12"/>
      <c r="AI586" s="12"/>
      <c r="AJ586" s="12"/>
      <c r="AK586" s="12"/>
      <c r="AL586" s="12"/>
      <c r="AM586" s="6"/>
      <c r="AN586" s="6"/>
      <c r="AO586" s="6"/>
      <c r="AP586" s="6"/>
      <c r="AQ586" s="6"/>
      <c r="AR586" s="6"/>
      <c r="AS586" s="6"/>
      <c r="AT586" s="6"/>
      <c r="AU586" s="6"/>
      <c r="AV586" s="6"/>
      <c r="AW586" s="6"/>
      <c r="AX586" s="6"/>
      <c r="AY586" s="6"/>
      <c r="AZ586" s="6"/>
      <c r="BA586" s="6"/>
      <c r="BB586" s="6"/>
      <c r="BC586" s="6"/>
      <c r="BD586" s="6"/>
      <c r="BE586" s="6"/>
      <c r="BF586" s="6"/>
      <c r="BG586" s="6"/>
      <c r="BH586" s="6"/>
      <c r="BI586" s="6"/>
      <c r="BJ586" s="6"/>
      <c r="BK586" s="6"/>
      <c r="BL586" s="6"/>
      <c r="BM586" s="6"/>
      <c r="BN586" s="6"/>
      <c r="BO586" s="6"/>
      <c r="BP586" s="6"/>
      <c r="BQ586" s="6"/>
    </row>
    <row r="587" spans="2:69" ht="15.75" hidden="1" customHeight="1" x14ac:dyDescent="0.2">
      <c r="B587" s="5"/>
      <c r="C587" s="8"/>
      <c r="D587" s="8"/>
      <c r="E587" s="8"/>
      <c r="F587" s="8"/>
      <c r="G587" s="7"/>
      <c r="H587" s="7"/>
      <c r="I587" s="7"/>
      <c r="J587" s="7"/>
      <c r="K587" s="7"/>
      <c r="L587" s="7"/>
      <c r="M587" s="7"/>
      <c r="N587" s="10"/>
      <c r="O587" s="10"/>
      <c r="P587" s="10"/>
      <c r="Q587" s="5"/>
      <c r="R587" s="5"/>
      <c r="S587" s="5"/>
      <c r="T587" s="5"/>
      <c r="U587" s="5"/>
      <c r="V587" s="5"/>
      <c r="W587" s="12"/>
      <c r="X587" s="12"/>
      <c r="Y587" s="12"/>
      <c r="Z587" s="12"/>
      <c r="AA587" s="12"/>
      <c r="AB587" s="12"/>
      <c r="AC587" s="12"/>
      <c r="AD587" s="12"/>
      <c r="AE587" s="12"/>
      <c r="AF587" s="12"/>
      <c r="AG587" s="12"/>
      <c r="AH587" s="12"/>
      <c r="AI587" s="12"/>
      <c r="AJ587" s="12"/>
      <c r="AK587" s="12"/>
      <c r="AL587" s="12"/>
      <c r="AM587" s="6"/>
      <c r="AN587" s="6"/>
      <c r="AO587" s="6"/>
      <c r="AP587" s="6"/>
      <c r="AQ587" s="6"/>
      <c r="AR587" s="6"/>
      <c r="AS587" s="6"/>
      <c r="AT587" s="6"/>
      <c r="AU587" s="6"/>
      <c r="AV587" s="6"/>
      <c r="AW587" s="6"/>
      <c r="AX587" s="6"/>
      <c r="AY587" s="6"/>
      <c r="AZ587" s="6"/>
      <c r="BA587" s="6"/>
      <c r="BB587" s="6"/>
      <c r="BC587" s="6"/>
      <c r="BD587" s="6"/>
      <c r="BE587" s="6"/>
      <c r="BF587" s="6"/>
      <c r="BG587" s="6"/>
      <c r="BH587" s="6"/>
      <c r="BI587" s="6"/>
      <c r="BJ587" s="6"/>
      <c r="BK587" s="6"/>
      <c r="BL587" s="6"/>
      <c r="BM587" s="6"/>
      <c r="BN587" s="6"/>
      <c r="BO587" s="6"/>
      <c r="BP587" s="6"/>
      <c r="BQ587" s="6"/>
    </row>
    <row r="588" spans="2:69" ht="15.75" hidden="1" customHeight="1" x14ac:dyDescent="0.2">
      <c r="B588" s="5"/>
      <c r="C588" s="8"/>
      <c r="D588" s="8"/>
      <c r="E588" s="8"/>
      <c r="F588" s="8"/>
      <c r="G588" s="7"/>
      <c r="H588" s="7"/>
      <c r="I588" s="7"/>
      <c r="J588" s="7"/>
      <c r="K588" s="7"/>
      <c r="L588" s="7"/>
      <c r="M588" s="7"/>
      <c r="N588" s="10"/>
      <c r="O588" s="10"/>
      <c r="P588" s="10"/>
      <c r="Q588" s="5"/>
      <c r="R588" s="5"/>
      <c r="S588" s="5"/>
      <c r="T588" s="5"/>
      <c r="U588" s="5"/>
      <c r="V588" s="5"/>
      <c r="W588" s="12"/>
      <c r="X588" s="12"/>
      <c r="Y588" s="12"/>
      <c r="Z588" s="12"/>
      <c r="AA588" s="12"/>
      <c r="AB588" s="12"/>
      <c r="AC588" s="12"/>
      <c r="AD588" s="12"/>
      <c r="AE588" s="12"/>
      <c r="AF588" s="12"/>
      <c r="AG588" s="12"/>
      <c r="AH588" s="12"/>
      <c r="AI588" s="12"/>
      <c r="AJ588" s="12"/>
      <c r="AK588" s="12"/>
      <c r="AL588" s="12"/>
      <c r="AM588" s="6"/>
      <c r="AN588" s="6"/>
      <c r="AO588" s="6"/>
      <c r="AP588" s="6"/>
      <c r="AQ588" s="6"/>
      <c r="AR588" s="6"/>
      <c r="AS588" s="6"/>
      <c r="AT588" s="6"/>
      <c r="AU588" s="6"/>
      <c r="AV588" s="6"/>
      <c r="AW588" s="6"/>
      <c r="AX588" s="6"/>
      <c r="AY588" s="6"/>
      <c r="AZ588" s="6"/>
      <c r="BA588" s="6"/>
      <c r="BB588" s="6"/>
      <c r="BC588" s="6"/>
      <c r="BD588" s="6"/>
      <c r="BE588" s="6"/>
      <c r="BF588" s="6"/>
      <c r="BG588" s="6"/>
      <c r="BH588" s="6"/>
      <c r="BI588" s="6"/>
      <c r="BJ588" s="6"/>
      <c r="BK588" s="6"/>
      <c r="BL588" s="6"/>
      <c r="BM588" s="6"/>
      <c r="BN588" s="6"/>
      <c r="BO588" s="6"/>
      <c r="BP588" s="6"/>
      <c r="BQ588" s="6"/>
    </row>
    <row r="589" spans="2:69" ht="15.75" hidden="1" customHeight="1" x14ac:dyDescent="0.2">
      <c r="B589" s="5"/>
      <c r="C589" s="8"/>
      <c r="D589" s="8"/>
      <c r="E589" s="8"/>
      <c r="F589" s="8"/>
      <c r="G589" s="7"/>
      <c r="H589" s="7"/>
      <c r="I589" s="7"/>
      <c r="J589" s="7"/>
      <c r="K589" s="7"/>
      <c r="L589" s="7"/>
      <c r="M589" s="7"/>
      <c r="N589" s="10"/>
      <c r="O589" s="10"/>
      <c r="P589" s="10"/>
      <c r="Q589" s="5"/>
      <c r="R589" s="5"/>
      <c r="S589" s="5"/>
      <c r="T589" s="5"/>
      <c r="U589" s="5"/>
      <c r="V589" s="5"/>
      <c r="W589" s="12"/>
      <c r="X589" s="12"/>
      <c r="Y589" s="12"/>
      <c r="Z589" s="12"/>
      <c r="AA589" s="12"/>
      <c r="AB589" s="12"/>
      <c r="AC589" s="12"/>
      <c r="AD589" s="12"/>
      <c r="AE589" s="12"/>
      <c r="AF589" s="12"/>
      <c r="AG589" s="12"/>
      <c r="AH589" s="12"/>
      <c r="AI589" s="12"/>
      <c r="AJ589" s="12"/>
      <c r="AK589" s="12"/>
      <c r="AL589" s="12"/>
      <c r="AM589" s="6"/>
      <c r="AN589" s="6"/>
      <c r="AO589" s="6"/>
      <c r="AP589" s="6"/>
      <c r="AQ589" s="6"/>
      <c r="AR589" s="6"/>
      <c r="AS589" s="6"/>
      <c r="AT589" s="6"/>
      <c r="AU589" s="6"/>
      <c r="AV589" s="6"/>
      <c r="AW589" s="6"/>
      <c r="AX589" s="6"/>
      <c r="AY589" s="6"/>
      <c r="AZ589" s="6"/>
      <c r="BA589" s="6"/>
      <c r="BB589" s="6"/>
      <c r="BC589" s="6"/>
      <c r="BD589" s="6"/>
      <c r="BE589" s="6"/>
      <c r="BF589" s="6"/>
      <c r="BG589" s="6"/>
      <c r="BH589" s="6"/>
      <c r="BI589" s="6"/>
      <c r="BJ589" s="6"/>
      <c r="BK589" s="6"/>
      <c r="BL589" s="6"/>
      <c r="BM589" s="6"/>
      <c r="BN589" s="6"/>
      <c r="BO589" s="6"/>
      <c r="BP589" s="6"/>
      <c r="BQ589" s="6"/>
    </row>
    <row r="590" spans="2:69" ht="15.75" hidden="1" customHeight="1" x14ac:dyDescent="0.2">
      <c r="B590" s="5"/>
      <c r="C590" s="8"/>
      <c r="D590" s="8"/>
      <c r="E590" s="8"/>
      <c r="F590" s="8"/>
      <c r="G590" s="7"/>
      <c r="H590" s="7"/>
      <c r="I590" s="7"/>
      <c r="J590" s="7"/>
      <c r="K590" s="7"/>
      <c r="L590" s="7"/>
      <c r="M590" s="7"/>
      <c r="N590" s="10"/>
      <c r="O590" s="10"/>
      <c r="P590" s="10"/>
      <c r="Q590" s="5"/>
      <c r="R590" s="5"/>
      <c r="S590" s="5"/>
      <c r="T590" s="5"/>
      <c r="U590" s="5"/>
      <c r="V590" s="5"/>
      <c r="W590" s="12"/>
      <c r="X590" s="12"/>
      <c r="Y590" s="12"/>
      <c r="Z590" s="12"/>
      <c r="AA590" s="12"/>
      <c r="AB590" s="12"/>
      <c r="AC590" s="12"/>
      <c r="AD590" s="12"/>
      <c r="AE590" s="12"/>
      <c r="AF590" s="12"/>
      <c r="AG590" s="12"/>
      <c r="AH590" s="12"/>
      <c r="AI590" s="12"/>
      <c r="AJ590" s="12"/>
      <c r="AK590" s="12"/>
      <c r="AL590" s="12"/>
      <c r="AM590" s="6"/>
      <c r="AN590" s="6"/>
      <c r="AO590" s="6"/>
      <c r="AP590" s="6"/>
      <c r="AQ590" s="6"/>
      <c r="AR590" s="6"/>
      <c r="AS590" s="6"/>
      <c r="AT590" s="6"/>
      <c r="AU590" s="6"/>
      <c r="AV590" s="6"/>
      <c r="AW590" s="6"/>
      <c r="AX590" s="6"/>
      <c r="AY590" s="6"/>
      <c r="AZ590" s="6"/>
      <c r="BA590" s="6"/>
      <c r="BB590" s="6"/>
      <c r="BC590" s="6"/>
      <c r="BD590" s="6"/>
      <c r="BE590" s="6"/>
      <c r="BF590" s="6"/>
      <c r="BG590" s="6"/>
      <c r="BH590" s="6"/>
      <c r="BI590" s="6"/>
      <c r="BJ590" s="6"/>
      <c r="BK590" s="6"/>
      <c r="BL590" s="6"/>
      <c r="BM590" s="6"/>
      <c r="BN590" s="6"/>
      <c r="BO590" s="6"/>
      <c r="BP590" s="6"/>
      <c r="BQ590" s="6"/>
    </row>
    <row r="591" spans="2:69" ht="15.75" hidden="1" customHeight="1" x14ac:dyDescent="0.2">
      <c r="B591" s="5"/>
      <c r="C591" s="8"/>
      <c r="D591" s="8"/>
      <c r="E591" s="8"/>
      <c r="F591" s="8"/>
      <c r="G591" s="7"/>
      <c r="H591" s="7"/>
      <c r="I591" s="7"/>
      <c r="J591" s="7"/>
      <c r="K591" s="7"/>
      <c r="L591" s="7"/>
      <c r="M591" s="7"/>
      <c r="N591" s="10"/>
      <c r="O591" s="10"/>
      <c r="P591" s="10"/>
      <c r="Q591" s="5"/>
      <c r="R591" s="5"/>
      <c r="S591" s="5"/>
      <c r="T591" s="5"/>
      <c r="U591" s="5"/>
      <c r="V591" s="5"/>
      <c r="W591" s="12"/>
      <c r="X591" s="12"/>
      <c r="Y591" s="12"/>
      <c r="Z591" s="12"/>
      <c r="AA591" s="12"/>
      <c r="AB591" s="12"/>
      <c r="AC591" s="12"/>
      <c r="AD591" s="12"/>
      <c r="AE591" s="12"/>
      <c r="AF591" s="12"/>
      <c r="AG591" s="12"/>
      <c r="AH591" s="12"/>
      <c r="AI591" s="12"/>
      <c r="AJ591" s="12"/>
      <c r="AK591" s="12"/>
      <c r="AL591" s="12"/>
      <c r="AM591" s="6"/>
      <c r="AN591" s="6"/>
      <c r="AO591" s="6"/>
      <c r="AP591" s="6"/>
      <c r="AQ591" s="6"/>
      <c r="AR591" s="6"/>
      <c r="AS591" s="6"/>
      <c r="AT591" s="6"/>
      <c r="AU591" s="6"/>
      <c r="AV591" s="6"/>
      <c r="AW591" s="6"/>
      <c r="AX591" s="6"/>
      <c r="AY591" s="6"/>
      <c r="AZ591" s="6"/>
      <c r="BA591" s="6"/>
      <c r="BB591" s="6"/>
      <c r="BC591" s="6"/>
      <c r="BD591" s="6"/>
      <c r="BE591" s="6"/>
      <c r="BF591" s="6"/>
      <c r="BG591" s="6"/>
      <c r="BH591" s="6"/>
      <c r="BI591" s="6"/>
      <c r="BJ591" s="6"/>
      <c r="BK591" s="6"/>
      <c r="BL591" s="6"/>
      <c r="BM591" s="6"/>
      <c r="BN591" s="6"/>
      <c r="BO591" s="6"/>
      <c r="BP591" s="6"/>
      <c r="BQ591" s="6"/>
    </row>
    <row r="592" spans="2:69" ht="15.75" hidden="1" customHeight="1" x14ac:dyDescent="0.2">
      <c r="B592" s="5"/>
      <c r="C592" s="8"/>
      <c r="D592" s="8"/>
      <c r="E592" s="8"/>
      <c r="F592" s="8"/>
      <c r="G592" s="7"/>
      <c r="H592" s="7"/>
      <c r="I592" s="7"/>
      <c r="J592" s="7"/>
      <c r="K592" s="7"/>
      <c r="L592" s="7"/>
      <c r="M592" s="7"/>
      <c r="N592" s="10"/>
      <c r="O592" s="10"/>
      <c r="P592" s="10"/>
      <c r="Q592" s="5"/>
      <c r="R592" s="5"/>
      <c r="S592" s="5"/>
      <c r="T592" s="5"/>
      <c r="U592" s="5"/>
      <c r="V592" s="5"/>
      <c r="W592" s="12"/>
      <c r="X592" s="12"/>
      <c r="Y592" s="12"/>
      <c r="Z592" s="12"/>
      <c r="AA592" s="12"/>
      <c r="AB592" s="12"/>
      <c r="AC592" s="12"/>
      <c r="AD592" s="12"/>
      <c r="AE592" s="12"/>
      <c r="AF592" s="12"/>
      <c r="AG592" s="12"/>
      <c r="AH592" s="12"/>
      <c r="AI592" s="12"/>
      <c r="AJ592" s="12"/>
      <c r="AK592" s="12"/>
      <c r="AL592" s="12"/>
    </row>
    <row r="593" spans="2:69" ht="15.75" hidden="1" customHeight="1" x14ac:dyDescent="0.2">
      <c r="B593" s="5"/>
      <c r="C593" s="8"/>
      <c r="D593" s="8"/>
      <c r="E593" s="8"/>
      <c r="F593" s="8"/>
      <c r="G593" s="7"/>
      <c r="H593" s="7"/>
      <c r="I593" s="7"/>
      <c r="J593" s="7"/>
      <c r="K593" s="7"/>
      <c r="L593" s="7"/>
      <c r="M593" s="7"/>
      <c r="N593" s="10"/>
      <c r="O593" s="10"/>
      <c r="P593" s="10"/>
      <c r="Q593" s="5"/>
      <c r="R593" s="5"/>
      <c r="S593" s="5"/>
      <c r="T593" s="5"/>
      <c r="U593" s="5"/>
      <c r="V593" s="5"/>
      <c r="W593" s="12"/>
      <c r="X593" s="12"/>
      <c r="Y593" s="12"/>
      <c r="Z593" s="12"/>
      <c r="AA593" s="12"/>
      <c r="AB593" s="12"/>
      <c r="AC593" s="12"/>
      <c r="AD593" s="12"/>
      <c r="AE593" s="12"/>
      <c r="AF593" s="12"/>
      <c r="AG593" s="12"/>
      <c r="AH593" s="12"/>
      <c r="AI593" s="12"/>
      <c r="AJ593" s="12"/>
      <c r="AK593" s="12"/>
      <c r="AL593" s="12"/>
    </row>
    <row r="594" spans="2:69" ht="15.75" hidden="1" customHeight="1" x14ac:dyDescent="0.2">
      <c r="B594" s="5"/>
      <c r="C594" s="8"/>
      <c r="D594" s="8"/>
      <c r="E594" s="8"/>
      <c r="F594" s="8"/>
      <c r="G594" s="7"/>
      <c r="H594" s="7"/>
      <c r="I594" s="7"/>
      <c r="J594" s="7"/>
      <c r="K594" s="7"/>
      <c r="L594" s="7"/>
      <c r="M594" s="7"/>
      <c r="N594" s="10"/>
      <c r="O594" s="10"/>
      <c r="P594" s="10"/>
      <c r="Q594" s="5"/>
      <c r="R594" s="5"/>
      <c r="S594" s="5"/>
      <c r="T594" s="5"/>
      <c r="U594" s="5"/>
      <c r="V594" s="5"/>
      <c r="W594" s="12"/>
      <c r="X594" s="12"/>
      <c r="Y594" s="12"/>
      <c r="Z594" s="12"/>
      <c r="AA594" s="12"/>
      <c r="AB594" s="12"/>
      <c r="AC594" s="12"/>
      <c r="AD594" s="12"/>
      <c r="AE594" s="12"/>
      <c r="AF594" s="12"/>
      <c r="AG594" s="12"/>
      <c r="AH594" s="12"/>
      <c r="AI594" s="12"/>
      <c r="AJ594" s="12"/>
      <c r="AK594" s="12"/>
      <c r="AL594" s="12"/>
    </row>
    <row r="595" spans="2:69" ht="15.75" hidden="1" customHeight="1" x14ac:dyDescent="0.2">
      <c r="B595" s="5"/>
      <c r="C595" s="8"/>
      <c r="D595" s="8"/>
      <c r="E595" s="8"/>
      <c r="F595" s="8"/>
      <c r="G595" s="7"/>
      <c r="H595" s="7"/>
      <c r="I595" s="7"/>
      <c r="J595" s="7"/>
      <c r="K595" s="7"/>
      <c r="L595" s="7"/>
      <c r="M595" s="7"/>
      <c r="N595" s="10"/>
      <c r="O595" s="10"/>
      <c r="P595" s="10"/>
      <c r="Q595" s="5"/>
      <c r="R595" s="5"/>
      <c r="S595" s="5"/>
      <c r="T595" s="5"/>
      <c r="U595" s="5"/>
      <c r="V595" s="5"/>
      <c r="W595" s="12"/>
      <c r="X595" s="12"/>
      <c r="Y595" s="12"/>
      <c r="Z595" s="12"/>
      <c r="AA595" s="12"/>
      <c r="AB595" s="12"/>
      <c r="AC595" s="12"/>
      <c r="AD595" s="12"/>
      <c r="AE595" s="12"/>
      <c r="AF595" s="12"/>
      <c r="AG595" s="12"/>
      <c r="AH595" s="12"/>
      <c r="AI595" s="12"/>
      <c r="AJ595" s="12"/>
      <c r="AK595" s="12"/>
      <c r="AL595" s="12"/>
    </row>
    <row r="596" spans="2:69" ht="15.75" hidden="1" customHeight="1" x14ac:dyDescent="0.25">
      <c r="B596" s="11"/>
      <c r="C596" s="14"/>
      <c r="D596" s="14"/>
      <c r="E596" s="9"/>
      <c r="F596" s="9"/>
      <c r="G596" s="7"/>
      <c r="H596" s="7"/>
      <c r="I596" s="7"/>
      <c r="J596" s="7"/>
      <c r="K596" s="7"/>
      <c r="L596" s="7"/>
      <c r="M596" s="7"/>
      <c r="N596" s="10"/>
      <c r="O596" s="10"/>
      <c r="P596" s="10"/>
      <c r="Q596" s="5"/>
      <c r="R596" s="5"/>
      <c r="S596" s="5"/>
      <c r="T596" s="5"/>
      <c r="U596" s="5"/>
      <c r="V596" s="5"/>
      <c r="W596" s="12"/>
      <c r="X596" s="12"/>
      <c r="Y596" s="12"/>
      <c r="Z596" s="12"/>
      <c r="AA596" s="12"/>
      <c r="AB596" s="12"/>
      <c r="AC596" s="12"/>
      <c r="AD596" s="12"/>
      <c r="AE596" s="12"/>
      <c r="AF596" s="12"/>
      <c r="AG596" s="12"/>
      <c r="AH596" s="12"/>
      <c r="AI596" s="12"/>
      <c r="AJ596" s="12"/>
      <c r="AK596" s="12"/>
      <c r="AL596" s="12"/>
    </row>
    <row r="597" spans="2:69" hidden="1" x14ac:dyDescent="0.2">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c r="AM597" s="6"/>
      <c r="AN597" s="6"/>
      <c r="AO597" s="6"/>
      <c r="AP597" s="6"/>
      <c r="AQ597" s="6"/>
      <c r="AR597" s="6"/>
      <c r="AS597" s="6"/>
      <c r="AT597" s="6"/>
      <c r="AU597" s="6"/>
      <c r="AV597" s="6"/>
      <c r="AW597" s="6"/>
      <c r="AX597" s="6"/>
      <c r="AY597" s="6"/>
      <c r="AZ597" s="6"/>
      <c r="BA597" s="6"/>
      <c r="BB597" s="6"/>
      <c r="BC597" s="6"/>
      <c r="BD597" s="6"/>
      <c r="BE597" s="6"/>
      <c r="BF597" s="6"/>
      <c r="BG597" s="6"/>
      <c r="BH597" s="6"/>
      <c r="BI597" s="6"/>
      <c r="BJ597" s="6"/>
      <c r="BK597" s="6"/>
      <c r="BL597" s="6"/>
      <c r="BM597" s="6"/>
      <c r="BN597" s="6"/>
      <c r="BO597" s="6"/>
      <c r="BP597" s="6"/>
      <c r="BQ597" s="6"/>
    </row>
    <row r="598" spans="2:69" hidden="1" x14ac:dyDescent="0.2">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c r="AM598" s="6"/>
      <c r="AN598" s="6"/>
      <c r="AO598" s="6"/>
      <c r="AP598" s="6"/>
      <c r="AQ598" s="6"/>
      <c r="AR598" s="6"/>
      <c r="AS598" s="6"/>
      <c r="AT598" s="6"/>
      <c r="AU598" s="6"/>
      <c r="AV598" s="6"/>
      <c r="AW598" s="6"/>
      <c r="AX598" s="6"/>
      <c r="AY598" s="6"/>
      <c r="AZ598" s="6"/>
      <c r="BA598" s="6"/>
      <c r="BB598" s="6"/>
      <c r="BC598" s="6"/>
      <c r="BD598" s="6"/>
      <c r="BE598" s="6"/>
      <c r="BF598" s="6"/>
      <c r="BG598" s="6"/>
      <c r="BH598" s="6"/>
      <c r="BI598" s="6"/>
      <c r="BJ598" s="6"/>
      <c r="BK598" s="6"/>
      <c r="BL598" s="6"/>
      <c r="BM598" s="6"/>
      <c r="BN598" s="6"/>
      <c r="BO598" s="6"/>
      <c r="BP598" s="6"/>
      <c r="BQ598" s="6"/>
    </row>
    <row r="599" spans="2:69" hidden="1" x14ac:dyDescent="0.2">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c r="AM599" s="6"/>
      <c r="AN599" s="6"/>
      <c r="AO599" s="6"/>
      <c r="AP599" s="6"/>
      <c r="AQ599" s="6"/>
      <c r="AR599" s="6"/>
      <c r="AS599" s="6"/>
      <c r="AT599" s="6"/>
      <c r="AU599" s="6"/>
      <c r="AV599" s="6"/>
      <c r="AW599" s="6"/>
      <c r="AX599" s="6"/>
      <c r="AY599" s="6"/>
      <c r="AZ599" s="6"/>
      <c r="BA599" s="6"/>
      <c r="BB599" s="6"/>
      <c r="BC599" s="6"/>
      <c r="BD599" s="6"/>
      <c r="BE599" s="6"/>
      <c r="BF599" s="6"/>
      <c r="BG599" s="6"/>
      <c r="BH599" s="6"/>
      <c r="BI599" s="6"/>
      <c r="BJ599" s="6"/>
      <c r="BK599" s="6"/>
      <c r="BL599" s="6"/>
      <c r="BM599" s="6"/>
      <c r="BN599" s="6"/>
      <c r="BO599" s="6"/>
      <c r="BP599" s="6"/>
      <c r="BQ599" s="6"/>
    </row>
    <row r="600" spans="2:69" hidden="1" x14ac:dyDescent="0.2">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c r="AM600" s="6"/>
      <c r="AN600" s="6"/>
      <c r="AO600" s="6"/>
      <c r="AP600" s="6"/>
      <c r="AQ600" s="6"/>
      <c r="AR600" s="6"/>
      <c r="AS600" s="6"/>
      <c r="AT600" s="6"/>
      <c r="AU600" s="6"/>
      <c r="AV600" s="6"/>
      <c r="AW600" s="6"/>
      <c r="AX600" s="6"/>
      <c r="AY600" s="6"/>
      <c r="AZ600" s="6"/>
      <c r="BA600" s="6"/>
      <c r="BB600" s="6"/>
      <c r="BC600" s="6"/>
      <c r="BD600" s="6"/>
      <c r="BE600" s="6"/>
      <c r="BF600" s="6"/>
      <c r="BG600" s="6"/>
      <c r="BH600" s="6"/>
      <c r="BI600" s="6"/>
      <c r="BJ600" s="6"/>
      <c r="BK600" s="6"/>
      <c r="BL600" s="6"/>
      <c r="BM600" s="6"/>
      <c r="BN600" s="6"/>
      <c r="BO600" s="6"/>
      <c r="BP600" s="6"/>
      <c r="BQ600" s="6"/>
    </row>
    <row r="601" spans="2:69" hidden="1" x14ac:dyDescent="0.2">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c r="AM601" s="6"/>
      <c r="AN601" s="6"/>
      <c r="AO601" s="6"/>
      <c r="AP601" s="6"/>
      <c r="AQ601" s="6"/>
      <c r="AR601" s="6"/>
      <c r="AS601" s="6"/>
      <c r="AT601" s="6"/>
      <c r="AU601" s="6"/>
      <c r="AV601" s="6"/>
      <c r="AW601" s="6"/>
      <c r="AX601" s="6"/>
      <c r="AY601" s="6"/>
      <c r="AZ601" s="6"/>
      <c r="BA601" s="6"/>
      <c r="BB601" s="6"/>
      <c r="BC601" s="6"/>
      <c r="BD601" s="6"/>
      <c r="BE601" s="6"/>
      <c r="BF601" s="6"/>
      <c r="BG601" s="6"/>
      <c r="BH601" s="6"/>
      <c r="BI601" s="6"/>
      <c r="BJ601" s="6"/>
      <c r="BK601" s="6"/>
      <c r="BL601" s="6"/>
      <c r="BM601" s="6"/>
      <c r="BN601" s="6"/>
      <c r="BO601" s="6"/>
      <c r="BP601" s="6"/>
      <c r="BQ601" s="6"/>
    </row>
    <row r="602" spans="2:69" hidden="1" x14ac:dyDescent="0.2">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c r="AM602" s="6"/>
      <c r="AN602" s="6"/>
      <c r="AO602" s="6"/>
      <c r="AP602" s="6"/>
      <c r="AQ602" s="6"/>
      <c r="AR602" s="6"/>
      <c r="AS602" s="6"/>
      <c r="AT602" s="6"/>
      <c r="AU602" s="6"/>
      <c r="AV602" s="6"/>
      <c r="AW602" s="6"/>
      <c r="AX602" s="6"/>
      <c r="AY602" s="6"/>
      <c r="AZ602" s="6"/>
      <c r="BA602" s="6"/>
      <c r="BB602" s="6"/>
      <c r="BC602" s="6"/>
      <c r="BD602" s="6"/>
      <c r="BE602" s="6"/>
      <c r="BF602" s="6"/>
      <c r="BG602" s="6"/>
      <c r="BH602" s="6"/>
      <c r="BI602" s="6"/>
      <c r="BJ602" s="6"/>
      <c r="BK602" s="6"/>
      <c r="BL602" s="6"/>
      <c r="BM602" s="6"/>
      <c r="BN602" s="6"/>
      <c r="BO602" s="6"/>
      <c r="BP602" s="6"/>
      <c r="BQ602" s="6"/>
    </row>
    <row r="603" spans="2:69" hidden="1" x14ac:dyDescent="0.2">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c r="AM603" s="6"/>
      <c r="AN603" s="6"/>
      <c r="AO603" s="6"/>
      <c r="AP603" s="6"/>
      <c r="AQ603" s="6"/>
      <c r="AR603" s="6"/>
      <c r="AS603" s="6"/>
      <c r="AT603" s="6"/>
      <c r="AU603" s="6"/>
      <c r="AV603" s="6"/>
      <c r="AW603" s="6"/>
      <c r="AX603" s="6"/>
      <c r="AY603" s="6"/>
      <c r="AZ603" s="6"/>
      <c r="BA603" s="6"/>
      <c r="BB603" s="6"/>
      <c r="BC603" s="6"/>
      <c r="BD603" s="6"/>
      <c r="BE603" s="6"/>
      <c r="BF603" s="6"/>
      <c r="BG603" s="6"/>
      <c r="BH603" s="6"/>
      <c r="BI603" s="6"/>
      <c r="BJ603" s="6"/>
      <c r="BK603" s="6"/>
      <c r="BL603" s="6"/>
      <c r="BM603" s="6"/>
      <c r="BN603" s="6"/>
      <c r="BO603" s="6"/>
      <c r="BP603" s="6"/>
      <c r="BQ603" s="6"/>
    </row>
    <row r="604" spans="2:69" hidden="1" x14ac:dyDescent="0.2">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c r="AM604" s="6"/>
      <c r="AN604" s="6"/>
      <c r="AO604" s="6"/>
      <c r="AP604" s="6"/>
      <c r="AQ604" s="6"/>
      <c r="AR604" s="6"/>
      <c r="AS604" s="6"/>
      <c r="AT604" s="6"/>
      <c r="AU604" s="6"/>
      <c r="AV604" s="6"/>
      <c r="AW604" s="6"/>
      <c r="AX604" s="6"/>
      <c r="AY604" s="6"/>
      <c r="AZ604" s="6"/>
      <c r="BA604" s="6"/>
      <c r="BB604" s="6"/>
      <c r="BC604" s="6"/>
      <c r="BD604" s="6"/>
      <c r="BE604" s="6"/>
      <c r="BF604" s="6"/>
      <c r="BG604" s="6"/>
      <c r="BH604" s="6"/>
      <c r="BI604" s="6"/>
      <c r="BJ604" s="6"/>
      <c r="BK604" s="6"/>
      <c r="BL604" s="6"/>
      <c r="BM604" s="6"/>
      <c r="BN604" s="6"/>
      <c r="BO604" s="6"/>
      <c r="BP604" s="6"/>
      <c r="BQ604" s="6"/>
    </row>
    <row r="605" spans="2:69" hidden="1" x14ac:dyDescent="0.2">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c r="AM605" s="6"/>
      <c r="AN605" s="6"/>
      <c r="AO605" s="6"/>
      <c r="AP605" s="6"/>
      <c r="AQ605" s="6"/>
      <c r="AR605" s="6"/>
      <c r="AS605" s="6"/>
      <c r="AT605" s="6"/>
      <c r="AU605" s="6"/>
      <c r="AV605" s="6"/>
      <c r="AW605" s="6"/>
      <c r="AX605" s="6"/>
      <c r="AY605" s="6"/>
      <c r="AZ605" s="6"/>
      <c r="BA605" s="6"/>
      <c r="BB605" s="6"/>
      <c r="BC605" s="6"/>
      <c r="BD605" s="6"/>
      <c r="BE605" s="6"/>
      <c r="BF605" s="6"/>
      <c r="BG605" s="6"/>
      <c r="BH605" s="6"/>
      <c r="BI605" s="6"/>
      <c r="BJ605" s="6"/>
      <c r="BK605" s="6"/>
      <c r="BL605" s="6"/>
      <c r="BM605" s="6"/>
      <c r="BN605" s="6"/>
      <c r="BO605" s="6"/>
      <c r="BP605" s="6"/>
      <c r="BQ605" s="6"/>
    </row>
    <row r="606" spans="2:69" hidden="1" x14ac:dyDescent="0.2">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c r="AM606" s="6"/>
      <c r="AN606" s="6"/>
      <c r="AO606" s="6"/>
      <c r="AP606" s="6"/>
      <c r="AQ606" s="6"/>
      <c r="AR606" s="6"/>
      <c r="AS606" s="6"/>
      <c r="AT606" s="6"/>
      <c r="AU606" s="6"/>
      <c r="AV606" s="6"/>
      <c r="AW606" s="6"/>
      <c r="AX606" s="6"/>
      <c r="AY606" s="6"/>
      <c r="AZ606" s="6"/>
      <c r="BA606" s="6"/>
      <c r="BB606" s="6"/>
      <c r="BC606" s="6"/>
      <c r="BD606" s="6"/>
      <c r="BE606" s="6"/>
      <c r="BF606" s="6"/>
      <c r="BG606" s="6"/>
      <c r="BH606" s="6"/>
      <c r="BI606" s="6"/>
      <c r="BJ606" s="6"/>
      <c r="BK606" s="6"/>
      <c r="BL606" s="6"/>
      <c r="BM606" s="6"/>
      <c r="BN606" s="6"/>
      <c r="BO606" s="6"/>
      <c r="BP606" s="6"/>
      <c r="BQ606" s="6"/>
    </row>
    <row r="607" spans="2:69" hidden="1" x14ac:dyDescent="0.2">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c r="AM607" s="6"/>
      <c r="AN607" s="6"/>
      <c r="AO607" s="6"/>
      <c r="AP607" s="6"/>
      <c r="AQ607" s="6"/>
      <c r="AR607" s="6"/>
      <c r="AS607" s="6"/>
      <c r="AT607" s="6"/>
      <c r="AU607" s="6"/>
      <c r="AV607" s="6"/>
      <c r="AW607" s="6"/>
      <c r="AX607" s="6"/>
      <c r="AY607" s="6"/>
      <c r="AZ607" s="6"/>
      <c r="BA607" s="6"/>
      <c r="BB607" s="6"/>
      <c r="BC607" s="6"/>
      <c r="BD607" s="6"/>
      <c r="BE607" s="6"/>
      <c r="BF607" s="6"/>
      <c r="BG607" s="6"/>
      <c r="BH607" s="6"/>
      <c r="BI607" s="6"/>
      <c r="BJ607" s="6"/>
      <c r="BK607" s="6"/>
      <c r="BL607" s="6"/>
      <c r="BM607" s="6"/>
      <c r="BN607" s="6"/>
      <c r="BO607" s="6"/>
      <c r="BP607" s="6"/>
      <c r="BQ607" s="6"/>
    </row>
    <row r="608" spans="2:69" hidden="1" x14ac:dyDescent="0.2">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c r="AM608" s="6"/>
      <c r="AN608" s="6"/>
      <c r="AO608" s="6"/>
      <c r="AP608" s="6"/>
      <c r="AQ608" s="6"/>
      <c r="AR608" s="6"/>
      <c r="AS608" s="6"/>
      <c r="AT608" s="6"/>
      <c r="AU608" s="6"/>
      <c r="AV608" s="6"/>
      <c r="AW608" s="6"/>
      <c r="AX608" s="6"/>
      <c r="AY608" s="6"/>
      <c r="AZ608" s="6"/>
      <c r="BA608" s="6"/>
      <c r="BB608" s="6"/>
      <c r="BC608" s="6"/>
      <c r="BD608" s="6"/>
      <c r="BE608" s="6"/>
      <c r="BF608" s="6"/>
      <c r="BG608" s="6"/>
      <c r="BH608" s="6"/>
      <c r="BI608" s="6"/>
      <c r="BJ608" s="6"/>
      <c r="BK608" s="6"/>
      <c r="BL608" s="6"/>
      <c r="BM608" s="6"/>
      <c r="BN608" s="6"/>
      <c r="BO608" s="6"/>
      <c r="BP608" s="6"/>
      <c r="BQ608" s="6"/>
    </row>
    <row r="609" spans="2:69" hidden="1" x14ac:dyDescent="0.2">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M609" s="6"/>
      <c r="AN609" s="6"/>
      <c r="AO609" s="6"/>
      <c r="AP609" s="6"/>
      <c r="AQ609" s="6"/>
      <c r="AR609" s="6"/>
      <c r="AS609" s="6"/>
      <c r="AT609" s="6"/>
      <c r="AU609" s="6"/>
      <c r="AV609" s="6"/>
      <c r="AW609" s="6"/>
      <c r="AX609" s="6"/>
      <c r="AY609" s="6"/>
      <c r="AZ609" s="6"/>
      <c r="BA609" s="6"/>
      <c r="BB609" s="6"/>
      <c r="BC609" s="6"/>
      <c r="BD609" s="6"/>
      <c r="BE609" s="6"/>
      <c r="BF609" s="6"/>
      <c r="BG609" s="6"/>
      <c r="BH609" s="6"/>
      <c r="BI609" s="6"/>
      <c r="BJ609" s="6"/>
      <c r="BK609" s="6"/>
      <c r="BL609" s="6"/>
      <c r="BM609" s="6"/>
      <c r="BN609" s="6"/>
      <c r="BO609" s="6"/>
      <c r="BP609" s="6"/>
      <c r="BQ609" s="6"/>
    </row>
    <row r="610" spans="2:69" hidden="1" x14ac:dyDescent="0.2">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c r="AM610" s="6"/>
      <c r="AN610" s="6"/>
      <c r="AO610" s="6"/>
      <c r="AP610" s="6"/>
      <c r="AQ610" s="6"/>
      <c r="AR610" s="6"/>
      <c r="AS610" s="6"/>
      <c r="AT610" s="6"/>
      <c r="AU610" s="6"/>
      <c r="AV610" s="6"/>
      <c r="AW610" s="6"/>
      <c r="AX610" s="6"/>
      <c r="AY610" s="6"/>
      <c r="AZ610" s="6"/>
      <c r="BA610" s="6"/>
      <c r="BB610" s="6"/>
      <c r="BC610" s="6"/>
      <c r="BD610" s="6"/>
      <c r="BE610" s="6"/>
      <c r="BF610" s="6"/>
      <c r="BG610" s="6"/>
      <c r="BH610" s="6"/>
      <c r="BI610" s="6"/>
      <c r="BJ610" s="6"/>
      <c r="BK610" s="6"/>
      <c r="BL610" s="6"/>
      <c r="BM610" s="6"/>
      <c r="BN610" s="6"/>
      <c r="BO610" s="6"/>
      <c r="BP610" s="6"/>
      <c r="BQ610" s="6"/>
    </row>
    <row r="611" spans="2:69" hidden="1" x14ac:dyDescent="0.2">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c r="AM611" s="6"/>
      <c r="AN611" s="6"/>
      <c r="AO611" s="6"/>
      <c r="AP611" s="6"/>
      <c r="AQ611" s="6"/>
      <c r="AR611" s="6"/>
      <c r="AS611" s="6"/>
      <c r="AT611" s="6"/>
      <c r="AU611" s="6"/>
      <c r="AV611" s="6"/>
      <c r="AW611" s="6"/>
      <c r="AX611" s="6"/>
      <c r="AY611" s="6"/>
      <c r="AZ611" s="6"/>
      <c r="BA611" s="6"/>
      <c r="BB611" s="6"/>
      <c r="BC611" s="6"/>
      <c r="BD611" s="6"/>
      <c r="BE611" s="6"/>
      <c r="BF611" s="6"/>
      <c r="BG611" s="6"/>
      <c r="BH611" s="6"/>
      <c r="BI611" s="6"/>
      <c r="BJ611" s="6"/>
      <c r="BK611" s="6"/>
      <c r="BL611" s="6"/>
      <c r="BM611" s="6"/>
      <c r="BN611" s="6"/>
      <c r="BO611" s="6"/>
      <c r="BP611" s="6"/>
      <c r="BQ611" s="6"/>
    </row>
    <row r="612" spans="2:69" hidden="1" x14ac:dyDescent="0.2">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c r="AM612" s="6"/>
      <c r="AN612" s="6"/>
      <c r="AO612" s="6"/>
      <c r="AP612" s="6"/>
      <c r="AQ612" s="6"/>
      <c r="AR612" s="6"/>
      <c r="AS612" s="6"/>
      <c r="AT612" s="6"/>
      <c r="AU612" s="6"/>
      <c r="AV612" s="6"/>
      <c r="AW612" s="6"/>
      <c r="AX612" s="6"/>
      <c r="AY612" s="6"/>
      <c r="AZ612" s="6"/>
      <c r="BA612" s="6"/>
      <c r="BB612" s="6"/>
      <c r="BC612" s="6"/>
      <c r="BD612" s="6"/>
      <c r="BE612" s="6"/>
      <c r="BF612" s="6"/>
      <c r="BG612" s="6"/>
      <c r="BH612" s="6"/>
      <c r="BI612" s="6"/>
      <c r="BJ612" s="6"/>
      <c r="BK612" s="6"/>
      <c r="BL612" s="6"/>
      <c r="BM612" s="6"/>
      <c r="BN612" s="6"/>
      <c r="BO612" s="6"/>
      <c r="BP612" s="6"/>
      <c r="BQ612" s="6"/>
    </row>
    <row r="613" spans="2:69" hidden="1" x14ac:dyDescent="0.2">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c r="AM613" s="6"/>
      <c r="AN613" s="6"/>
      <c r="AO613" s="6"/>
      <c r="AP613" s="6"/>
      <c r="AQ613" s="6"/>
      <c r="AR613" s="6"/>
      <c r="AS613" s="6"/>
      <c r="AT613" s="6"/>
      <c r="AU613" s="6"/>
      <c r="AV613" s="6"/>
      <c r="AW613" s="6"/>
      <c r="AX613" s="6"/>
      <c r="AY613" s="6"/>
      <c r="AZ613" s="6"/>
      <c r="BA613" s="6"/>
      <c r="BB613" s="6"/>
      <c r="BC613" s="6"/>
      <c r="BD613" s="6"/>
      <c r="BE613" s="6"/>
      <c r="BF613" s="6"/>
      <c r="BG613" s="6"/>
      <c r="BH613" s="6"/>
      <c r="BI613" s="6"/>
      <c r="BJ613" s="6"/>
      <c r="BK613" s="6"/>
      <c r="BL613" s="6"/>
      <c r="BM613" s="6"/>
      <c r="BN613" s="6"/>
      <c r="BO613" s="6"/>
      <c r="BP613" s="6"/>
      <c r="BQ613" s="6"/>
    </row>
    <row r="614" spans="2:69" hidden="1" x14ac:dyDescent="0.2">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c r="AM614" s="6"/>
      <c r="AN614" s="6"/>
      <c r="AO614" s="6"/>
      <c r="AP614" s="6"/>
      <c r="AQ614" s="6"/>
      <c r="AR614" s="6"/>
      <c r="AS614" s="6"/>
      <c r="AT614" s="6"/>
      <c r="AU614" s="6"/>
      <c r="AV614" s="6"/>
      <c r="AW614" s="6"/>
      <c r="AX614" s="6"/>
      <c r="AY614" s="6"/>
      <c r="AZ614" s="6"/>
      <c r="BA614" s="6"/>
      <c r="BB614" s="6"/>
      <c r="BC614" s="6"/>
      <c r="BD614" s="6"/>
      <c r="BE614" s="6"/>
      <c r="BF614" s="6"/>
      <c r="BG614" s="6"/>
      <c r="BH614" s="6"/>
      <c r="BI614" s="6"/>
      <c r="BJ614" s="6"/>
      <c r="BK614" s="6"/>
      <c r="BL614" s="6"/>
      <c r="BM614" s="6"/>
      <c r="BN614" s="6"/>
      <c r="BO614" s="6"/>
      <c r="BP614" s="6"/>
      <c r="BQ614" s="6"/>
    </row>
    <row r="615" spans="2:69" hidden="1" x14ac:dyDescent="0.2">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c r="AM615" s="6"/>
      <c r="AN615" s="6"/>
      <c r="AO615" s="6"/>
      <c r="AP615" s="6"/>
      <c r="AQ615" s="6"/>
      <c r="AR615" s="6"/>
      <c r="AS615" s="6"/>
      <c r="AT615" s="6"/>
      <c r="AU615" s="6"/>
      <c r="AV615" s="6"/>
      <c r="AW615" s="6"/>
      <c r="AX615" s="6"/>
      <c r="AY615" s="6"/>
      <c r="AZ615" s="6"/>
      <c r="BA615" s="6"/>
      <c r="BB615" s="6"/>
      <c r="BC615" s="6"/>
      <c r="BD615" s="6"/>
      <c r="BE615" s="6"/>
      <c r="BF615" s="6"/>
      <c r="BG615" s="6"/>
      <c r="BH615" s="6"/>
      <c r="BI615" s="6"/>
      <c r="BJ615" s="6"/>
      <c r="BK615" s="6"/>
      <c r="BL615" s="6"/>
      <c r="BM615" s="6"/>
      <c r="BN615" s="6"/>
      <c r="BO615" s="6"/>
      <c r="BP615" s="6"/>
      <c r="BQ615" s="6"/>
    </row>
    <row r="616" spans="2:69" hidden="1" x14ac:dyDescent="0.2">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c r="AM616" s="6"/>
      <c r="AN616" s="6"/>
      <c r="AO616" s="6"/>
      <c r="AP616" s="6"/>
      <c r="AQ616" s="6"/>
      <c r="AR616" s="6"/>
      <c r="AS616" s="6"/>
      <c r="AT616" s="6"/>
      <c r="AU616" s="6"/>
      <c r="AV616" s="6"/>
      <c r="AW616" s="6"/>
      <c r="AX616" s="6"/>
      <c r="AY616" s="6"/>
      <c r="AZ616" s="6"/>
      <c r="BA616" s="6"/>
      <c r="BB616" s="6"/>
      <c r="BC616" s="6"/>
      <c r="BD616" s="6"/>
      <c r="BE616" s="6"/>
      <c r="BF616" s="6"/>
      <c r="BG616" s="6"/>
      <c r="BH616" s="6"/>
      <c r="BI616" s="6"/>
      <c r="BJ616" s="6"/>
      <c r="BK616" s="6"/>
      <c r="BL616" s="6"/>
      <c r="BM616" s="6"/>
      <c r="BN616" s="6"/>
      <c r="BO616" s="6"/>
      <c r="BP616" s="6"/>
      <c r="BQ616" s="6"/>
    </row>
    <row r="617" spans="2:69" hidden="1" x14ac:dyDescent="0.2">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c r="AM617" s="6"/>
      <c r="AN617" s="6"/>
      <c r="AO617" s="6"/>
      <c r="AP617" s="6"/>
      <c r="AQ617" s="6"/>
      <c r="AR617" s="6"/>
      <c r="AS617" s="6"/>
      <c r="AT617" s="6"/>
      <c r="AU617" s="6"/>
      <c r="AV617" s="6"/>
      <c r="AW617" s="6"/>
      <c r="AX617" s="6"/>
      <c r="AY617" s="6"/>
      <c r="AZ617" s="6"/>
      <c r="BA617" s="6"/>
      <c r="BB617" s="6"/>
      <c r="BC617" s="6"/>
      <c r="BD617" s="6"/>
      <c r="BE617" s="6"/>
      <c r="BF617" s="6"/>
      <c r="BG617" s="6"/>
      <c r="BH617" s="6"/>
      <c r="BI617" s="6"/>
      <c r="BJ617" s="6"/>
      <c r="BK617" s="6"/>
      <c r="BL617" s="6"/>
      <c r="BM617" s="6"/>
      <c r="BN617" s="6"/>
      <c r="BO617" s="6"/>
      <c r="BP617" s="6"/>
      <c r="BQ617" s="6"/>
    </row>
    <row r="618" spans="2:69" hidden="1" x14ac:dyDescent="0.2">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c r="AM618" s="6"/>
      <c r="AN618" s="6"/>
      <c r="AO618" s="6"/>
      <c r="AP618" s="6"/>
      <c r="AQ618" s="6"/>
      <c r="AR618" s="6"/>
      <c r="AS618" s="6"/>
      <c r="AT618" s="6"/>
      <c r="AU618" s="6"/>
      <c r="AV618" s="6"/>
      <c r="AW618" s="6"/>
      <c r="AX618" s="6"/>
      <c r="AY618" s="6"/>
      <c r="AZ618" s="6"/>
      <c r="BA618" s="6"/>
      <c r="BB618" s="6"/>
      <c r="BC618" s="6"/>
      <c r="BD618" s="6"/>
      <c r="BE618" s="6"/>
      <c r="BF618" s="6"/>
      <c r="BG618" s="6"/>
      <c r="BH618" s="6"/>
      <c r="BI618" s="6"/>
      <c r="BJ618" s="6"/>
      <c r="BK618" s="6"/>
      <c r="BL618" s="6"/>
      <c r="BM618" s="6"/>
      <c r="BN618" s="6"/>
      <c r="BO618" s="6"/>
      <c r="BP618" s="6"/>
      <c r="BQ618" s="6"/>
    </row>
    <row r="619" spans="2:69" hidden="1" x14ac:dyDescent="0.2">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c r="AM619" s="6"/>
      <c r="AN619" s="6"/>
      <c r="AO619" s="6"/>
      <c r="AP619" s="6"/>
      <c r="AQ619" s="6"/>
      <c r="AR619" s="6"/>
      <c r="AS619" s="6"/>
      <c r="AT619" s="6"/>
      <c r="AU619" s="6"/>
      <c r="AV619" s="6"/>
      <c r="AW619" s="6"/>
      <c r="AX619" s="6"/>
      <c r="AY619" s="6"/>
      <c r="AZ619" s="6"/>
      <c r="BA619" s="6"/>
      <c r="BB619" s="6"/>
      <c r="BC619" s="6"/>
      <c r="BD619" s="6"/>
      <c r="BE619" s="6"/>
      <c r="BF619" s="6"/>
      <c r="BG619" s="6"/>
      <c r="BH619" s="6"/>
      <c r="BI619" s="6"/>
      <c r="BJ619" s="6"/>
      <c r="BK619" s="6"/>
      <c r="BL619" s="6"/>
      <c r="BM619" s="6"/>
      <c r="BN619" s="6"/>
      <c r="BO619" s="6"/>
      <c r="BP619" s="6"/>
      <c r="BQ619" s="6"/>
    </row>
    <row r="620" spans="2:69" hidden="1" x14ac:dyDescent="0.2">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c r="AM620" s="6"/>
      <c r="AN620" s="6"/>
      <c r="AO620" s="6"/>
      <c r="AP620" s="6"/>
      <c r="AQ620" s="6"/>
      <c r="AR620" s="6"/>
      <c r="AS620" s="6"/>
      <c r="AT620" s="6"/>
      <c r="AU620" s="6"/>
      <c r="AV620" s="6"/>
      <c r="AW620" s="6"/>
      <c r="AX620" s="6"/>
      <c r="AY620" s="6"/>
      <c r="AZ620" s="6"/>
      <c r="BA620" s="6"/>
      <c r="BB620" s="6"/>
      <c r="BC620" s="6"/>
      <c r="BD620" s="6"/>
      <c r="BE620" s="6"/>
      <c r="BF620" s="6"/>
      <c r="BG620" s="6"/>
      <c r="BH620" s="6"/>
      <c r="BI620" s="6"/>
      <c r="BJ620" s="6"/>
      <c r="BK620" s="6"/>
      <c r="BL620" s="6"/>
      <c r="BM620" s="6"/>
      <c r="BN620" s="6"/>
      <c r="BO620" s="6"/>
      <c r="BP620" s="6"/>
      <c r="BQ620" s="6"/>
    </row>
    <row r="621" spans="2:69" hidden="1" x14ac:dyDescent="0.2">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c r="AM621" s="6"/>
      <c r="AN621" s="6"/>
      <c r="AO621" s="6"/>
      <c r="AP621" s="6"/>
      <c r="AQ621" s="6"/>
      <c r="AR621" s="6"/>
      <c r="AS621" s="6"/>
      <c r="AT621" s="6"/>
      <c r="AU621" s="6"/>
      <c r="AV621" s="6"/>
      <c r="AW621" s="6"/>
      <c r="AX621" s="6"/>
      <c r="AY621" s="6"/>
      <c r="AZ621" s="6"/>
      <c r="BA621" s="6"/>
      <c r="BB621" s="6"/>
      <c r="BC621" s="6"/>
      <c r="BD621" s="6"/>
      <c r="BE621" s="6"/>
      <c r="BF621" s="6"/>
      <c r="BG621" s="6"/>
      <c r="BH621" s="6"/>
      <c r="BI621" s="6"/>
      <c r="BJ621" s="6"/>
      <c r="BK621" s="6"/>
      <c r="BL621" s="6"/>
      <c r="BM621" s="6"/>
      <c r="BN621" s="6"/>
      <c r="BO621" s="6"/>
      <c r="BP621" s="6"/>
      <c r="BQ621" s="6"/>
    </row>
    <row r="622" spans="2:69" hidden="1" x14ac:dyDescent="0.2">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c r="AM622" s="6"/>
      <c r="AN622" s="6"/>
      <c r="AO622" s="6"/>
      <c r="AP622" s="6"/>
      <c r="AQ622" s="6"/>
      <c r="AR622" s="6"/>
      <c r="AS622" s="6"/>
      <c r="AT622" s="6"/>
      <c r="AU622" s="6"/>
      <c r="AV622" s="6"/>
      <c r="AW622" s="6"/>
      <c r="AX622" s="6"/>
      <c r="AY622" s="6"/>
      <c r="AZ622" s="6"/>
      <c r="BA622" s="6"/>
      <c r="BB622" s="6"/>
      <c r="BC622" s="6"/>
      <c r="BD622" s="6"/>
      <c r="BE622" s="6"/>
      <c r="BF622" s="6"/>
      <c r="BG622" s="6"/>
      <c r="BH622" s="6"/>
      <c r="BI622" s="6"/>
      <c r="BJ622" s="6"/>
      <c r="BK622" s="6"/>
      <c r="BL622" s="6"/>
      <c r="BM622" s="6"/>
      <c r="BN622" s="6"/>
      <c r="BO622" s="6"/>
      <c r="BP622" s="6"/>
      <c r="BQ622" s="6"/>
    </row>
    <row r="623" spans="2:69" hidden="1" x14ac:dyDescent="0.2">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c r="AM623" s="6"/>
      <c r="AN623" s="6"/>
      <c r="AO623" s="6"/>
      <c r="AP623" s="6"/>
      <c r="AQ623" s="6"/>
      <c r="AR623" s="6"/>
      <c r="AS623" s="6"/>
      <c r="AT623" s="6"/>
      <c r="AU623" s="6"/>
      <c r="AV623" s="6"/>
      <c r="AW623" s="6"/>
      <c r="AX623" s="6"/>
      <c r="AY623" s="6"/>
      <c r="AZ623" s="6"/>
      <c r="BA623" s="6"/>
      <c r="BB623" s="6"/>
      <c r="BC623" s="6"/>
      <c r="BD623" s="6"/>
      <c r="BE623" s="6"/>
      <c r="BF623" s="6"/>
      <c r="BG623" s="6"/>
      <c r="BH623" s="6"/>
      <c r="BI623" s="6"/>
      <c r="BJ623" s="6"/>
      <c r="BK623" s="6"/>
      <c r="BL623" s="6"/>
      <c r="BM623" s="6"/>
      <c r="BN623" s="6"/>
      <c r="BO623" s="6"/>
      <c r="BP623" s="6"/>
      <c r="BQ623" s="6"/>
    </row>
    <row r="624" spans="2:69" hidden="1" x14ac:dyDescent="0.2">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c r="AM624" s="6"/>
      <c r="AN624" s="6"/>
      <c r="AO624" s="6"/>
      <c r="AP624" s="6"/>
      <c r="AQ624" s="6"/>
      <c r="AR624" s="6"/>
      <c r="AS624" s="6"/>
      <c r="AT624" s="6"/>
      <c r="AU624" s="6"/>
      <c r="AV624" s="6"/>
      <c r="AW624" s="6"/>
      <c r="AX624" s="6"/>
      <c r="AY624" s="6"/>
      <c r="AZ624" s="6"/>
      <c r="BA624" s="6"/>
      <c r="BB624" s="6"/>
      <c r="BC624" s="6"/>
      <c r="BD624" s="6"/>
      <c r="BE624" s="6"/>
      <c r="BF624" s="6"/>
      <c r="BG624" s="6"/>
      <c r="BH624" s="6"/>
      <c r="BI624" s="6"/>
      <c r="BJ624" s="6"/>
      <c r="BK624" s="6"/>
      <c r="BL624" s="6"/>
      <c r="BM624" s="6"/>
      <c r="BN624" s="6"/>
      <c r="BO624" s="6"/>
      <c r="BP624" s="6"/>
      <c r="BQ624" s="6"/>
    </row>
    <row r="625" spans="2:69" hidden="1" x14ac:dyDescent="0.2">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c r="AM625" s="6"/>
      <c r="AN625" s="6"/>
      <c r="AO625" s="6"/>
      <c r="AP625" s="6"/>
      <c r="AQ625" s="6"/>
      <c r="AR625" s="6"/>
      <c r="AS625" s="6"/>
      <c r="AT625" s="6"/>
      <c r="AU625" s="6"/>
      <c r="AV625" s="6"/>
      <c r="AW625" s="6"/>
      <c r="AX625" s="6"/>
      <c r="AY625" s="6"/>
      <c r="AZ625" s="6"/>
      <c r="BA625" s="6"/>
      <c r="BB625" s="6"/>
      <c r="BC625" s="6"/>
      <c r="BD625" s="6"/>
      <c r="BE625" s="6"/>
      <c r="BF625" s="6"/>
      <c r="BG625" s="6"/>
      <c r="BH625" s="6"/>
      <c r="BI625" s="6"/>
      <c r="BJ625" s="6"/>
      <c r="BK625" s="6"/>
      <c r="BL625" s="6"/>
      <c r="BM625" s="6"/>
      <c r="BN625" s="6"/>
      <c r="BO625" s="6"/>
      <c r="BP625" s="6"/>
      <c r="BQ625" s="6"/>
    </row>
    <row r="626" spans="2:69" hidden="1" x14ac:dyDescent="0.2">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c r="AM626" s="6"/>
      <c r="AN626" s="6"/>
      <c r="AO626" s="6"/>
      <c r="AP626" s="6"/>
      <c r="AQ626" s="6"/>
      <c r="AR626" s="6"/>
      <c r="AS626" s="6"/>
      <c r="AT626" s="6"/>
      <c r="AU626" s="6"/>
      <c r="AV626" s="6"/>
      <c r="AW626" s="6"/>
      <c r="AX626" s="6"/>
      <c r="AY626" s="6"/>
      <c r="AZ626" s="6"/>
      <c r="BA626" s="6"/>
      <c r="BB626" s="6"/>
      <c r="BC626" s="6"/>
      <c r="BD626" s="6"/>
      <c r="BE626" s="6"/>
      <c r="BF626" s="6"/>
      <c r="BG626" s="6"/>
      <c r="BH626" s="6"/>
      <c r="BI626" s="6"/>
      <c r="BJ626" s="6"/>
      <c r="BK626" s="6"/>
      <c r="BL626" s="6"/>
      <c r="BM626" s="6"/>
      <c r="BN626" s="6"/>
      <c r="BO626" s="6"/>
      <c r="BP626" s="6"/>
      <c r="BQ626" s="6"/>
    </row>
    <row r="627" spans="2:69" hidden="1" x14ac:dyDescent="0.2">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c r="AM627" s="6"/>
      <c r="AN627" s="6"/>
      <c r="AO627" s="6"/>
      <c r="AP627" s="6"/>
      <c r="AQ627" s="6"/>
      <c r="AR627" s="6"/>
      <c r="AS627" s="6"/>
      <c r="AT627" s="6"/>
      <c r="AU627" s="6"/>
      <c r="AV627" s="6"/>
      <c r="AW627" s="6"/>
      <c r="AX627" s="6"/>
      <c r="AY627" s="6"/>
      <c r="AZ627" s="6"/>
      <c r="BA627" s="6"/>
      <c r="BB627" s="6"/>
      <c r="BC627" s="6"/>
      <c r="BD627" s="6"/>
      <c r="BE627" s="6"/>
      <c r="BF627" s="6"/>
      <c r="BG627" s="6"/>
      <c r="BH627" s="6"/>
      <c r="BI627" s="6"/>
      <c r="BJ627" s="6"/>
      <c r="BK627" s="6"/>
      <c r="BL627" s="6"/>
      <c r="BM627" s="6"/>
      <c r="BN627" s="6"/>
      <c r="BO627" s="6"/>
      <c r="BP627" s="6"/>
      <c r="BQ627" s="6"/>
    </row>
    <row r="628" spans="2:69" hidden="1" x14ac:dyDescent="0.2">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c r="AM628" s="6"/>
      <c r="AN628" s="6"/>
      <c r="AO628" s="6"/>
      <c r="AP628" s="6"/>
      <c r="AQ628" s="6"/>
      <c r="AR628" s="6"/>
      <c r="AS628" s="6"/>
      <c r="AT628" s="6"/>
      <c r="AU628" s="6"/>
      <c r="AV628" s="6"/>
      <c r="AW628" s="6"/>
      <c r="AX628" s="6"/>
      <c r="AY628" s="6"/>
      <c r="AZ628" s="6"/>
      <c r="BA628" s="6"/>
      <c r="BB628" s="6"/>
      <c r="BC628" s="6"/>
      <c r="BD628" s="6"/>
      <c r="BE628" s="6"/>
      <c r="BF628" s="6"/>
      <c r="BG628" s="6"/>
      <c r="BH628" s="6"/>
      <c r="BI628" s="6"/>
      <c r="BJ628" s="6"/>
      <c r="BK628" s="6"/>
      <c r="BL628" s="6"/>
      <c r="BM628" s="6"/>
      <c r="BN628" s="6"/>
      <c r="BO628" s="6"/>
      <c r="BP628" s="6"/>
      <c r="BQ628" s="6"/>
    </row>
    <row r="629" spans="2:69" hidden="1" x14ac:dyDescent="0.2">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c r="AM629" s="6"/>
      <c r="AN629" s="6"/>
      <c r="AO629" s="6"/>
      <c r="AP629" s="6"/>
      <c r="AQ629" s="6"/>
      <c r="AR629" s="6"/>
      <c r="AS629" s="6"/>
      <c r="AT629" s="6"/>
      <c r="AU629" s="6"/>
      <c r="AV629" s="6"/>
      <c r="AW629" s="6"/>
      <c r="AX629" s="6"/>
      <c r="AY629" s="6"/>
      <c r="AZ629" s="6"/>
      <c r="BA629" s="6"/>
      <c r="BB629" s="6"/>
      <c r="BC629" s="6"/>
      <c r="BD629" s="6"/>
      <c r="BE629" s="6"/>
      <c r="BF629" s="6"/>
      <c r="BG629" s="6"/>
      <c r="BH629" s="6"/>
      <c r="BI629" s="6"/>
      <c r="BJ629" s="6"/>
      <c r="BK629" s="6"/>
      <c r="BL629" s="6"/>
      <c r="BM629" s="6"/>
      <c r="BN629" s="6"/>
      <c r="BO629" s="6"/>
      <c r="BP629" s="6"/>
      <c r="BQ629" s="6"/>
    </row>
    <row r="630" spans="2:69" hidden="1" x14ac:dyDescent="0.2">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c r="AM630" s="6"/>
      <c r="AN630" s="6"/>
      <c r="AO630" s="6"/>
      <c r="AP630" s="6"/>
      <c r="AQ630" s="6"/>
      <c r="AR630" s="6"/>
      <c r="AS630" s="6"/>
      <c r="AT630" s="6"/>
      <c r="AU630" s="6"/>
      <c r="AV630" s="6"/>
      <c r="AW630" s="6"/>
      <c r="AX630" s="6"/>
      <c r="AY630" s="6"/>
      <c r="AZ630" s="6"/>
      <c r="BA630" s="6"/>
      <c r="BB630" s="6"/>
      <c r="BC630" s="6"/>
      <c r="BD630" s="6"/>
      <c r="BE630" s="6"/>
      <c r="BF630" s="6"/>
      <c r="BG630" s="6"/>
      <c r="BH630" s="6"/>
      <c r="BI630" s="6"/>
      <c r="BJ630" s="6"/>
      <c r="BK630" s="6"/>
      <c r="BL630" s="6"/>
      <c r="BM630" s="6"/>
      <c r="BN630" s="6"/>
      <c r="BO630" s="6"/>
      <c r="BP630" s="6"/>
      <c r="BQ630" s="6"/>
    </row>
    <row r="631" spans="2:69" hidden="1" x14ac:dyDescent="0.2">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c r="AM631" s="6"/>
      <c r="AN631" s="6"/>
      <c r="AO631" s="6"/>
      <c r="AP631" s="6"/>
      <c r="AQ631" s="6"/>
      <c r="AR631" s="6"/>
      <c r="AS631" s="6"/>
      <c r="AT631" s="6"/>
      <c r="AU631" s="6"/>
      <c r="AV631" s="6"/>
      <c r="AW631" s="6"/>
      <c r="AX631" s="6"/>
      <c r="AY631" s="6"/>
      <c r="AZ631" s="6"/>
      <c r="BA631" s="6"/>
      <c r="BB631" s="6"/>
      <c r="BC631" s="6"/>
      <c r="BD631" s="6"/>
      <c r="BE631" s="6"/>
      <c r="BF631" s="6"/>
      <c r="BG631" s="6"/>
      <c r="BH631" s="6"/>
      <c r="BI631" s="6"/>
      <c r="BJ631" s="6"/>
      <c r="BK631" s="6"/>
      <c r="BL631" s="6"/>
      <c r="BM631" s="6"/>
      <c r="BN631" s="6"/>
      <c r="BO631" s="6"/>
      <c r="BP631" s="6"/>
      <c r="BQ631" s="6"/>
    </row>
    <row r="632" spans="2:69" hidden="1" x14ac:dyDescent="0.2">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c r="AM632" s="6"/>
      <c r="AN632" s="6"/>
      <c r="AO632" s="6"/>
      <c r="AP632" s="6"/>
      <c r="AQ632" s="6"/>
      <c r="AR632" s="6"/>
      <c r="AS632" s="6"/>
      <c r="AT632" s="6"/>
      <c r="AU632" s="6"/>
      <c r="AV632" s="6"/>
      <c r="AW632" s="6"/>
      <c r="AX632" s="6"/>
      <c r="AY632" s="6"/>
      <c r="AZ632" s="6"/>
      <c r="BA632" s="6"/>
      <c r="BB632" s="6"/>
      <c r="BC632" s="6"/>
      <c r="BD632" s="6"/>
      <c r="BE632" s="6"/>
      <c r="BF632" s="6"/>
      <c r="BG632" s="6"/>
      <c r="BH632" s="6"/>
      <c r="BI632" s="6"/>
      <c r="BJ632" s="6"/>
      <c r="BK632" s="6"/>
      <c r="BL632" s="6"/>
      <c r="BM632" s="6"/>
      <c r="BN632" s="6"/>
      <c r="BO632" s="6"/>
      <c r="BP632" s="6"/>
      <c r="BQ632" s="6"/>
    </row>
    <row r="633" spans="2:69" hidden="1" x14ac:dyDescent="0.2">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c r="AM633" s="6"/>
      <c r="AN633" s="6"/>
      <c r="AO633" s="6"/>
      <c r="AP633" s="6"/>
      <c r="AQ633" s="6"/>
      <c r="AR633" s="6"/>
      <c r="AS633" s="6"/>
      <c r="AT633" s="6"/>
      <c r="AU633" s="6"/>
      <c r="AV633" s="6"/>
      <c r="AW633" s="6"/>
      <c r="AX633" s="6"/>
      <c r="AY633" s="6"/>
      <c r="AZ633" s="6"/>
      <c r="BA633" s="6"/>
      <c r="BB633" s="6"/>
      <c r="BC633" s="6"/>
      <c r="BD633" s="6"/>
      <c r="BE633" s="6"/>
      <c r="BF633" s="6"/>
      <c r="BG633" s="6"/>
      <c r="BH633" s="6"/>
      <c r="BI633" s="6"/>
      <c r="BJ633" s="6"/>
      <c r="BK633" s="6"/>
      <c r="BL633" s="6"/>
      <c r="BM633" s="6"/>
      <c r="BN633" s="6"/>
      <c r="BO633" s="6"/>
      <c r="BP633" s="6"/>
      <c r="BQ633" s="6"/>
    </row>
    <row r="634" spans="2:69" hidden="1" x14ac:dyDescent="0.2">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M634" s="6"/>
      <c r="AN634" s="6"/>
      <c r="AO634" s="6"/>
      <c r="AP634" s="6"/>
      <c r="AQ634" s="6"/>
      <c r="AR634" s="6"/>
      <c r="AS634" s="6"/>
      <c r="AT634" s="6"/>
      <c r="AU634" s="6"/>
      <c r="AV634" s="6"/>
      <c r="AW634" s="6"/>
      <c r="AX634" s="6"/>
      <c r="AY634" s="6"/>
      <c r="AZ634" s="6"/>
      <c r="BA634" s="6"/>
      <c r="BB634" s="6"/>
      <c r="BC634" s="6"/>
      <c r="BD634" s="6"/>
      <c r="BE634" s="6"/>
      <c r="BF634" s="6"/>
      <c r="BG634" s="6"/>
      <c r="BH634" s="6"/>
      <c r="BI634" s="6"/>
      <c r="BJ634" s="6"/>
      <c r="BK634" s="6"/>
      <c r="BL634" s="6"/>
      <c r="BM634" s="6"/>
      <c r="BN634" s="6"/>
      <c r="BO634" s="6"/>
      <c r="BP634" s="6"/>
      <c r="BQ634" s="6"/>
    </row>
    <row r="635" spans="2:69" hidden="1" x14ac:dyDescent="0.2">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M635" s="6"/>
      <c r="AN635" s="6"/>
      <c r="AO635" s="6"/>
      <c r="AP635" s="6"/>
      <c r="AQ635" s="6"/>
      <c r="AR635" s="6"/>
      <c r="AS635" s="6"/>
      <c r="AT635" s="6"/>
      <c r="AU635" s="6"/>
      <c r="AV635" s="6"/>
      <c r="AW635" s="6"/>
      <c r="AX635" s="6"/>
      <c r="AY635" s="6"/>
      <c r="AZ635" s="6"/>
      <c r="BA635" s="6"/>
      <c r="BB635" s="6"/>
      <c r="BC635" s="6"/>
      <c r="BD635" s="6"/>
      <c r="BE635" s="6"/>
      <c r="BF635" s="6"/>
      <c r="BG635" s="6"/>
      <c r="BH635" s="6"/>
      <c r="BI635" s="6"/>
      <c r="BJ635" s="6"/>
      <c r="BK635" s="6"/>
      <c r="BL635" s="6"/>
      <c r="BM635" s="6"/>
      <c r="BN635" s="6"/>
      <c r="BO635" s="6"/>
      <c r="BP635" s="6"/>
      <c r="BQ635" s="6"/>
    </row>
    <row r="636" spans="2:69" hidden="1" x14ac:dyDescent="0.2">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M636" s="6"/>
      <c r="AN636" s="6"/>
      <c r="AO636" s="6"/>
      <c r="AP636" s="6"/>
      <c r="AQ636" s="6"/>
      <c r="AR636" s="6"/>
      <c r="AS636" s="6"/>
      <c r="AT636" s="6"/>
      <c r="AU636" s="6"/>
      <c r="AV636" s="6"/>
      <c r="AW636" s="6"/>
      <c r="AX636" s="6"/>
      <c r="AY636" s="6"/>
      <c r="AZ636" s="6"/>
      <c r="BA636" s="6"/>
      <c r="BB636" s="6"/>
      <c r="BC636" s="6"/>
      <c r="BD636" s="6"/>
      <c r="BE636" s="6"/>
      <c r="BF636" s="6"/>
      <c r="BG636" s="6"/>
      <c r="BH636" s="6"/>
      <c r="BI636" s="6"/>
      <c r="BJ636" s="6"/>
      <c r="BK636" s="6"/>
      <c r="BL636" s="6"/>
      <c r="BM636" s="6"/>
      <c r="BN636" s="6"/>
      <c r="BO636" s="6"/>
      <c r="BP636" s="6"/>
      <c r="BQ636" s="6"/>
    </row>
    <row r="637" spans="2:69" hidden="1" x14ac:dyDescent="0.2">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M637" s="6"/>
      <c r="AN637" s="6"/>
      <c r="AO637" s="6"/>
      <c r="AP637" s="6"/>
      <c r="AQ637" s="6"/>
      <c r="AR637" s="6"/>
      <c r="AS637" s="6"/>
      <c r="AT637" s="6"/>
      <c r="AU637" s="6"/>
      <c r="AV637" s="6"/>
      <c r="AW637" s="6"/>
      <c r="AX637" s="6"/>
      <c r="AY637" s="6"/>
      <c r="AZ637" s="6"/>
      <c r="BA637" s="6"/>
      <c r="BB637" s="6"/>
      <c r="BC637" s="6"/>
      <c r="BD637" s="6"/>
      <c r="BE637" s="6"/>
      <c r="BF637" s="6"/>
      <c r="BG637" s="6"/>
      <c r="BH637" s="6"/>
      <c r="BI637" s="6"/>
      <c r="BJ637" s="6"/>
      <c r="BK637" s="6"/>
      <c r="BL637" s="6"/>
      <c r="BM637" s="6"/>
      <c r="BN637" s="6"/>
      <c r="BO637" s="6"/>
      <c r="BP637" s="6"/>
      <c r="BQ637" s="6"/>
    </row>
    <row r="638" spans="2:69" hidden="1" x14ac:dyDescent="0.2">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M638" s="6"/>
      <c r="AN638" s="6"/>
      <c r="AO638" s="6"/>
      <c r="AP638" s="6"/>
      <c r="AQ638" s="6"/>
      <c r="AR638" s="6"/>
      <c r="AS638" s="6"/>
      <c r="AT638" s="6"/>
      <c r="AU638" s="6"/>
      <c r="AV638" s="6"/>
      <c r="AW638" s="6"/>
      <c r="AX638" s="6"/>
      <c r="AY638" s="6"/>
      <c r="AZ638" s="6"/>
      <c r="BA638" s="6"/>
      <c r="BB638" s="6"/>
      <c r="BC638" s="6"/>
      <c r="BD638" s="6"/>
      <c r="BE638" s="6"/>
      <c r="BF638" s="6"/>
      <c r="BG638" s="6"/>
      <c r="BH638" s="6"/>
      <c r="BI638" s="6"/>
      <c r="BJ638" s="6"/>
      <c r="BK638" s="6"/>
      <c r="BL638" s="6"/>
      <c r="BM638" s="6"/>
      <c r="BN638" s="6"/>
      <c r="BO638" s="6"/>
      <c r="BP638" s="6"/>
      <c r="BQ638" s="6"/>
    </row>
    <row r="639" spans="2:69" hidden="1" x14ac:dyDescent="0.2">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M639" s="6"/>
      <c r="AN639" s="6"/>
      <c r="AO639" s="6"/>
      <c r="AP639" s="6"/>
      <c r="AQ639" s="6"/>
      <c r="AR639" s="6"/>
      <c r="AS639" s="6"/>
      <c r="AT639" s="6"/>
      <c r="AU639" s="6"/>
      <c r="AV639" s="6"/>
      <c r="AW639" s="6"/>
      <c r="AX639" s="6"/>
      <c r="AY639" s="6"/>
      <c r="AZ639" s="6"/>
      <c r="BA639" s="6"/>
      <c r="BB639" s="6"/>
      <c r="BC639" s="6"/>
      <c r="BD639" s="6"/>
      <c r="BE639" s="6"/>
      <c r="BF639" s="6"/>
      <c r="BG639" s="6"/>
      <c r="BH639" s="6"/>
      <c r="BI639" s="6"/>
      <c r="BJ639" s="6"/>
      <c r="BK639" s="6"/>
      <c r="BL639" s="6"/>
      <c r="BM639" s="6"/>
      <c r="BN639" s="6"/>
      <c r="BO639" s="6"/>
      <c r="BP639" s="6"/>
      <c r="BQ639" s="6"/>
    </row>
    <row r="640" spans="2:69" hidden="1" x14ac:dyDescent="0.2">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c r="AM640" s="6"/>
      <c r="AN640" s="6"/>
      <c r="AO640" s="6"/>
      <c r="AP640" s="6"/>
      <c r="AQ640" s="6"/>
      <c r="AR640" s="6"/>
      <c r="AS640" s="6"/>
      <c r="AT640" s="6"/>
      <c r="AU640" s="6"/>
      <c r="AV640" s="6"/>
      <c r="AW640" s="6"/>
      <c r="AX640" s="6"/>
      <c r="AY640" s="6"/>
      <c r="AZ640" s="6"/>
      <c r="BA640" s="6"/>
      <c r="BB640" s="6"/>
      <c r="BC640" s="6"/>
      <c r="BD640" s="6"/>
      <c r="BE640" s="6"/>
      <c r="BF640" s="6"/>
      <c r="BG640" s="6"/>
      <c r="BH640" s="6"/>
      <c r="BI640" s="6"/>
      <c r="BJ640" s="6"/>
      <c r="BK640" s="6"/>
      <c r="BL640" s="6"/>
      <c r="BM640" s="6"/>
      <c r="BN640" s="6"/>
      <c r="BO640" s="6"/>
      <c r="BP640" s="6"/>
      <c r="BQ640" s="6"/>
    </row>
    <row r="641" spans="2:69" hidden="1" x14ac:dyDescent="0.2">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c r="AM641" s="6"/>
      <c r="AN641" s="6"/>
      <c r="AO641" s="6"/>
      <c r="AP641" s="6"/>
      <c r="AQ641" s="6"/>
      <c r="AR641" s="6"/>
      <c r="AS641" s="6"/>
      <c r="AT641" s="6"/>
      <c r="AU641" s="6"/>
      <c r="AV641" s="6"/>
      <c r="AW641" s="6"/>
      <c r="AX641" s="6"/>
      <c r="AY641" s="6"/>
      <c r="AZ641" s="6"/>
      <c r="BA641" s="6"/>
      <c r="BB641" s="6"/>
      <c r="BC641" s="6"/>
      <c r="BD641" s="6"/>
      <c r="BE641" s="6"/>
      <c r="BF641" s="6"/>
      <c r="BG641" s="6"/>
      <c r="BH641" s="6"/>
      <c r="BI641" s="6"/>
      <c r="BJ641" s="6"/>
      <c r="BK641" s="6"/>
      <c r="BL641" s="6"/>
      <c r="BM641" s="6"/>
      <c r="BN641" s="6"/>
      <c r="BO641" s="6"/>
      <c r="BP641" s="6"/>
      <c r="BQ641" s="6"/>
    </row>
    <row r="642" spans="2:69" hidden="1" x14ac:dyDescent="0.2">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c r="AM642" s="6"/>
      <c r="AN642" s="6"/>
      <c r="AO642" s="6"/>
      <c r="AP642" s="6"/>
      <c r="AQ642" s="6"/>
      <c r="AR642" s="6"/>
      <c r="AS642" s="6"/>
      <c r="AT642" s="6"/>
      <c r="AU642" s="6"/>
      <c r="AV642" s="6"/>
      <c r="AW642" s="6"/>
      <c r="AX642" s="6"/>
      <c r="AY642" s="6"/>
      <c r="AZ642" s="6"/>
      <c r="BA642" s="6"/>
      <c r="BB642" s="6"/>
      <c r="BC642" s="6"/>
      <c r="BD642" s="6"/>
      <c r="BE642" s="6"/>
      <c r="BF642" s="6"/>
      <c r="BG642" s="6"/>
      <c r="BH642" s="6"/>
      <c r="BI642" s="6"/>
      <c r="BJ642" s="6"/>
      <c r="BK642" s="6"/>
      <c r="BL642" s="6"/>
      <c r="BM642" s="6"/>
      <c r="BN642" s="6"/>
      <c r="BO642" s="6"/>
      <c r="BP642" s="6"/>
      <c r="BQ642" s="6"/>
    </row>
    <row r="643" spans="2:69" hidden="1" x14ac:dyDescent="0.2">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c r="AM643" s="6"/>
      <c r="AN643" s="6"/>
      <c r="AO643" s="6"/>
      <c r="AP643" s="6"/>
      <c r="AQ643" s="6"/>
      <c r="AR643" s="6"/>
      <c r="AS643" s="6"/>
      <c r="AT643" s="6"/>
      <c r="AU643" s="6"/>
      <c r="AV643" s="6"/>
      <c r="AW643" s="6"/>
      <c r="AX643" s="6"/>
      <c r="AY643" s="6"/>
      <c r="AZ643" s="6"/>
      <c r="BA643" s="6"/>
      <c r="BB643" s="6"/>
      <c r="BC643" s="6"/>
      <c r="BD643" s="6"/>
      <c r="BE643" s="6"/>
      <c r="BF643" s="6"/>
      <c r="BG643" s="6"/>
      <c r="BH643" s="6"/>
      <c r="BI643" s="6"/>
      <c r="BJ643" s="6"/>
      <c r="BK643" s="6"/>
      <c r="BL643" s="6"/>
      <c r="BM643" s="6"/>
      <c r="BN643" s="6"/>
      <c r="BO643" s="6"/>
      <c r="BP643" s="6"/>
      <c r="BQ643" s="6"/>
    </row>
    <row r="644" spans="2:69" hidden="1" x14ac:dyDescent="0.2">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c r="AM644" s="6"/>
      <c r="AN644" s="6"/>
      <c r="AO644" s="6"/>
      <c r="AP644" s="6"/>
      <c r="AQ644" s="6"/>
      <c r="AR644" s="6"/>
      <c r="AS644" s="6"/>
      <c r="AT644" s="6"/>
      <c r="AU644" s="6"/>
      <c r="AV644" s="6"/>
      <c r="AW644" s="6"/>
      <c r="AX644" s="6"/>
      <c r="AY644" s="6"/>
      <c r="AZ644" s="6"/>
      <c r="BA644" s="6"/>
      <c r="BB644" s="6"/>
      <c r="BC644" s="6"/>
      <c r="BD644" s="6"/>
      <c r="BE644" s="6"/>
      <c r="BF644" s="6"/>
      <c r="BG644" s="6"/>
      <c r="BH644" s="6"/>
      <c r="BI644" s="6"/>
      <c r="BJ644" s="6"/>
      <c r="BK644" s="6"/>
      <c r="BL644" s="6"/>
      <c r="BM644" s="6"/>
      <c r="BN644" s="6"/>
      <c r="BO644" s="6"/>
      <c r="BP644" s="6"/>
      <c r="BQ644" s="6"/>
    </row>
    <row r="645" spans="2:69" hidden="1" x14ac:dyDescent="0.2">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c r="AM645" s="6"/>
      <c r="AN645" s="6"/>
      <c r="AO645" s="6"/>
      <c r="AP645" s="6"/>
      <c r="AQ645" s="6"/>
      <c r="AR645" s="6"/>
      <c r="AS645" s="6"/>
      <c r="AT645" s="6"/>
      <c r="AU645" s="6"/>
      <c r="AV645" s="6"/>
      <c r="AW645" s="6"/>
      <c r="AX645" s="6"/>
      <c r="AY645" s="6"/>
      <c r="AZ645" s="6"/>
      <c r="BA645" s="6"/>
      <c r="BB645" s="6"/>
      <c r="BC645" s="6"/>
      <c r="BD645" s="6"/>
      <c r="BE645" s="6"/>
      <c r="BF645" s="6"/>
      <c r="BG645" s="6"/>
      <c r="BH645" s="6"/>
      <c r="BI645" s="6"/>
      <c r="BJ645" s="6"/>
      <c r="BK645" s="6"/>
      <c r="BL645" s="6"/>
      <c r="BM645" s="6"/>
      <c r="BN645" s="6"/>
      <c r="BO645" s="6"/>
      <c r="BP645" s="6"/>
      <c r="BQ645" s="6"/>
    </row>
    <row r="646" spans="2:69" hidden="1" x14ac:dyDescent="0.2">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c r="AM646" s="6"/>
      <c r="AN646" s="6"/>
      <c r="AO646" s="6"/>
      <c r="AP646" s="6"/>
      <c r="AQ646" s="6"/>
      <c r="AR646" s="6"/>
      <c r="AS646" s="6"/>
      <c r="AT646" s="6"/>
      <c r="AU646" s="6"/>
      <c r="AV646" s="6"/>
      <c r="AW646" s="6"/>
      <c r="AX646" s="6"/>
      <c r="AY646" s="6"/>
      <c r="AZ646" s="6"/>
      <c r="BA646" s="6"/>
      <c r="BB646" s="6"/>
      <c r="BC646" s="6"/>
      <c r="BD646" s="6"/>
      <c r="BE646" s="6"/>
      <c r="BF646" s="6"/>
      <c r="BG646" s="6"/>
      <c r="BH646" s="6"/>
      <c r="BI646" s="6"/>
      <c r="BJ646" s="6"/>
      <c r="BK646" s="6"/>
      <c r="BL646" s="6"/>
      <c r="BM646" s="6"/>
      <c r="BN646" s="6"/>
      <c r="BO646" s="6"/>
      <c r="BP646" s="6"/>
      <c r="BQ646" s="6"/>
    </row>
    <row r="647" spans="2:69" hidden="1" x14ac:dyDescent="0.2">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c r="AM647" s="6"/>
      <c r="AN647" s="6"/>
      <c r="AO647" s="6"/>
      <c r="AP647" s="6"/>
      <c r="AQ647" s="6"/>
      <c r="AR647" s="6"/>
      <c r="AS647" s="6"/>
      <c r="AT647" s="6"/>
      <c r="AU647" s="6"/>
      <c r="AV647" s="6"/>
      <c r="AW647" s="6"/>
      <c r="AX647" s="6"/>
      <c r="AY647" s="6"/>
      <c r="AZ647" s="6"/>
      <c r="BA647" s="6"/>
      <c r="BB647" s="6"/>
      <c r="BC647" s="6"/>
      <c r="BD647" s="6"/>
      <c r="BE647" s="6"/>
      <c r="BF647" s="6"/>
      <c r="BG647" s="6"/>
      <c r="BH647" s="6"/>
      <c r="BI647" s="6"/>
      <c r="BJ647" s="6"/>
      <c r="BK647" s="6"/>
      <c r="BL647" s="6"/>
      <c r="BM647" s="6"/>
      <c r="BN647" s="6"/>
      <c r="BO647" s="6"/>
      <c r="BP647" s="6"/>
      <c r="BQ647" s="6"/>
    </row>
    <row r="648" spans="2:69" hidden="1" x14ac:dyDescent="0.2">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c r="AM648" s="6"/>
      <c r="AN648" s="6"/>
      <c r="AO648" s="6"/>
      <c r="AP648" s="6"/>
      <c r="AQ648" s="6"/>
      <c r="AR648" s="6"/>
      <c r="AS648" s="6"/>
      <c r="AT648" s="6"/>
      <c r="AU648" s="6"/>
      <c r="AV648" s="6"/>
      <c r="AW648" s="6"/>
      <c r="AX648" s="6"/>
      <c r="AY648" s="6"/>
      <c r="AZ648" s="6"/>
      <c r="BA648" s="6"/>
      <c r="BB648" s="6"/>
      <c r="BC648" s="6"/>
      <c r="BD648" s="6"/>
      <c r="BE648" s="6"/>
      <c r="BF648" s="6"/>
      <c r="BG648" s="6"/>
      <c r="BH648" s="6"/>
      <c r="BI648" s="6"/>
      <c r="BJ648" s="6"/>
      <c r="BK648" s="6"/>
      <c r="BL648" s="6"/>
      <c r="BM648" s="6"/>
      <c r="BN648" s="6"/>
      <c r="BO648" s="6"/>
      <c r="BP648" s="6"/>
      <c r="BQ648" s="6"/>
    </row>
    <row r="649" spans="2:69" hidden="1" x14ac:dyDescent="0.2">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c r="AM649" s="6"/>
      <c r="AN649" s="6"/>
      <c r="AO649" s="6"/>
      <c r="AP649" s="6"/>
      <c r="AQ649" s="6"/>
      <c r="AR649" s="6"/>
      <c r="AS649" s="6"/>
      <c r="AT649" s="6"/>
      <c r="AU649" s="6"/>
      <c r="AV649" s="6"/>
      <c r="AW649" s="6"/>
      <c r="AX649" s="6"/>
      <c r="AY649" s="6"/>
      <c r="AZ649" s="6"/>
      <c r="BA649" s="6"/>
      <c r="BB649" s="6"/>
      <c r="BC649" s="6"/>
      <c r="BD649" s="6"/>
      <c r="BE649" s="6"/>
      <c r="BF649" s="6"/>
      <c r="BG649" s="6"/>
      <c r="BH649" s="6"/>
      <c r="BI649" s="6"/>
      <c r="BJ649" s="6"/>
      <c r="BK649" s="6"/>
      <c r="BL649" s="6"/>
      <c r="BM649" s="6"/>
      <c r="BN649" s="6"/>
      <c r="BO649" s="6"/>
      <c r="BP649" s="6"/>
      <c r="BQ649" s="6"/>
    </row>
    <row r="650" spans="2:69" hidden="1" x14ac:dyDescent="0.2">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c r="AM650" s="6"/>
      <c r="AN650" s="6"/>
      <c r="AO650" s="6"/>
      <c r="AP650" s="6"/>
      <c r="AQ650" s="6"/>
      <c r="AR650" s="6"/>
      <c r="AS650" s="6"/>
      <c r="AT650" s="6"/>
      <c r="AU650" s="6"/>
      <c r="AV650" s="6"/>
      <c r="AW650" s="6"/>
      <c r="AX650" s="6"/>
      <c r="AY650" s="6"/>
      <c r="AZ650" s="6"/>
      <c r="BA650" s="6"/>
      <c r="BB650" s="6"/>
      <c r="BC650" s="6"/>
      <c r="BD650" s="6"/>
      <c r="BE650" s="6"/>
      <c r="BF650" s="6"/>
      <c r="BG650" s="6"/>
      <c r="BH650" s="6"/>
      <c r="BI650" s="6"/>
      <c r="BJ650" s="6"/>
      <c r="BK650" s="6"/>
      <c r="BL650" s="6"/>
      <c r="BM650" s="6"/>
      <c r="BN650" s="6"/>
      <c r="BO650" s="6"/>
      <c r="BP650" s="6"/>
      <c r="BQ650" s="6"/>
    </row>
    <row r="651" spans="2:69" hidden="1" x14ac:dyDescent="0.2">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c r="AM651" s="6"/>
      <c r="AN651" s="6"/>
      <c r="AO651" s="6"/>
      <c r="AP651" s="6"/>
      <c r="AQ651" s="6"/>
      <c r="AR651" s="6"/>
      <c r="AS651" s="6"/>
      <c r="AT651" s="6"/>
      <c r="AU651" s="6"/>
      <c r="AV651" s="6"/>
      <c r="AW651" s="6"/>
      <c r="AX651" s="6"/>
      <c r="AY651" s="6"/>
      <c r="AZ651" s="6"/>
      <c r="BA651" s="6"/>
      <c r="BB651" s="6"/>
      <c r="BC651" s="6"/>
      <c r="BD651" s="6"/>
      <c r="BE651" s="6"/>
      <c r="BF651" s="6"/>
      <c r="BG651" s="6"/>
      <c r="BH651" s="6"/>
      <c r="BI651" s="6"/>
      <c r="BJ651" s="6"/>
      <c r="BK651" s="6"/>
      <c r="BL651" s="6"/>
      <c r="BM651" s="6"/>
      <c r="BN651" s="6"/>
      <c r="BO651" s="6"/>
      <c r="BP651" s="6"/>
      <c r="BQ651" s="6"/>
    </row>
    <row r="652" spans="2:69" hidden="1" x14ac:dyDescent="0.2">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c r="AM652" s="6"/>
      <c r="AN652" s="6"/>
      <c r="AO652" s="6"/>
      <c r="AP652" s="6"/>
      <c r="AQ652" s="6"/>
      <c r="AR652" s="6"/>
      <c r="AS652" s="6"/>
      <c r="AT652" s="6"/>
      <c r="AU652" s="6"/>
      <c r="AV652" s="6"/>
      <c r="AW652" s="6"/>
      <c r="AX652" s="6"/>
      <c r="AY652" s="6"/>
      <c r="AZ652" s="6"/>
      <c r="BA652" s="6"/>
      <c r="BB652" s="6"/>
      <c r="BC652" s="6"/>
      <c r="BD652" s="6"/>
      <c r="BE652" s="6"/>
      <c r="BF652" s="6"/>
      <c r="BG652" s="6"/>
      <c r="BH652" s="6"/>
      <c r="BI652" s="6"/>
      <c r="BJ652" s="6"/>
      <c r="BK652" s="6"/>
      <c r="BL652" s="6"/>
      <c r="BM652" s="6"/>
      <c r="BN652" s="6"/>
      <c r="BO652" s="6"/>
      <c r="BP652" s="6"/>
      <c r="BQ652" s="6"/>
    </row>
    <row r="653" spans="2:69" hidden="1" x14ac:dyDescent="0.2">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c r="AM653" s="6"/>
      <c r="AN653" s="6"/>
      <c r="AO653" s="6"/>
      <c r="AP653" s="6"/>
      <c r="AQ653" s="6"/>
      <c r="AR653" s="6"/>
      <c r="AS653" s="6"/>
      <c r="AT653" s="6"/>
      <c r="AU653" s="6"/>
      <c r="AV653" s="6"/>
      <c r="AW653" s="6"/>
      <c r="AX653" s="6"/>
      <c r="AY653" s="6"/>
      <c r="AZ653" s="6"/>
      <c r="BA653" s="6"/>
      <c r="BB653" s="6"/>
      <c r="BC653" s="6"/>
      <c r="BD653" s="6"/>
      <c r="BE653" s="6"/>
      <c r="BF653" s="6"/>
      <c r="BG653" s="6"/>
      <c r="BH653" s="6"/>
      <c r="BI653" s="6"/>
      <c r="BJ653" s="6"/>
      <c r="BK653" s="6"/>
      <c r="BL653" s="6"/>
      <c r="BM653" s="6"/>
      <c r="BN653" s="6"/>
      <c r="BO653" s="6"/>
      <c r="BP653" s="6"/>
      <c r="BQ653" s="6"/>
    </row>
    <row r="654" spans="2:69" hidden="1" x14ac:dyDescent="0.2">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c r="AM654" s="6"/>
      <c r="AN654" s="6"/>
      <c r="AO654" s="6"/>
      <c r="AP654" s="6"/>
      <c r="AQ654" s="6"/>
      <c r="AR654" s="6"/>
      <c r="AS654" s="6"/>
      <c r="AT654" s="6"/>
      <c r="AU654" s="6"/>
      <c r="AV654" s="6"/>
      <c r="AW654" s="6"/>
      <c r="AX654" s="6"/>
      <c r="AY654" s="6"/>
      <c r="AZ654" s="6"/>
      <c r="BA654" s="6"/>
      <c r="BB654" s="6"/>
      <c r="BC654" s="6"/>
      <c r="BD654" s="6"/>
      <c r="BE654" s="6"/>
      <c r="BF654" s="6"/>
      <c r="BG654" s="6"/>
      <c r="BH654" s="6"/>
      <c r="BI654" s="6"/>
      <c r="BJ654" s="6"/>
      <c r="BK654" s="6"/>
      <c r="BL654" s="6"/>
      <c r="BM654" s="6"/>
      <c r="BN654" s="6"/>
      <c r="BO654" s="6"/>
      <c r="BP654" s="6"/>
      <c r="BQ654" s="6"/>
    </row>
    <row r="655" spans="2:69" hidden="1" x14ac:dyDescent="0.2">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c r="AM655" s="6"/>
      <c r="AN655" s="6"/>
      <c r="AO655" s="6"/>
      <c r="AP655" s="6"/>
      <c r="AQ655" s="6"/>
      <c r="AR655" s="6"/>
      <c r="AS655" s="6"/>
      <c r="AT655" s="6"/>
      <c r="AU655" s="6"/>
      <c r="AV655" s="6"/>
      <c r="AW655" s="6"/>
      <c r="AX655" s="6"/>
      <c r="AY655" s="6"/>
      <c r="AZ655" s="6"/>
      <c r="BA655" s="6"/>
      <c r="BB655" s="6"/>
      <c r="BC655" s="6"/>
      <c r="BD655" s="6"/>
      <c r="BE655" s="6"/>
      <c r="BF655" s="6"/>
      <c r="BG655" s="6"/>
      <c r="BH655" s="6"/>
      <c r="BI655" s="6"/>
      <c r="BJ655" s="6"/>
      <c r="BK655" s="6"/>
      <c r="BL655" s="6"/>
      <c r="BM655" s="6"/>
      <c r="BN655" s="6"/>
      <c r="BO655" s="6"/>
      <c r="BP655" s="6"/>
      <c r="BQ655" s="6"/>
    </row>
    <row r="656" spans="2:69" hidden="1" x14ac:dyDescent="0.2">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c r="AM656" s="6"/>
      <c r="AN656" s="6"/>
      <c r="AO656" s="6"/>
      <c r="AP656" s="6"/>
      <c r="AQ656" s="6"/>
      <c r="AR656" s="6"/>
      <c r="AS656" s="6"/>
      <c r="AT656" s="6"/>
      <c r="AU656" s="6"/>
      <c r="AV656" s="6"/>
      <c r="AW656" s="6"/>
      <c r="AX656" s="6"/>
      <c r="AY656" s="6"/>
      <c r="AZ656" s="6"/>
      <c r="BA656" s="6"/>
      <c r="BB656" s="6"/>
      <c r="BC656" s="6"/>
      <c r="BD656" s="6"/>
      <c r="BE656" s="6"/>
      <c r="BF656" s="6"/>
      <c r="BG656" s="6"/>
      <c r="BH656" s="6"/>
      <c r="BI656" s="6"/>
      <c r="BJ656" s="6"/>
      <c r="BK656" s="6"/>
      <c r="BL656" s="6"/>
      <c r="BM656" s="6"/>
      <c r="BN656" s="6"/>
      <c r="BO656" s="6"/>
      <c r="BP656" s="6"/>
      <c r="BQ656" s="6"/>
    </row>
    <row r="657" spans="2:69" hidden="1" x14ac:dyDescent="0.2">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c r="AM657" s="6"/>
      <c r="AN657" s="6"/>
      <c r="AO657" s="6"/>
      <c r="AP657" s="6"/>
      <c r="AQ657" s="6"/>
      <c r="AR657" s="6"/>
      <c r="AS657" s="6"/>
      <c r="AT657" s="6"/>
      <c r="AU657" s="6"/>
      <c r="AV657" s="6"/>
      <c r="AW657" s="6"/>
      <c r="AX657" s="6"/>
      <c r="AY657" s="6"/>
      <c r="AZ657" s="6"/>
      <c r="BA657" s="6"/>
      <c r="BB657" s="6"/>
      <c r="BC657" s="6"/>
      <c r="BD657" s="6"/>
      <c r="BE657" s="6"/>
      <c r="BF657" s="6"/>
      <c r="BG657" s="6"/>
      <c r="BH657" s="6"/>
      <c r="BI657" s="6"/>
      <c r="BJ657" s="6"/>
      <c r="BK657" s="6"/>
      <c r="BL657" s="6"/>
      <c r="BM657" s="6"/>
      <c r="BN657" s="6"/>
      <c r="BO657" s="6"/>
      <c r="BP657" s="6"/>
      <c r="BQ657" s="6"/>
    </row>
    <row r="658" spans="2:69" hidden="1" x14ac:dyDescent="0.2">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c r="AM658" s="6"/>
      <c r="AN658" s="6"/>
      <c r="AO658" s="6"/>
      <c r="AP658" s="6"/>
      <c r="AQ658" s="6"/>
      <c r="AR658" s="6"/>
      <c r="AS658" s="6"/>
      <c r="AT658" s="6"/>
      <c r="AU658" s="6"/>
      <c r="AV658" s="6"/>
      <c r="AW658" s="6"/>
      <c r="AX658" s="6"/>
      <c r="AY658" s="6"/>
      <c r="AZ658" s="6"/>
      <c r="BA658" s="6"/>
      <c r="BB658" s="6"/>
      <c r="BC658" s="6"/>
      <c r="BD658" s="6"/>
      <c r="BE658" s="6"/>
      <c r="BF658" s="6"/>
      <c r="BG658" s="6"/>
      <c r="BH658" s="6"/>
      <c r="BI658" s="6"/>
      <c r="BJ658" s="6"/>
      <c r="BK658" s="6"/>
      <c r="BL658" s="6"/>
      <c r="BM658" s="6"/>
      <c r="BN658" s="6"/>
      <c r="BO658" s="6"/>
      <c r="BP658" s="6"/>
      <c r="BQ658" s="6"/>
    </row>
    <row r="659" spans="2:69" hidden="1" x14ac:dyDescent="0.2">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c r="AM659" s="6"/>
      <c r="AN659" s="6"/>
      <c r="AO659" s="6"/>
      <c r="AP659" s="6"/>
      <c r="AQ659" s="6"/>
      <c r="AR659" s="6"/>
      <c r="AS659" s="6"/>
      <c r="AT659" s="6"/>
      <c r="AU659" s="6"/>
      <c r="AV659" s="6"/>
      <c r="AW659" s="6"/>
      <c r="AX659" s="6"/>
      <c r="AY659" s="6"/>
      <c r="AZ659" s="6"/>
      <c r="BA659" s="6"/>
      <c r="BB659" s="6"/>
      <c r="BC659" s="6"/>
      <c r="BD659" s="6"/>
      <c r="BE659" s="6"/>
      <c r="BF659" s="6"/>
      <c r="BG659" s="6"/>
      <c r="BH659" s="6"/>
      <c r="BI659" s="6"/>
      <c r="BJ659" s="6"/>
      <c r="BK659" s="6"/>
      <c r="BL659" s="6"/>
      <c r="BM659" s="6"/>
      <c r="BN659" s="6"/>
      <c r="BO659" s="6"/>
      <c r="BP659" s="6"/>
      <c r="BQ659" s="6"/>
    </row>
    <row r="660" spans="2:69" hidden="1" x14ac:dyDescent="0.2">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c r="AM660" s="6"/>
      <c r="AN660" s="6"/>
      <c r="AO660" s="6"/>
      <c r="AP660" s="6"/>
      <c r="AQ660" s="6"/>
      <c r="AR660" s="6"/>
      <c r="AS660" s="6"/>
      <c r="AT660" s="6"/>
      <c r="AU660" s="6"/>
      <c r="AV660" s="6"/>
      <c r="AW660" s="6"/>
      <c r="AX660" s="6"/>
      <c r="AY660" s="6"/>
      <c r="AZ660" s="6"/>
      <c r="BA660" s="6"/>
      <c r="BB660" s="6"/>
      <c r="BC660" s="6"/>
      <c r="BD660" s="6"/>
      <c r="BE660" s="6"/>
      <c r="BF660" s="6"/>
      <c r="BG660" s="6"/>
      <c r="BH660" s="6"/>
      <c r="BI660" s="6"/>
      <c r="BJ660" s="6"/>
      <c r="BK660" s="6"/>
      <c r="BL660" s="6"/>
      <c r="BM660" s="6"/>
      <c r="BN660" s="6"/>
      <c r="BO660" s="6"/>
      <c r="BP660" s="6"/>
      <c r="BQ660" s="6"/>
    </row>
    <row r="661" spans="2:69" hidden="1" x14ac:dyDescent="0.2">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c r="AM661" s="6"/>
      <c r="AN661" s="6"/>
      <c r="AO661" s="6"/>
      <c r="AP661" s="6"/>
      <c r="AQ661" s="6"/>
      <c r="AR661" s="6"/>
      <c r="AS661" s="6"/>
      <c r="AT661" s="6"/>
      <c r="AU661" s="6"/>
      <c r="AV661" s="6"/>
      <c r="AW661" s="6"/>
      <c r="AX661" s="6"/>
      <c r="AY661" s="6"/>
      <c r="AZ661" s="6"/>
      <c r="BA661" s="6"/>
      <c r="BB661" s="6"/>
      <c r="BC661" s="6"/>
      <c r="BD661" s="6"/>
      <c r="BE661" s="6"/>
      <c r="BF661" s="6"/>
      <c r="BG661" s="6"/>
      <c r="BH661" s="6"/>
      <c r="BI661" s="6"/>
      <c r="BJ661" s="6"/>
      <c r="BK661" s="6"/>
      <c r="BL661" s="6"/>
      <c r="BM661" s="6"/>
      <c r="BN661" s="6"/>
      <c r="BO661" s="6"/>
      <c r="BP661" s="6"/>
      <c r="BQ661" s="6"/>
    </row>
    <row r="662" spans="2:69" hidden="1" x14ac:dyDescent="0.2">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c r="AM662" s="6"/>
      <c r="AN662" s="6"/>
      <c r="AO662" s="6"/>
      <c r="AP662" s="6"/>
      <c r="AQ662" s="6"/>
      <c r="AR662" s="6"/>
      <c r="AS662" s="6"/>
      <c r="AT662" s="6"/>
      <c r="AU662" s="6"/>
      <c r="AV662" s="6"/>
      <c r="AW662" s="6"/>
      <c r="AX662" s="6"/>
      <c r="AY662" s="6"/>
      <c r="AZ662" s="6"/>
      <c r="BA662" s="6"/>
      <c r="BB662" s="6"/>
      <c r="BC662" s="6"/>
      <c r="BD662" s="6"/>
      <c r="BE662" s="6"/>
      <c r="BF662" s="6"/>
      <c r="BG662" s="6"/>
      <c r="BH662" s="6"/>
      <c r="BI662" s="6"/>
      <c r="BJ662" s="6"/>
      <c r="BK662" s="6"/>
      <c r="BL662" s="6"/>
      <c r="BM662" s="6"/>
      <c r="BN662" s="6"/>
      <c r="BO662" s="6"/>
      <c r="BP662" s="6"/>
      <c r="BQ662" s="6"/>
    </row>
    <row r="663" spans="2:69" hidden="1" x14ac:dyDescent="0.2">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c r="AM663" s="6"/>
      <c r="AN663" s="6"/>
      <c r="AO663" s="6"/>
      <c r="AP663" s="6"/>
      <c r="AQ663" s="6"/>
      <c r="AR663" s="6"/>
      <c r="AS663" s="6"/>
      <c r="AT663" s="6"/>
      <c r="AU663" s="6"/>
      <c r="AV663" s="6"/>
      <c r="AW663" s="6"/>
      <c r="AX663" s="6"/>
      <c r="AY663" s="6"/>
      <c r="AZ663" s="6"/>
      <c r="BA663" s="6"/>
      <c r="BB663" s="6"/>
      <c r="BC663" s="6"/>
      <c r="BD663" s="6"/>
      <c r="BE663" s="6"/>
      <c r="BF663" s="6"/>
      <c r="BG663" s="6"/>
      <c r="BH663" s="6"/>
      <c r="BI663" s="6"/>
      <c r="BJ663" s="6"/>
      <c r="BK663" s="6"/>
      <c r="BL663" s="6"/>
      <c r="BM663" s="6"/>
      <c r="BN663" s="6"/>
      <c r="BO663" s="6"/>
      <c r="BP663" s="6"/>
      <c r="BQ663" s="6"/>
    </row>
    <row r="664" spans="2:69" hidden="1" x14ac:dyDescent="0.2">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c r="AM664" s="6"/>
      <c r="AN664" s="6"/>
      <c r="AO664" s="6"/>
      <c r="AP664" s="6"/>
      <c r="AQ664" s="6"/>
      <c r="AR664" s="6"/>
      <c r="AS664" s="6"/>
      <c r="AT664" s="6"/>
      <c r="AU664" s="6"/>
      <c r="AV664" s="6"/>
      <c r="AW664" s="6"/>
      <c r="AX664" s="6"/>
      <c r="AY664" s="6"/>
      <c r="AZ664" s="6"/>
      <c r="BA664" s="6"/>
      <c r="BB664" s="6"/>
      <c r="BC664" s="6"/>
      <c r="BD664" s="6"/>
      <c r="BE664" s="6"/>
      <c r="BF664" s="6"/>
      <c r="BG664" s="6"/>
      <c r="BH664" s="6"/>
      <c r="BI664" s="6"/>
      <c r="BJ664" s="6"/>
      <c r="BK664" s="6"/>
      <c r="BL664" s="6"/>
      <c r="BM664" s="6"/>
      <c r="BN664" s="6"/>
      <c r="BO664" s="6"/>
      <c r="BP664" s="6"/>
      <c r="BQ664" s="6"/>
    </row>
    <row r="665" spans="2:69" hidden="1" x14ac:dyDescent="0.2">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c r="AM665" s="6"/>
      <c r="AN665" s="6"/>
      <c r="AO665" s="6"/>
      <c r="AP665" s="6"/>
      <c r="AQ665" s="6"/>
      <c r="AR665" s="6"/>
      <c r="AS665" s="6"/>
      <c r="AT665" s="6"/>
      <c r="AU665" s="6"/>
      <c r="AV665" s="6"/>
      <c r="AW665" s="6"/>
      <c r="AX665" s="6"/>
      <c r="AY665" s="6"/>
      <c r="AZ665" s="6"/>
      <c r="BA665" s="6"/>
      <c r="BB665" s="6"/>
      <c r="BC665" s="6"/>
      <c r="BD665" s="6"/>
      <c r="BE665" s="6"/>
      <c r="BF665" s="6"/>
      <c r="BG665" s="6"/>
      <c r="BH665" s="6"/>
      <c r="BI665" s="6"/>
      <c r="BJ665" s="6"/>
      <c r="BK665" s="6"/>
      <c r="BL665" s="6"/>
      <c r="BM665" s="6"/>
      <c r="BN665" s="6"/>
      <c r="BO665" s="6"/>
      <c r="BP665" s="6"/>
      <c r="BQ665" s="6"/>
    </row>
    <row r="666" spans="2:69" hidden="1" x14ac:dyDescent="0.2">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c r="AM666" s="6"/>
      <c r="AN666" s="6"/>
      <c r="AO666" s="6"/>
      <c r="AP666" s="6"/>
      <c r="AQ666" s="6"/>
      <c r="AR666" s="6"/>
      <c r="AS666" s="6"/>
      <c r="AT666" s="6"/>
      <c r="AU666" s="6"/>
      <c r="AV666" s="6"/>
      <c r="AW666" s="6"/>
      <c r="AX666" s="6"/>
      <c r="AY666" s="6"/>
      <c r="AZ666" s="6"/>
      <c r="BA666" s="6"/>
      <c r="BB666" s="6"/>
      <c r="BC666" s="6"/>
      <c r="BD666" s="6"/>
      <c r="BE666" s="6"/>
      <c r="BF666" s="6"/>
      <c r="BG666" s="6"/>
      <c r="BH666" s="6"/>
      <c r="BI666" s="6"/>
      <c r="BJ666" s="6"/>
      <c r="BK666" s="6"/>
      <c r="BL666" s="6"/>
      <c r="BM666" s="6"/>
      <c r="BN666" s="6"/>
      <c r="BO666" s="6"/>
      <c r="BP666" s="6"/>
      <c r="BQ666" s="6"/>
    </row>
    <row r="667" spans="2:69" hidden="1" x14ac:dyDescent="0.2">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c r="AM667" s="6"/>
      <c r="AN667" s="6"/>
      <c r="AO667" s="6"/>
      <c r="AP667" s="6"/>
      <c r="AQ667" s="6"/>
      <c r="AR667" s="6"/>
      <c r="AS667" s="6"/>
      <c r="AT667" s="6"/>
      <c r="AU667" s="6"/>
      <c r="AV667" s="6"/>
      <c r="AW667" s="6"/>
      <c r="AX667" s="6"/>
      <c r="AY667" s="6"/>
      <c r="AZ667" s="6"/>
      <c r="BA667" s="6"/>
      <c r="BB667" s="6"/>
      <c r="BC667" s="6"/>
      <c r="BD667" s="6"/>
      <c r="BE667" s="6"/>
      <c r="BF667" s="6"/>
      <c r="BG667" s="6"/>
      <c r="BH667" s="6"/>
      <c r="BI667" s="6"/>
      <c r="BJ667" s="6"/>
      <c r="BK667" s="6"/>
      <c r="BL667" s="6"/>
      <c r="BM667" s="6"/>
      <c r="BN667" s="6"/>
      <c r="BO667" s="6"/>
      <c r="BP667" s="6"/>
      <c r="BQ667" s="6"/>
    </row>
    <row r="668" spans="2:69" hidden="1" x14ac:dyDescent="0.2">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c r="AM668" s="6"/>
      <c r="AN668" s="6"/>
      <c r="AO668" s="6"/>
      <c r="AP668" s="6"/>
      <c r="AQ668" s="6"/>
      <c r="AR668" s="6"/>
      <c r="AS668" s="6"/>
      <c r="AT668" s="6"/>
      <c r="AU668" s="6"/>
      <c r="AV668" s="6"/>
      <c r="AW668" s="6"/>
      <c r="AX668" s="6"/>
      <c r="AY668" s="6"/>
      <c r="AZ668" s="6"/>
      <c r="BA668" s="6"/>
      <c r="BB668" s="6"/>
      <c r="BC668" s="6"/>
      <c r="BD668" s="6"/>
      <c r="BE668" s="6"/>
      <c r="BF668" s="6"/>
      <c r="BG668" s="6"/>
      <c r="BH668" s="6"/>
      <c r="BI668" s="6"/>
      <c r="BJ668" s="6"/>
      <c r="BK668" s="6"/>
      <c r="BL668" s="6"/>
      <c r="BM668" s="6"/>
      <c r="BN668" s="6"/>
      <c r="BO668" s="6"/>
      <c r="BP668" s="6"/>
      <c r="BQ668" s="6"/>
    </row>
    <row r="669" spans="2:69" hidden="1" x14ac:dyDescent="0.2">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c r="AM669" s="6"/>
      <c r="AN669" s="6"/>
      <c r="AO669" s="6"/>
      <c r="AP669" s="6"/>
      <c r="AQ669" s="6"/>
      <c r="AR669" s="6"/>
      <c r="AS669" s="6"/>
      <c r="AT669" s="6"/>
      <c r="AU669" s="6"/>
      <c r="AV669" s="6"/>
      <c r="AW669" s="6"/>
      <c r="AX669" s="6"/>
      <c r="AY669" s="6"/>
      <c r="AZ669" s="6"/>
      <c r="BA669" s="6"/>
      <c r="BB669" s="6"/>
      <c r="BC669" s="6"/>
      <c r="BD669" s="6"/>
      <c r="BE669" s="6"/>
      <c r="BF669" s="6"/>
      <c r="BG669" s="6"/>
      <c r="BH669" s="6"/>
      <c r="BI669" s="6"/>
      <c r="BJ669" s="6"/>
      <c r="BK669" s="6"/>
      <c r="BL669" s="6"/>
      <c r="BM669" s="6"/>
      <c r="BN669" s="6"/>
      <c r="BO669" s="6"/>
      <c r="BP669" s="6"/>
      <c r="BQ669" s="6"/>
    </row>
    <row r="670" spans="2:69" hidden="1" x14ac:dyDescent="0.2">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c r="AM670" s="6"/>
      <c r="AN670" s="6"/>
      <c r="AO670" s="6"/>
      <c r="AP670" s="6"/>
      <c r="AQ670" s="6"/>
      <c r="AR670" s="6"/>
      <c r="AS670" s="6"/>
      <c r="AT670" s="6"/>
      <c r="AU670" s="6"/>
      <c r="AV670" s="6"/>
      <c r="AW670" s="6"/>
      <c r="AX670" s="6"/>
      <c r="AY670" s="6"/>
      <c r="AZ670" s="6"/>
      <c r="BA670" s="6"/>
      <c r="BB670" s="6"/>
      <c r="BC670" s="6"/>
      <c r="BD670" s="6"/>
      <c r="BE670" s="6"/>
      <c r="BF670" s="6"/>
      <c r="BG670" s="6"/>
      <c r="BH670" s="6"/>
      <c r="BI670" s="6"/>
      <c r="BJ670" s="6"/>
      <c r="BK670" s="6"/>
      <c r="BL670" s="6"/>
      <c r="BM670" s="6"/>
      <c r="BN670" s="6"/>
      <c r="BO670" s="6"/>
      <c r="BP670" s="6"/>
      <c r="BQ670" s="6"/>
    </row>
    <row r="671" spans="2:69" hidden="1" x14ac:dyDescent="0.2">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c r="AM671" s="6"/>
      <c r="AN671" s="6"/>
      <c r="AO671" s="6"/>
      <c r="AP671" s="6"/>
      <c r="AQ671" s="6"/>
      <c r="AR671" s="6"/>
      <c r="AS671" s="6"/>
      <c r="AT671" s="6"/>
      <c r="AU671" s="6"/>
      <c r="AV671" s="6"/>
      <c r="AW671" s="6"/>
      <c r="AX671" s="6"/>
      <c r="AY671" s="6"/>
      <c r="AZ671" s="6"/>
      <c r="BA671" s="6"/>
      <c r="BB671" s="6"/>
      <c r="BC671" s="6"/>
      <c r="BD671" s="6"/>
      <c r="BE671" s="6"/>
      <c r="BF671" s="6"/>
      <c r="BG671" s="6"/>
      <c r="BH671" s="6"/>
      <c r="BI671" s="6"/>
      <c r="BJ671" s="6"/>
      <c r="BK671" s="6"/>
      <c r="BL671" s="6"/>
      <c r="BM671" s="6"/>
      <c r="BN671" s="6"/>
      <c r="BO671" s="6"/>
      <c r="BP671" s="6"/>
      <c r="BQ671" s="6"/>
    </row>
    <row r="672" spans="2:69" hidden="1" x14ac:dyDescent="0.2">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c r="AM672" s="6"/>
      <c r="AN672" s="6"/>
      <c r="AO672" s="6"/>
      <c r="AP672" s="6"/>
      <c r="AQ672" s="6"/>
      <c r="AR672" s="6"/>
      <c r="AS672" s="6"/>
      <c r="AT672" s="6"/>
      <c r="AU672" s="6"/>
      <c r="AV672" s="6"/>
      <c r="AW672" s="6"/>
      <c r="AX672" s="6"/>
      <c r="AY672" s="6"/>
      <c r="AZ672" s="6"/>
      <c r="BA672" s="6"/>
      <c r="BB672" s="6"/>
      <c r="BC672" s="6"/>
      <c r="BD672" s="6"/>
      <c r="BE672" s="6"/>
      <c r="BF672" s="6"/>
      <c r="BG672" s="6"/>
      <c r="BH672" s="6"/>
      <c r="BI672" s="6"/>
      <c r="BJ672" s="6"/>
      <c r="BK672" s="6"/>
      <c r="BL672" s="6"/>
      <c r="BM672" s="6"/>
      <c r="BN672" s="6"/>
      <c r="BO672" s="6"/>
      <c r="BP672" s="6"/>
      <c r="BQ672" s="6"/>
    </row>
    <row r="673" spans="2:69" hidden="1" x14ac:dyDescent="0.2">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c r="AM673" s="6"/>
      <c r="AN673" s="6"/>
      <c r="AO673" s="6"/>
      <c r="AP673" s="6"/>
      <c r="AQ673" s="6"/>
      <c r="AR673" s="6"/>
      <c r="AS673" s="6"/>
      <c r="AT673" s="6"/>
      <c r="AU673" s="6"/>
      <c r="AV673" s="6"/>
      <c r="AW673" s="6"/>
      <c r="AX673" s="6"/>
      <c r="AY673" s="6"/>
      <c r="AZ673" s="6"/>
      <c r="BA673" s="6"/>
      <c r="BB673" s="6"/>
      <c r="BC673" s="6"/>
      <c r="BD673" s="6"/>
      <c r="BE673" s="6"/>
      <c r="BF673" s="6"/>
      <c r="BG673" s="6"/>
      <c r="BH673" s="6"/>
      <c r="BI673" s="6"/>
      <c r="BJ673" s="6"/>
      <c r="BK673" s="6"/>
      <c r="BL673" s="6"/>
      <c r="BM673" s="6"/>
      <c r="BN673" s="6"/>
      <c r="BO673" s="6"/>
      <c r="BP673" s="6"/>
      <c r="BQ673" s="6"/>
    </row>
    <row r="674" spans="2:69" hidden="1" x14ac:dyDescent="0.2">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c r="AM674" s="6"/>
      <c r="AN674" s="6"/>
      <c r="AO674" s="6"/>
      <c r="AP674" s="6"/>
      <c r="AQ674" s="6"/>
      <c r="AR674" s="6"/>
      <c r="AS674" s="6"/>
      <c r="AT674" s="6"/>
      <c r="AU674" s="6"/>
      <c r="AV674" s="6"/>
      <c r="AW674" s="6"/>
      <c r="AX674" s="6"/>
      <c r="AY674" s="6"/>
      <c r="AZ674" s="6"/>
      <c r="BA674" s="6"/>
      <c r="BB674" s="6"/>
      <c r="BC674" s="6"/>
      <c r="BD674" s="6"/>
      <c r="BE674" s="6"/>
      <c r="BF674" s="6"/>
      <c r="BG674" s="6"/>
      <c r="BH674" s="6"/>
      <c r="BI674" s="6"/>
      <c r="BJ674" s="6"/>
      <c r="BK674" s="6"/>
      <c r="BL674" s="6"/>
      <c r="BM674" s="6"/>
      <c r="BN674" s="6"/>
      <c r="BO674" s="6"/>
      <c r="BP674" s="6"/>
      <c r="BQ674" s="6"/>
    </row>
    <row r="675" spans="2:69" hidden="1" x14ac:dyDescent="0.2">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c r="AM675" s="6"/>
      <c r="AN675" s="6"/>
      <c r="AO675" s="6"/>
      <c r="AP675" s="6"/>
      <c r="AQ675" s="6"/>
      <c r="AR675" s="6"/>
      <c r="AS675" s="6"/>
      <c r="AT675" s="6"/>
      <c r="AU675" s="6"/>
      <c r="AV675" s="6"/>
      <c r="AW675" s="6"/>
      <c r="AX675" s="6"/>
      <c r="AY675" s="6"/>
      <c r="AZ675" s="6"/>
      <c r="BA675" s="6"/>
      <c r="BB675" s="6"/>
      <c r="BC675" s="6"/>
      <c r="BD675" s="6"/>
      <c r="BE675" s="6"/>
      <c r="BF675" s="6"/>
      <c r="BG675" s="6"/>
      <c r="BH675" s="6"/>
      <c r="BI675" s="6"/>
      <c r="BJ675" s="6"/>
      <c r="BK675" s="6"/>
      <c r="BL675" s="6"/>
      <c r="BM675" s="6"/>
      <c r="BN675" s="6"/>
      <c r="BO675" s="6"/>
      <c r="BP675" s="6"/>
      <c r="BQ675" s="6"/>
    </row>
    <row r="676" spans="2:69" hidden="1" x14ac:dyDescent="0.2">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c r="AM676" s="6"/>
      <c r="AN676" s="6"/>
      <c r="AO676" s="6"/>
      <c r="AP676" s="6"/>
      <c r="AQ676" s="6"/>
      <c r="AR676" s="6"/>
      <c r="AS676" s="6"/>
      <c r="AT676" s="6"/>
      <c r="AU676" s="6"/>
      <c r="AV676" s="6"/>
      <c r="AW676" s="6"/>
      <c r="AX676" s="6"/>
      <c r="AY676" s="6"/>
      <c r="AZ676" s="6"/>
      <c r="BA676" s="6"/>
      <c r="BB676" s="6"/>
      <c r="BC676" s="6"/>
      <c r="BD676" s="6"/>
      <c r="BE676" s="6"/>
      <c r="BF676" s="6"/>
      <c r="BG676" s="6"/>
      <c r="BH676" s="6"/>
      <c r="BI676" s="6"/>
      <c r="BJ676" s="6"/>
      <c r="BK676" s="6"/>
      <c r="BL676" s="6"/>
      <c r="BM676" s="6"/>
      <c r="BN676" s="6"/>
      <c r="BO676" s="6"/>
      <c r="BP676" s="6"/>
      <c r="BQ676" s="6"/>
    </row>
    <row r="677" spans="2:69" hidden="1" x14ac:dyDescent="0.2">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c r="AM677" s="6"/>
      <c r="AN677" s="6"/>
      <c r="AO677" s="6"/>
      <c r="AP677" s="6"/>
      <c r="AQ677" s="6"/>
      <c r="AR677" s="6"/>
      <c r="AS677" s="6"/>
      <c r="AT677" s="6"/>
      <c r="AU677" s="6"/>
      <c r="AV677" s="6"/>
      <c r="AW677" s="6"/>
      <c r="AX677" s="6"/>
      <c r="AY677" s="6"/>
      <c r="AZ677" s="6"/>
      <c r="BA677" s="6"/>
      <c r="BB677" s="6"/>
      <c r="BC677" s="6"/>
      <c r="BD677" s="6"/>
      <c r="BE677" s="6"/>
      <c r="BF677" s="6"/>
      <c r="BG677" s="6"/>
      <c r="BH677" s="6"/>
      <c r="BI677" s="6"/>
      <c r="BJ677" s="6"/>
      <c r="BK677" s="6"/>
      <c r="BL677" s="6"/>
      <c r="BM677" s="6"/>
      <c r="BN677" s="6"/>
      <c r="BO677" s="6"/>
      <c r="BP677" s="6"/>
      <c r="BQ677" s="6"/>
    </row>
    <row r="678" spans="2:69" hidden="1" x14ac:dyDescent="0.2">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M678" s="6"/>
      <c r="AN678" s="6"/>
      <c r="AO678" s="6"/>
      <c r="AP678" s="6"/>
      <c r="AQ678" s="6"/>
      <c r="AR678" s="6"/>
      <c r="AS678" s="6"/>
      <c r="AT678" s="6"/>
      <c r="AU678" s="6"/>
      <c r="AV678" s="6"/>
      <c r="AW678" s="6"/>
      <c r="AX678" s="6"/>
      <c r="AY678" s="6"/>
      <c r="AZ678" s="6"/>
      <c r="BA678" s="6"/>
      <c r="BB678" s="6"/>
      <c r="BC678" s="6"/>
      <c r="BD678" s="6"/>
      <c r="BE678" s="6"/>
      <c r="BF678" s="6"/>
      <c r="BG678" s="6"/>
      <c r="BH678" s="6"/>
      <c r="BI678" s="6"/>
      <c r="BJ678" s="6"/>
      <c r="BK678" s="6"/>
      <c r="BL678" s="6"/>
      <c r="BM678" s="6"/>
      <c r="BN678" s="6"/>
      <c r="BO678" s="6"/>
      <c r="BP678" s="6"/>
      <c r="BQ678" s="6"/>
    </row>
    <row r="679" spans="2:69" hidden="1" x14ac:dyDescent="0.2">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c r="AM679" s="6"/>
      <c r="AN679" s="6"/>
      <c r="AO679" s="6"/>
      <c r="AP679" s="6"/>
      <c r="AQ679" s="6"/>
      <c r="AR679" s="6"/>
      <c r="AS679" s="6"/>
      <c r="AT679" s="6"/>
      <c r="AU679" s="6"/>
      <c r="AV679" s="6"/>
      <c r="AW679" s="6"/>
      <c r="AX679" s="6"/>
      <c r="AY679" s="6"/>
      <c r="AZ679" s="6"/>
      <c r="BA679" s="6"/>
      <c r="BB679" s="6"/>
      <c r="BC679" s="6"/>
      <c r="BD679" s="6"/>
      <c r="BE679" s="6"/>
      <c r="BF679" s="6"/>
      <c r="BG679" s="6"/>
      <c r="BH679" s="6"/>
      <c r="BI679" s="6"/>
      <c r="BJ679" s="6"/>
      <c r="BK679" s="6"/>
      <c r="BL679" s="6"/>
      <c r="BM679" s="6"/>
      <c r="BN679" s="6"/>
      <c r="BO679" s="6"/>
      <c r="BP679" s="6"/>
      <c r="BQ679" s="6"/>
    </row>
    <row r="680" spans="2:69" hidden="1" x14ac:dyDescent="0.2">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c r="AM680" s="6"/>
      <c r="AN680" s="6"/>
      <c r="AO680" s="6"/>
      <c r="AP680" s="6"/>
      <c r="AQ680" s="6"/>
      <c r="AR680" s="6"/>
      <c r="AS680" s="6"/>
      <c r="AT680" s="6"/>
      <c r="AU680" s="6"/>
      <c r="AV680" s="6"/>
      <c r="AW680" s="6"/>
      <c r="AX680" s="6"/>
      <c r="AY680" s="6"/>
      <c r="AZ680" s="6"/>
      <c r="BA680" s="6"/>
      <c r="BB680" s="6"/>
      <c r="BC680" s="6"/>
      <c r="BD680" s="6"/>
      <c r="BE680" s="6"/>
      <c r="BF680" s="6"/>
      <c r="BG680" s="6"/>
      <c r="BH680" s="6"/>
      <c r="BI680" s="6"/>
      <c r="BJ680" s="6"/>
      <c r="BK680" s="6"/>
      <c r="BL680" s="6"/>
      <c r="BM680" s="6"/>
      <c r="BN680" s="6"/>
      <c r="BO680" s="6"/>
      <c r="BP680" s="6"/>
      <c r="BQ680" s="6"/>
    </row>
    <row r="681" spans="2:69" hidden="1" x14ac:dyDescent="0.2">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c r="AM681" s="6"/>
      <c r="AN681" s="6"/>
      <c r="AO681" s="6"/>
      <c r="AP681" s="6"/>
      <c r="AQ681" s="6"/>
      <c r="AR681" s="6"/>
      <c r="AS681" s="6"/>
      <c r="AT681" s="6"/>
      <c r="AU681" s="6"/>
      <c r="AV681" s="6"/>
      <c r="AW681" s="6"/>
      <c r="AX681" s="6"/>
      <c r="AY681" s="6"/>
      <c r="AZ681" s="6"/>
      <c r="BA681" s="6"/>
      <c r="BB681" s="6"/>
      <c r="BC681" s="6"/>
      <c r="BD681" s="6"/>
      <c r="BE681" s="6"/>
      <c r="BF681" s="6"/>
      <c r="BG681" s="6"/>
      <c r="BH681" s="6"/>
      <c r="BI681" s="6"/>
      <c r="BJ681" s="6"/>
      <c r="BK681" s="6"/>
      <c r="BL681" s="6"/>
      <c r="BM681" s="6"/>
      <c r="BN681" s="6"/>
      <c r="BO681" s="6"/>
      <c r="BP681" s="6"/>
      <c r="BQ681" s="6"/>
    </row>
    <row r="682" spans="2:69" hidden="1" x14ac:dyDescent="0.2">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c r="AM682" s="6"/>
      <c r="AN682" s="6"/>
      <c r="AO682" s="6"/>
      <c r="AP682" s="6"/>
      <c r="AQ682" s="6"/>
      <c r="AR682" s="6"/>
      <c r="AS682" s="6"/>
      <c r="AT682" s="6"/>
      <c r="AU682" s="6"/>
      <c r="AV682" s="6"/>
      <c r="AW682" s="6"/>
      <c r="AX682" s="6"/>
      <c r="AY682" s="6"/>
      <c r="AZ682" s="6"/>
      <c r="BA682" s="6"/>
      <c r="BB682" s="6"/>
      <c r="BC682" s="6"/>
      <c r="BD682" s="6"/>
      <c r="BE682" s="6"/>
      <c r="BF682" s="6"/>
      <c r="BG682" s="6"/>
      <c r="BH682" s="6"/>
      <c r="BI682" s="6"/>
      <c r="BJ682" s="6"/>
      <c r="BK682" s="6"/>
      <c r="BL682" s="6"/>
      <c r="BM682" s="6"/>
      <c r="BN682" s="6"/>
      <c r="BO682" s="6"/>
      <c r="BP682" s="6"/>
      <c r="BQ682" s="6"/>
    </row>
    <row r="683" spans="2:69" hidden="1" x14ac:dyDescent="0.2">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c r="AM683" s="6"/>
      <c r="AN683" s="6"/>
      <c r="AO683" s="6"/>
      <c r="AP683" s="6"/>
      <c r="AQ683" s="6"/>
      <c r="AR683" s="6"/>
      <c r="AS683" s="6"/>
      <c r="AT683" s="6"/>
      <c r="AU683" s="6"/>
      <c r="AV683" s="6"/>
      <c r="AW683" s="6"/>
      <c r="AX683" s="6"/>
      <c r="AY683" s="6"/>
      <c r="AZ683" s="6"/>
      <c r="BA683" s="6"/>
      <c r="BB683" s="6"/>
      <c r="BC683" s="6"/>
      <c r="BD683" s="6"/>
      <c r="BE683" s="6"/>
      <c r="BF683" s="6"/>
      <c r="BG683" s="6"/>
      <c r="BH683" s="6"/>
      <c r="BI683" s="6"/>
      <c r="BJ683" s="6"/>
      <c r="BK683" s="6"/>
      <c r="BL683" s="6"/>
      <c r="BM683" s="6"/>
      <c r="BN683" s="6"/>
      <c r="BO683" s="6"/>
      <c r="BP683" s="6"/>
      <c r="BQ683" s="6"/>
    </row>
    <row r="684" spans="2:69" hidden="1" x14ac:dyDescent="0.2">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c r="AM684" s="6"/>
      <c r="AN684" s="6"/>
      <c r="AO684" s="6"/>
      <c r="AP684" s="6"/>
      <c r="AQ684" s="6"/>
      <c r="AR684" s="6"/>
      <c r="AS684" s="6"/>
      <c r="AT684" s="6"/>
      <c r="AU684" s="6"/>
      <c r="AV684" s="6"/>
      <c r="AW684" s="6"/>
      <c r="AX684" s="6"/>
      <c r="AY684" s="6"/>
      <c r="AZ684" s="6"/>
      <c r="BA684" s="6"/>
      <c r="BB684" s="6"/>
      <c r="BC684" s="6"/>
      <c r="BD684" s="6"/>
      <c r="BE684" s="6"/>
      <c r="BF684" s="6"/>
      <c r="BG684" s="6"/>
      <c r="BH684" s="6"/>
      <c r="BI684" s="6"/>
      <c r="BJ684" s="6"/>
      <c r="BK684" s="6"/>
      <c r="BL684" s="6"/>
      <c r="BM684" s="6"/>
      <c r="BN684" s="6"/>
      <c r="BO684" s="6"/>
      <c r="BP684" s="6"/>
      <c r="BQ684" s="6"/>
    </row>
    <row r="685" spans="2:69" hidden="1" x14ac:dyDescent="0.2">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c r="AM685" s="6"/>
      <c r="AN685" s="6"/>
      <c r="AO685" s="6"/>
      <c r="AP685" s="6"/>
      <c r="AQ685" s="6"/>
      <c r="AR685" s="6"/>
      <c r="AS685" s="6"/>
      <c r="AT685" s="6"/>
      <c r="AU685" s="6"/>
      <c r="AV685" s="6"/>
      <c r="AW685" s="6"/>
      <c r="AX685" s="6"/>
      <c r="AY685" s="6"/>
      <c r="AZ685" s="6"/>
      <c r="BA685" s="6"/>
      <c r="BB685" s="6"/>
      <c r="BC685" s="6"/>
      <c r="BD685" s="6"/>
      <c r="BE685" s="6"/>
      <c r="BF685" s="6"/>
      <c r="BG685" s="6"/>
      <c r="BH685" s="6"/>
      <c r="BI685" s="6"/>
      <c r="BJ685" s="6"/>
      <c r="BK685" s="6"/>
      <c r="BL685" s="6"/>
      <c r="BM685" s="6"/>
      <c r="BN685" s="6"/>
      <c r="BO685" s="6"/>
      <c r="BP685" s="6"/>
      <c r="BQ685" s="6"/>
    </row>
    <row r="686" spans="2:69" hidden="1" x14ac:dyDescent="0.2">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c r="AM686" s="6"/>
      <c r="AN686" s="6"/>
      <c r="AO686" s="6"/>
      <c r="AP686" s="6"/>
      <c r="AQ686" s="6"/>
      <c r="AR686" s="6"/>
      <c r="AS686" s="6"/>
      <c r="AT686" s="6"/>
      <c r="AU686" s="6"/>
      <c r="AV686" s="6"/>
      <c r="AW686" s="6"/>
      <c r="AX686" s="6"/>
      <c r="AY686" s="6"/>
      <c r="AZ686" s="6"/>
      <c r="BA686" s="6"/>
      <c r="BB686" s="6"/>
      <c r="BC686" s="6"/>
      <c r="BD686" s="6"/>
      <c r="BE686" s="6"/>
      <c r="BF686" s="6"/>
      <c r="BG686" s="6"/>
      <c r="BH686" s="6"/>
      <c r="BI686" s="6"/>
      <c r="BJ686" s="6"/>
      <c r="BK686" s="6"/>
      <c r="BL686" s="6"/>
      <c r="BM686" s="6"/>
      <c r="BN686" s="6"/>
      <c r="BO686" s="6"/>
      <c r="BP686" s="6"/>
      <c r="BQ686" s="6"/>
    </row>
    <row r="687" spans="2:69" hidden="1" x14ac:dyDescent="0.2">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c r="AM687" s="6"/>
      <c r="AN687" s="6"/>
      <c r="AO687" s="6"/>
      <c r="AP687" s="6"/>
      <c r="AQ687" s="6"/>
      <c r="AR687" s="6"/>
      <c r="AS687" s="6"/>
      <c r="AT687" s="6"/>
      <c r="AU687" s="6"/>
      <c r="AV687" s="6"/>
      <c r="AW687" s="6"/>
      <c r="AX687" s="6"/>
      <c r="AY687" s="6"/>
      <c r="AZ687" s="6"/>
      <c r="BA687" s="6"/>
      <c r="BB687" s="6"/>
      <c r="BC687" s="6"/>
      <c r="BD687" s="6"/>
      <c r="BE687" s="6"/>
      <c r="BF687" s="6"/>
      <c r="BG687" s="6"/>
      <c r="BH687" s="6"/>
      <c r="BI687" s="6"/>
      <c r="BJ687" s="6"/>
      <c r="BK687" s="6"/>
      <c r="BL687" s="6"/>
      <c r="BM687" s="6"/>
      <c r="BN687" s="6"/>
      <c r="BO687" s="6"/>
      <c r="BP687" s="6"/>
      <c r="BQ687" s="6"/>
    </row>
    <row r="688" spans="2:69" hidden="1" x14ac:dyDescent="0.2">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c r="AM688" s="6"/>
      <c r="AN688" s="6"/>
      <c r="AO688" s="6"/>
      <c r="AP688" s="6"/>
      <c r="AQ688" s="6"/>
      <c r="AR688" s="6"/>
      <c r="AS688" s="6"/>
      <c r="AT688" s="6"/>
      <c r="AU688" s="6"/>
      <c r="AV688" s="6"/>
      <c r="AW688" s="6"/>
      <c r="AX688" s="6"/>
      <c r="AY688" s="6"/>
      <c r="AZ688" s="6"/>
      <c r="BA688" s="6"/>
      <c r="BB688" s="6"/>
      <c r="BC688" s="6"/>
      <c r="BD688" s="6"/>
      <c r="BE688" s="6"/>
      <c r="BF688" s="6"/>
      <c r="BG688" s="6"/>
      <c r="BH688" s="6"/>
      <c r="BI688" s="6"/>
      <c r="BJ688" s="6"/>
      <c r="BK688" s="6"/>
      <c r="BL688" s="6"/>
      <c r="BM688" s="6"/>
      <c r="BN688" s="6"/>
      <c r="BO688" s="6"/>
      <c r="BP688" s="6"/>
      <c r="BQ688" s="6"/>
    </row>
    <row r="689" spans="2:69" hidden="1" x14ac:dyDescent="0.2">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c r="AM689" s="6"/>
      <c r="AN689" s="6"/>
      <c r="AO689" s="6"/>
      <c r="AP689" s="6"/>
      <c r="AQ689" s="6"/>
      <c r="AR689" s="6"/>
      <c r="AS689" s="6"/>
      <c r="AT689" s="6"/>
      <c r="AU689" s="6"/>
      <c r="AV689" s="6"/>
      <c r="AW689" s="6"/>
      <c r="AX689" s="6"/>
      <c r="AY689" s="6"/>
      <c r="AZ689" s="6"/>
      <c r="BA689" s="6"/>
      <c r="BB689" s="6"/>
      <c r="BC689" s="6"/>
      <c r="BD689" s="6"/>
      <c r="BE689" s="6"/>
      <c r="BF689" s="6"/>
      <c r="BG689" s="6"/>
      <c r="BH689" s="6"/>
      <c r="BI689" s="6"/>
      <c r="BJ689" s="6"/>
      <c r="BK689" s="6"/>
      <c r="BL689" s="6"/>
      <c r="BM689" s="6"/>
      <c r="BN689" s="6"/>
      <c r="BO689" s="6"/>
      <c r="BP689" s="6"/>
      <c r="BQ689" s="6"/>
    </row>
    <row r="690" spans="2:69" hidden="1" x14ac:dyDescent="0.2">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c r="AM690" s="6"/>
      <c r="AN690" s="6"/>
      <c r="AO690" s="6"/>
      <c r="AP690" s="6"/>
      <c r="AQ690" s="6"/>
      <c r="AR690" s="6"/>
      <c r="AS690" s="6"/>
      <c r="AT690" s="6"/>
      <c r="AU690" s="6"/>
      <c r="AV690" s="6"/>
      <c r="AW690" s="6"/>
      <c r="AX690" s="6"/>
      <c r="AY690" s="6"/>
      <c r="AZ690" s="6"/>
      <c r="BA690" s="6"/>
      <c r="BB690" s="6"/>
      <c r="BC690" s="6"/>
      <c r="BD690" s="6"/>
      <c r="BE690" s="6"/>
      <c r="BF690" s="6"/>
      <c r="BG690" s="6"/>
      <c r="BH690" s="6"/>
      <c r="BI690" s="6"/>
      <c r="BJ690" s="6"/>
      <c r="BK690" s="6"/>
      <c r="BL690" s="6"/>
      <c r="BM690" s="6"/>
      <c r="BN690" s="6"/>
      <c r="BO690" s="6"/>
      <c r="BP690" s="6"/>
      <c r="BQ690" s="6"/>
    </row>
    <row r="691" spans="2:69" hidden="1" x14ac:dyDescent="0.2">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c r="AM691" s="6"/>
      <c r="AN691" s="6"/>
      <c r="AO691" s="6"/>
      <c r="AP691" s="6"/>
      <c r="AQ691" s="6"/>
      <c r="AR691" s="6"/>
      <c r="AS691" s="6"/>
      <c r="AT691" s="6"/>
      <c r="AU691" s="6"/>
      <c r="AV691" s="6"/>
      <c r="AW691" s="6"/>
      <c r="AX691" s="6"/>
      <c r="AY691" s="6"/>
      <c r="AZ691" s="6"/>
      <c r="BA691" s="6"/>
      <c r="BB691" s="6"/>
      <c r="BC691" s="6"/>
      <c r="BD691" s="6"/>
      <c r="BE691" s="6"/>
      <c r="BF691" s="6"/>
      <c r="BG691" s="6"/>
      <c r="BH691" s="6"/>
      <c r="BI691" s="6"/>
      <c r="BJ691" s="6"/>
      <c r="BK691" s="6"/>
      <c r="BL691" s="6"/>
      <c r="BM691" s="6"/>
      <c r="BN691" s="6"/>
      <c r="BO691" s="6"/>
      <c r="BP691" s="6"/>
      <c r="BQ691" s="6"/>
    </row>
    <row r="692" spans="2:69" hidden="1" x14ac:dyDescent="0.2">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M692" s="6"/>
      <c r="AN692" s="6"/>
      <c r="AO692" s="6"/>
      <c r="AP692" s="6"/>
      <c r="AQ692" s="6"/>
      <c r="AR692" s="6"/>
      <c r="AS692" s="6"/>
      <c r="AT692" s="6"/>
      <c r="AU692" s="6"/>
      <c r="AV692" s="6"/>
      <c r="AW692" s="6"/>
      <c r="AX692" s="6"/>
      <c r="AY692" s="6"/>
      <c r="AZ692" s="6"/>
      <c r="BA692" s="6"/>
      <c r="BB692" s="6"/>
      <c r="BC692" s="6"/>
      <c r="BD692" s="6"/>
      <c r="BE692" s="6"/>
      <c r="BF692" s="6"/>
      <c r="BG692" s="6"/>
      <c r="BH692" s="6"/>
      <c r="BI692" s="6"/>
      <c r="BJ692" s="6"/>
      <c r="BK692" s="6"/>
      <c r="BL692" s="6"/>
      <c r="BM692" s="6"/>
      <c r="BN692" s="6"/>
      <c r="BO692" s="6"/>
      <c r="BP692" s="6"/>
      <c r="BQ692" s="6"/>
    </row>
    <row r="693" spans="2:69" hidden="1" x14ac:dyDescent="0.2">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c r="AM693" s="6"/>
      <c r="AN693" s="6"/>
      <c r="AO693" s="6"/>
      <c r="AP693" s="6"/>
      <c r="AQ693" s="6"/>
      <c r="AR693" s="6"/>
      <c r="AS693" s="6"/>
      <c r="AT693" s="6"/>
      <c r="AU693" s="6"/>
      <c r="AV693" s="6"/>
      <c r="AW693" s="6"/>
      <c r="AX693" s="6"/>
      <c r="AY693" s="6"/>
      <c r="AZ693" s="6"/>
      <c r="BA693" s="6"/>
      <c r="BB693" s="6"/>
      <c r="BC693" s="6"/>
      <c r="BD693" s="6"/>
      <c r="BE693" s="6"/>
      <c r="BF693" s="6"/>
      <c r="BG693" s="6"/>
      <c r="BH693" s="6"/>
      <c r="BI693" s="6"/>
      <c r="BJ693" s="6"/>
      <c r="BK693" s="6"/>
      <c r="BL693" s="6"/>
      <c r="BM693" s="6"/>
      <c r="BN693" s="6"/>
      <c r="BO693" s="6"/>
      <c r="BP693" s="6"/>
      <c r="BQ693" s="6"/>
    </row>
    <row r="694" spans="2:69" hidden="1" x14ac:dyDescent="0.2">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M694" s="6"/>
      <c r="AN694" s="6"/>
      <c r="AO694" s="6"/>
      <c r="AP694" s="6"/>
      <c r="AQ694" s="6"/>
      <c r="AR694" s="6"/>
      <c r="AS694" s="6"/>
      <c r="AT694" s="6"/>
      <c r="AU694" s="6"/>
      <c r="AV694" s="6"/>
      <c r="AW694" s="6"/>
      <c r="AX694" s="6"/>
      <c r="AY694" s="6"/>
      <c r="AZ694" s="6"/>
      <c r="BA694" s="6"/>
      <c r="BB694" s="6"/>
      <c r="BC694" s="6"/>
      <c r="BD694" s="6"/>
      <c r="BE694" s="6"/>
      <c r="BF694" s="6"/>
      <c r="BG694" s="6"/>
      <c r="BH694" s="6"/>
      <c r="BI694" s="6"/>
      <c r="BJ694" s="6"/>
      <c r="BK694" s="6"/>
      <c r="BL694" s="6"/>
      <c r="BM694" s="6"/>
      <c r="BN694" s="6"/>
      <c r="BO694" s="6"/>
      <c r="BP694" s="6"/>
      <c r="BQ694" s="6"/>
    </row>
    <row r="695" spans="2:69" hidden="1" x14ac:dyDescent="0.2">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M695" s="6"/>
      <c r="AN695" s="6"/>
      <c r="AO695" s="6"/>
      <c r="AP695" s="6"/>
      <c r="AQ695" s="6"/>
      <c r="AR695" s="6"/>
      <c r="AS695" s="6"/>
      <c r="AT695" s="6"/>
      <c r="AU695" s="6"/>
      <c r="AV695" s="6"/>
      <c r="AW695" s="6"/>
      <c r="AX695" s="6"/>
      <c r="AY695" s="6"/>
      <c r="AZ695" s="6"/>
      <c r="BA695" s="6"/>
      <c r="BB695" s="6"/>
      <c r="BC695" s="6"/>
      <c r="BD695" s="6"/>
      <c r="BE695" s="6"/>
      <c r="BF695" s="6"/>
      <c r="BG695" s="6"/>
      <c r="BH695" s="6"/>
      <c r="BI695" s="6"/>
      <c r="BJ695" s="6"/>
      <c r="BK695" s="6"/>
      <c r="BL695" s="6"/>
      <c r="BM695" s="6"/>
      <c r="BN695" s="6"/>
      <c r="BO695" s="6"/>
      <c r="BP695" s="6"/>
      <c r="BQ695" s="6"/>
    </row>
    <row r="696" spans="2:69" hidden="1" x14ac:dyDescent="0.2">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c r="AM696" s="6"/>
      <c r="AN696" s="6"/>
      <c r="AO696" s="6"/>
      <c r="AP696" s="6"/>
      <c r="AQ696" s="6"/>
      <c r="AR696" s="6"/>
      <c r="AS696" s="6"/>
      <c r="AT696" s="6"/>
      <c r="AU696" s="6"/>
      <c r="AV696" s="6"/>
      <c r="AW696" s="6"/>
      <c r="AX696" s="6"/>
      <c r="AY696" s="6"/>
      <c r="AZ696" s="6"/>
      <c r="BA696" s="6"/>
      <c r="BB696" s="6"/>
      <c r="BC696" s="6"/>
      <c r="BD696" s="6"/>
      <c r="BE696" s="6"/>
      <c r="BF696" s="6"/>
      <c r="BG696" s="6"/>
      <c r="BH696" s="6"/>
      <c r="BI696" s="6"/>
      <c r="BJ696" s="6"/>
      <c r="BK696" s="6"/>
      <c r="BL696" s="6"/>
      <c r="BM696" s="6"/>
      <c r="BN696" s="6"/>
      <c r="BO696" s="6"/>
      <c r="BP696" s="6"/>
      <c r="BQ696" s="6"/>
    </row>
    <row r="697" spans="2:69" hidden="1" x14ac:dyDescent="0.2">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c r="AM697" s="6"/>
      <c r="AN697" s="6"/>
      <c r="AO697" s="6"/>
      <c r="AP697" s="6"/>
      <c r="AQ697" s="6"/>
      <c r="AR697" s="6"/>
      <c r="AS697" s="6"/>
      <c r="AT697" s="6"/>
      <c r="AU697" s="6"/>
      <c r="AV697" s="6"/>
      <c r="AW697" s="6"/>
      <c r="AX697" s="6"/>
      <c r="AY697" s="6"/>
      <c r="AZ697" s="6"/>
      <c r="BA697" s="6"/>
      <c r="BB697" s="6"/>
      <c r="BC697" s="6"/>
      <c r="BD697" s="6"/>
      <c r="BE697" s="6"/>
      <c r="BF697" s="6"/>
      <c r="BG697" s="6"/>
      <c r="BH697" s="6"/>
      <c r="BI697" s="6"/>
      <c r="BJ697" s="6"/>
      <c r="BK697" s="6"/>
      <c r="BL697" s="6"/>
      <c r="BM697" s="6"/>
      <c r="BN697" s="6"/>
      <c r="BO697" s="6"/>
      <c r="BP697" s="6"/>
      <c r="BQ697" s="6"/>
    </row>
    <row r="698" spans="2:69" hidden="1" x14ac:dyDescent="0.2">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c r="AM698" s="6"/>
      <c r="AN698" s="6"/>
      <c r="AO698" s="6"/>
      <c r="AP698" s="6"/>
      <c r="AQ698" s="6"/>
      <c r="AR698" s="6"/>
      <c r="AS698" s="6"/>
      <c r="AT698" s="6"/>
      <c r="AU698" s="6"/>
      <c r="AV698" s="6"/>
      <c r="AW698" s="6"/>
      <c r="AX698" s="6"/>
      <c r="AY698" s="6"/>
      <c r="AZ698" s="6"/>
      <c r="BA698" s="6"/>
      <c r="BB698" s="6"/>
      <c r="BC698" s="6"/>
      <c r="BD698" s="6"/>
      <c r="BE698" s="6"/>
      <c r="BF698" s="6"/>
      <c r="BG698" s="6"/>
      <c r="BH698" s="6"/>
      <c r="BI698" s="6"/>
      <c r="BJ698" s="6"/>
      <c r="BK698" s="6"/>
      <c r="BL698" s="6"/>
      <c r="BM698" s="6"/>
      <c r="BN698" s="6"/>
      <c r="BO698" s="6"/>
      <c r="BP698" s="6"/>
      <c r="BQ698" s="6"/>
    </row>
    <row r="699" spans="2:69" hidden="1" x14ac:dyDescent="0.2">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c r="AM699" s="6"/>
      <c r="AN699" s="6"/>
      <c r="AO699" s="6"/>
      <c r="AP699" s="6"/>
      <c r="AQ699" s="6"/>
      <c r="AR699" s="6"/>
      <c r="AS699" s="6"/>
      <c r="AT699" s="6"/>
      <c r="AU699" s="6"/>
      <c r="AV699" s="6"/>
      <c r="AW699" s="6"/>
      <c r="AX699" s="6"/>
      <c r="AY699" s="6"/>
      <c r="AZ699" s="6"/>
      <c r="BA699" s="6"/>
      <c r="BB699" s="6"/>
      <c r="BC699" s="6"/>
      <c r="BD699" s="6"/>
      <c r="BE699" s="6"/>
      <c r="BF699" s="6"/>
      <c r="BG699" s="6"/>
      <c r="BH699" s="6"/>
      <c r="BI699" s="6"/>
      <c r="BJ699" s="6"/>
      <c r="BK699" s="6"/>
      <c r="BL699" s="6"/>
      <c r="BM699" s="6"/>
      <c r="BN699" s="6"/>
      <c r="BO699" s="6"/>
      <c r="BP699" s="6"/>
      <c r="BQ699" s="6"/>
    </row>
    <row r="700" spans="2:69" hidden="1" x14ac:dyDescent="0.2">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c r="AM700" s="6"/>
      <c r="AN700" s="6"/>
      <c r="AO700" s="6"/>
      <c r="AP700" s="6"/>
      <c r="AQ700" s="6"/>
      <c r="AR700" s="6"/>
      <c r="AS700" s="6"/>
      <c r="AT700" s="6"/>
      <c r="AU700" s="6"/>
      <c r="AV700" s="6"/>
      <c r="AW700" s="6"/>
      <c r="AX700" s="6"/>
      <c r="AY700" s="6"/>
      <c r="AZ700" s="6"/>
      <c r="BA700" s="6"/>
      <c r="BB700" s="6"/>
      <c r="BC700" s="6"/>
      <c r="BD700" s="6"/>
      <c r="BE700" s="6"/>
      <c r="BF700" s="6"/>
      <c r="BG700" s="6"/>
      <c r="BH700" s="6"/>
      <c r="BI700" s="6"/>
      <c r="BJ700" s="6"/>
      <c r="BK700" s="6"/>
      <c r="BL700" s="6"/>
      <c r="BM700" s="6"/>
      <c r="BN700" s="6"/>
      <c r="BO700" s="6"/>
      <c r="BP700" s="6"/>
      <c r="BQ700" s="6"/>
    </row>
    <row r="701" spans="2:69" hidden="1" x14ac:dyDescent="0.2">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M701" s="6"/>
      <c r="AN701" s="6"/>
      <c r="AO701" s="6"/>
      <c r="AP701" s="6"/>
      <c r="AQ701" s="6"/>
      <c r="AR701" s="6"/>
      <c r="AS701" s="6"/>
      <c r="AT701" s="6"/>
      <c r="AU701" s="6"/>
      <c r="AV701" s="6"/>
      <c r="AW701" s="6"/>
      <c r="AX701" s="6"/>
      <c r="AY701" s="6"/>
      <c r="AZ701" s="6"/>
      <c r="BA701" s="6"/>
      <c r="BB701" s="6"/>
      <c r="BC701" s="6"/>
      <c r="BD701" s="6"/>
      <c r="BE701" s="6"/>
      <c r="BF701" s="6"/>
      <c r="BG701" s="6"/>
      <c r="BH701" s="6"/>
      <c r="BI701" s="6"/>
      <c r="BJ701" s="6"/>
      <c r="BK701" s="6"/>
      <c r="BL701" s="6"/>
      <c r="BM701" s="6"/>
      <c r="BN701" s="6"/>
      <c r="BO701" s="6"/>
      <c r="BP701" s="6"/>
      <c r="BQ701" s="6"/>
    </row>
    <row r="702" spans="2:69" hidden="1" x14ac:dyDescent="0.2">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M702" s="6"/>
      <c r="AN702" s="6"/>
      <c r="AO702" s="6"/>
      <c r="AP702" s="6"/>
      <c r="AQ702" s="6"/>
      <c r="AR702" s="6"/>
      <c r="AS702" s="6"/>
      <c r="AT702" s="6"/>
      <c r="AU702" s="6"/>
      <c r="AV702" s="6"/>
      <c r="AW702" s="6"/>
      <c r="AX702" s="6"/>
      <c r="AY702" s="6"/>
      <c r="AZ702" s="6"/>
      <c r="BA702" s="6"/>
      <c r="BB702" s="6"/>
      <c r="BC702" s="6"/>
      <c r="BD702" s="6"/>
      <c r="BE702" s="6"/>
      <c r="BF702" s="6"/>
      <c r="BG702" s="6"/>
      <c r="BH702" s="6"/>
      <c r="BI702" s="6"/>
      <c r="BJ702" s="6"/>
      <c r="BK702" s="6"/>
      <c r="BL702" s="6"/>
      <c r="BM702" s="6"/>
      <c r="BN702" s="6"/>
      <c r="BO702" s="6"/>
      <c r="BP702" s="6"/>
      <c r="BQ702" s="6"/>
    </row>
    <row r="703" spans="2:69" hidden="1" x14ac:dyDescent="0.2">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M703" s="6"/>
      <c r="AN703" s="6"/>
      <c r="AO703" s="6"/>
      <c r="AP703" s="6"/>
      <c r="AQ703" s="6"/>
      <c r="AR703" s="6"/>
      <c r="AS703" s="6"/>
      <c r="AT703" s="6"/>
      <c r="AU703" s="6"/>
      <c r="AV703" s="6"/>
      <c r="AW703" s="6"/>
      <c r="AX703" s="6"/>
      <c r="AY703" s="6"/>
      <c r="AZ703" s="6"/>
      <c r="BA703" s="6"/>
      <c r="BB703" s="6"/>
      <c r="BC703" s="6"/>
      <c r="BD703" s="6"/>
      <c r="BE703" s="6"/>
      <c r="BF703" s="6"/>
      <c r="BG703" s="6"/>
      <c r="BH703" s="6"/>
      <c r="BI703" s="6"/>
      <c r="BJ703" s="6"/>
      <c r="BK703" s="6"/>
      <c r="BL703" s="6"/>
      <c r="BM703" s="6"/>
      <c r="BN703" s="6"/>
      <c r="BO703" s="6"/>
      <c r="BP703" s="6"/>
      <c r="BQ703" s="6"/>
    </row>
    <row r="704" spans="2:69" hidden="1" x14ac:dyDescent="0.2">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M704" s="6"/>
      <c r="AN704" s="6"/>
      <c r="AO704" s="6"/>
      <c r="AP704" s="6"/>
      <c r="AQ704" s="6"/>
      <c r="AR704" s="6"/>
      <c r="AS704" s="6"/>
      <c r="AT704" s="6"/>
      <c r="AU704" s="6"/>
      <c r="AV704" s="6"/>
      <c r="AW704" s="6"/>
      <c r="AX704" s="6"/>
      <c r="AY704" s="6"/>
      <c r="AZ704" s="6"/>
      <c r="BA704" s="6"/>
      <c r="BB704" s="6"/>
      <c r="BC704" s="6"/>
      <c r="BD704" s="6"/>
      <c r="BE704" s="6"/>
      <c r="BF704" s="6"/>
      <c r="BG704" s="6"/>
      <c r="BH704" s="6"/>
      <c r="BI704" s="6"/>
      <c r="BJ704" s="6"/>
      <c r="BK704" s="6"/>
      <c r="BL704" s="6"/>
      <c r="BM704" s="6"/>
      <c r="BN704" s="6"/>
      <c r="BO704" s="6"/>
      <c r="BP704" s="6"/>
      <c r="BQ704" s="6"/>
    </row>
    <row r="705" spans="2:69" hidden="1" x14ac:dyDescent="0.2">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M705" s="6"/>
      <c r="AN705" s="6"/>
      <c r="AO705" s="6"/>
      <c r="AP705" s="6"/>
      <c r="AQ705" s="6"/>
      <c r="AR705" s="6"/>
      <c r="AS705" s="6"/>
      <c r="AT705" s="6"/>
      <c r="AU705" s="6"/>
      <c r="AV705" s="6"/>
      <c r="AW705" s="6"/>
      <c r="AX705" s="6"/>
      <c r="AY705" s="6"/>
      <c r="AZ705" s="6"/>
      <c r="BA705" s="6"/>
      <c r="BB705" s="6"/>
      <c r="BC705" s="6"/>
      <c r="BD705" s="6"/>
      <c r="BE705" s="6"/>
      <c r="BF705" s="6"/>
      <c r="BG705" s="6"/>
      <c r="BH705" s="6"/>
      <c r="BI705" s="6"/>
      <c r="BJ705" s="6"/>
      <c r="BK705" s="6"/>
      <c r="BL705" s="6"/>
      <c r="BM705" s="6"/>
      <c r="BN705" s="6"/>
      <c r="BO705" s="6"/>
      <c r="BP705" s="6"/>
      <c r="BQ705" s="6"/>
    </row>
    <row r="706" spans="2:69" hidden="1" x14ac:dyDescent="0.2">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c r="AM706" s="6"/>
      <c r="AN706" s="6"/>
      <c r="AO706" s="6"/>
      <c r="AP706" s="6"/>
      <c r="AQ706" s="6"/>
      <c r="AR706" s="6"/>
      <c r="AS706" s="6"/>
      <c r="AT706" s="6"/>
      <c r="AU706" s="6"/>
      <c r="AV706" s="6"/>
      <c r="AW706" s="6"/>
      <c r="AX706" s="6"/>
      <c r="AY706" s="6"/>
      <c r="AZ706" s="6"/>
      <c r="BA706" s="6"/>
      <c r="BB706" s="6"/>
      <c r="BC706" s="6"/>
      <c r="BD706" s="6"/>
      <c r="BE706" s="6"/>
      <c r="BF706" s="6"/>
      <c r="BG706" s="6"/>
      <c r="BH706" s="6"/>
      <c r="BI706" s="6"/>
      <c r="BJ706" s="6"/>
      <c r="BK706" s="6"/>
      <c r="BL706" s="6"/>
      <c r="BM706" s="6"/>
      <c r="BN706" s="6"/>
      <c r="BO706" s="6"/>
      <c r="BP706" s="6"/>
      <c r="BQ706" s="6"/>
    </row>
    <row r="707" spans="2:69" hidden="1" x14ac:dyDescent="0.2">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c r="AM707" s="6"/>
      <c r="AN707" s="6"/>
      <c r="AO707" s="6"/>
      <c r="AP707" s="6"/>
      <c r="AQ707" s="6"/>
      <c r="AR707" s="6"/>
      <c r="AS707" s="6"/>
      <c r="AT707" s="6"/>
      <c r="AU707" s="6"/>
      <c r="AV707" s="6"/>
      <c r="AW707" s="6"/>
      <c r="AX707" s="6"/>
      <c r="AY707" s="6"/>
      <c r="AZ707" s="6"/>
      <c r="BA707" s="6"/>
      <c r="BB707" s="6"/>
      <c r="BC707" s="6"/>
      <c r="BD707" s="6"/>
      <c r="BE707" s="6"/>
      <c r="BF707" s="6"/>
      <c r="BG707" s="6"/>
      <c r="BH707" s="6"/>
      <c r="BI707" s="6"/>
      <c r="BJ707" s="6"/>
      <c r="BK707" s="6"/>
      <c r="BL707" s="6"/>
      <c r="BM707" s="6"/>
      <c r="BN707" s="6"/>
      <c r="BO707" s="6"/>
      <c r="BP707" s="6"/>
      <c r="BQ707" s="6"/>
    </row>
    <row r="708" spans="2:69" hidden="1" x14ac:dyDescent="0.2">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c r="AM708" s="6"/>
      <c r="AN708" s="6"/>
      <c r="AO708" s="6"/>
      <c r="AP708" s="6"/>
      <c r="AQ708" s="6"/>
      <c r="AR708" s="6"/>
      <c r="AS708" s="6"/>
      <c r="AT708" s="6"/>
      <c r="AU708" s="6"/>
      <c r="AV708" s="6"/>
      <c r="AW708" s="6"/>
      <c r="AX708" s="6"/>
      <c r="AY708" s="6"/>
      <c r="AZ708" s="6"/>
      <c r="BA708" s="6"/>
      <c r="BB708" s="6"/>
      <c r="BC708" s="6"/>
      <c r="BD708" s="6"/>
      <c r="BE708" s="6"/>
      <c r="BF708" s="6"/>
      <c r="BG708" s="6"/>
      <c r="BH708" s="6"/>
      <c r="BI708" s="6"/>
      <c r="BJ708" s="6"/>
      <c r="BK708" s="6"/>
      <c r="BL708" s="6"/>
      <c r="BM708" s="6"/>
      <c r="BN708" s="6"/>
      <c r="BO708" s="6"/>
      <c r="BP708" s="6"/>
      <c r="BQ708" s="6"/>
    </row>
    <row r="709" spans="2:69" hidden="1" x14ac:dyDescent="0.2">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c r="AM709" s="6"/>
      <c r="AN709" s="6"/>
      <c r="AO709" s="6"/>
      <c r="AP709" s="6"/>
      <c r="AQ709" s="6"/>
      <c r="AR709" s="6"/>
      <c r="AS709" s="6"/>
      <c r="AT709" s="6"/>
      <c r="AU709" s="6"/>
      <c r="AV709" s="6"/>
      <c r="AW709" s="6"/>
      <c r="AX709" s="6"/>
      <c r="AY709" s="6"/>
      <c r="AZ709" s="6"/>
      <c r="BA709" s="6"/>
      <c r="BB709" s="6"/>
      <c r="BC709" s="6"/>
      <c r="BD709" s="6"/>
      <c r="BE709" s="6"/>
      <c r="BF709" s="6"/>
      <c r="BG709" s="6"/>
      <c r="BH709" s="6"/>
      <c r="BI709" s="6"/>
      <c r="BJ709" s="6"/>
      <c r="BK709" s="6"/>
      <c r="BL709" s="6"/>
      <c r="BM709" s="6"/>
      <c r="BN709" s="6"/>
      <c r="BO709" s="6"/>
      <c r="BP709" s="6"/>
      <c r="BQ709" s="6"/>
    </row>
    <row r="710" spans="2:69" hidden="1" x14ac:dyDescent="0.2">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c r="AM710" s="6"/>
      <c r="AN710" s="6"/>
      <c r="AO710" s="6"/>
      <c r="AP710" s="6"/>
      <c r="AQ710" s="6"/>
      <c r="AR710" s="6"/>
      <c r="AS710" s="6"/>
      <c r="AT710" s="6"/>
      <c r="AU710" s="6"/>
      <c r="AV710" s="6"/>
      <c r="AW710" s="6"/>
      <c r="AX710" s="6"/>
      <c r="AY710" s="6"/>
      <c r="AZ710" s="6"/>
      <c r="BA710" s="6"/>
      <c r="BB710" s="6"/>
      <c r="BC710" s="6"/>
      <c r="BD710" s="6"/>
      <c r="BE710" s="6"/>
      <c r="BF710" s="6"/>
      <c r="BG710" s="6"/>
      <c r="BH710" s="6"/>
      <c r="BI710" s="6"/>
      <c r="BJ710" s="6"/>
      <c r="BK710" s="6"/>
      <c r="BL710" s="6"/>
      <c r="BM710" s="6"/>
      <c r="BN710" s="6"/>
      <c r="BO710" s="6"/>
      <c r="BP710" s="6"/>
      <c r="BQ710" s="6"/>
    </row>
    <row r="711" spans="2:69" hidden="1" x14ac:dyDescent="0.2">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M711" s="6"/>
      <c r="AN711" s="6"/>
      <c r="AO711" s="6"/>
      <c r="AP711" s="6"/>
      <c r="AQ711" s="6"/>
      <c r="AR711" s="6"/>
      <c r="AS711" s="6"/>
      <c r="AT711" s="6"/>
      <c r="AU711" s="6"/>
      <c r="AV711" s="6"/>
      <c r="AW711" s="6"/>
      <c r="AX711" s="6"/>
      <c r="AY711" s="6"/>
      <c r="AZ711" s="6"/>
      <c r="BA711" s="6"/>
      <c r="BB711" s="6"/>
      <c r="BC711" s="6"/>
      <c r="BD711" s="6"/>
      <c r="BE711" s="6"/>
      <c r="BF711" s="6"/>
      <c r="BG711" s="6"/>
      <c r="BH711" s="6"/>
      <c r="BI711" s="6"/>
      <c r="BJ711" s="6"/>
      <c r="BK711" s="6"/>
      <c r="BL711" s="6"/>
      <c r="BM711" s="6"/>
      <c r="BN711" s="6"/>
      <c r="BO711" s="6"/>
      <c r="BP711" s="6"/>
      <c r="BQ711" s="6"/>
    </row>
    <row r="712" spans="2:69" hidden="1" x14ac:dyDescent="0.2">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c r="AM712" s="6"/>
      <c r="AN712" s="6"/>
      <c r="AO712" s="6"/>
      <c r="AP712" s="6"/>
      <c r="AQ712" s="6"/>
      <c r="AR712" s="6"/>
      <c r="AS712" s="6"/>
      <c r="AT712" s="6"/>
      <c r="AU712" s="6"/>
      <c r="AV712" s="6"/>
      <c r="AW712" s="6"/>
      <c r="AX712" s="6"/>
      <c r="AY712" s="6"/>
      <c r="AZ712" s="6"/>
      <c r="BA712" s="6"/>
      <c r="BB712" s="6"/>
      <c r="BC712" s="6"/>
      <c r="BD712" s="6"/>
      <c r="BE712" s="6"/>
      <c r="BF712" s="6"/>
      <c r="BG712" s="6"/>
      <c r="BH712" s="6"/>
      <c r="BI712" s="6"/>
      <c r="BJ712" s="6"/>
      <c r="BK712" s="6"/>
      <c r="BL712" s="6"/>
      <c r="BM712" s="6"/>
      <c r="BN712" s="6"/>
      <c r="BO712" s="6"/>
      <c r="BP712" s="6"/>
      <c r="BQ712" s="6"/>
    </row>
    <row r="713" spans="2:69" hidden="1" x14ac:dyDescent="0.2">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c r="AM713" s="6"/>
      <c r="AN713" s="6"/>
      <c r="AO713" s="6"/>
      <c r="AP713" s="6"/>
      <c r="AQ713" s="6"/>
      <c r="AR713" s="6"/>
      <c r="AS713" s="6"/>
      <c r="AT713" s="6"/>
      <c r="AU713" s="6"/>
      <c r="AV713" s="6"/>
      <c r="AW713" s="6"/>
      <c r="AX713" s="6"/>
      <c r="AY713" s="6"/>
      <c r="AZ713" s="6"/>
      <c r="BA713" s="6"/>
      <c r="BB713" s="6"/>
      <c r="BC713" s="6"/>
      <c r="BD713" s="6"/>
      <c r="BE713" s="6"/>
      <c r="BF713" s="6"/>
      <c r="BG713" s="6"/>
      <c r="BH713" s="6"/>
      <c r="BI713" s="6"/>
      <c r="BJ713" s="6"/>
      <c r="BK713" s="6"/>
      <c r="BL713" s="6"/>
      <c r="BM713" s="6"/>
      <c r="BN713" s="6"/>
      <c r="BO713" s="6"/>
      <c r="BP713" s="6"/>
      <c r="BQ713" s="6"/>
    </row>
    <row r="714" spans="2:69" hidden="1" x14ac:dyDescent="0.2">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c r="AM714" s="6"/>
      <c r="AN714" s="6"/>
      <c r="AO714" s="6"/>
      <c r="AP714" s="6"/>
      <c r="AQ714" s="6"/>
      <c r="AR714" s="6"/>
      <c r="AS714" s="6"/>
      <c r="AT714" s="6"/>
      <c r="AU714" s="6"/>
      <c r="AV714" s="6"/>
      <c r="AW714" s="6"/>
      <c r="AX714" s="6"/>
      <c r="AY714" s="6"/>
      <c r="AZ714" s="6"/>
      <c r="BA714" s="6"/>
      <c r="BB714" s="6"/>
      <c r="BC714" s="6"/>
      <c r="BD714" s="6"/>
      <c r="BE714" s="6"/>
      <c r="BF714" s="6"/>
      <c r="BG714" s="6"/>
      <c r="BH714" s="6"/>
      <c r="BI714" s="6"/>
      <c r="BJ714" s="6"/>
      <c r="BK714" s="6"/>
      <c r="BL714" s="6"/>
      <c r="BM714" s="6"/>
      <c r="BN714" s="6"/>
      <c r="BO714" s="6"/>
      <c r="BP714" s="6"/>
      <c r="BQ714" s="6"/>
    </row>
    <row r="715" spans="2:69" hidden="1" x14ac:dyDescent="0.2">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c r="AM715" s="6"/>
      <c r="AN715" s="6"/>
      <c r="AO715" s="6"/>
      <c r="AP715" s="6"/>
      <c r="AQ715" s="6"/>
      <c r="AR715" s="6"/>
      <c r="AS715" s="6"/>
      <c r="AT715" s="6"/>
      <c r="AU715" s="6"/>
      <c r="AV715" s="6"/>
      <c r="AW715" s="6"/>
      <c r="AX715" s="6"/>
      <c r="AY715" s="6"/>
      <c r="AZ715" s="6"/>
      <c r="BA715" s="6"/>
      <c r="BB715" s="6"/>
      <c r="BC715" s="6"/>
      <c r="BD715" s="6"/>
      <c r="BE715" s="6"/>
      <c r="BF715" s="6"/>
      <c r="BG715" s="6"/>
      <c r="BH715" s="6"/>
      <c r="BI715" s="6"/>
      <c r="BJ715" s="6"/>
      <c r="BK715" s="6"/>
      <c r="BL715" s="6"/>
      <c r="BM715" s="6"/>
      <c r="BN715" s="6"/>
      <c r="BO715" s="6"/>
      <c r="BP715" s="6"/>
      <c r="BQ715" s="6"/>
    </row>
    <row r="716" spans="2:69" hidden="1" x14ac:dyDescent="0.2">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c r="AM716" s="6"/>
      <c r="AN716" s="6"/>
      <c r="AO716" s="6"/>
      <c r="AP716" s="6"/>
      <c r="AQ716" s="6"/>
      <c r="AR716" s="6"/>
      <c r="AS716" s="6"/>
      <c r="AT716" s="6"/>
      <c r="AU716" s="6"/>
      <c r="AV716" s="6"/>
      <c r="AW716" s="6"/>
      <c r="AX716" s="6"/>
      <c r="AY716" s="6"/>
      <c r="AZ716" s="6"/>
      <c r="BA716" s="6"/>
      <c r="BB716" s="6"/>
      <c r="BC716" s="6"/>
      <c r="BD716" s="6"/>
      <c r="BE716" s="6"/>
      <c r="BF716" s="6"/>
      <c r="BG716" s="6"/>
      <c r="BH716" s="6"/>
      <c r="BI716" s="6"/>
      <c r="BJ716" s="6"/>
      <c r="BK716" s="6"/>
      <c r="BL716" s="6"/>
      <c r="BM716" s="6"/>
      <c r="BN716" s="6"/>
      <c r="BO716" s="6"/>
      <c r="BP716" s="6"/>
      <c r="BQ716" s="6"/>
    </row>
    <row r="717" spans="2:69" hidden="1" x14ac:dyDescent="0.2">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c r="AM717" s="6"/>
      <c r="AN717" s="6"/>
      <c r="AO717" s="6"/>
      <c r="AP717" s="6"/>
      <c r="AQ717" s="6"/>
      <c r="AR717" s="6"/>
      <c r="AS717" s="6"/>
      <c r="AT717" s="6"/>
      <c r="AU717" s="6"/>
      <c r="AV717" s="6"/>
      <c r="AW717" s="6"/>
      <c r="AX717" s="6"/>
      <c r="AY717" s="6"/>
      <c r="AZ717" s="6"/>
      <c r="BA717" s="6"/>
      <c r="BB717" s="6"/>
      <c r="BC717" s="6"/>
      <c r="BD717" s="6"/>
      <c r="BE717" s="6"/>
      <c r="BF717" s="6"/>
      <c r="BG717" s="6"/>
      <c r="BH717" s="6"/>
      <c r="BI717" s="6"/>
      <c r="BJ717" s="6"/>
      <c r="BK717" s="6"/>
      <c r="BL717" s="6"/>
      <c r="BM717" s="6"/>
      <c r="BN717" s="6"/>
      <c r="BO717" s="6"/>
      <c r="BP717" s="6"/>
      <c r="BQ717" s="6"/>
    </row>
    <row r="718" spans="2:69" hidden="1" x14ac:dyDescent="0.2">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c r="AM718" s="6"/>
      <c r="AN718" s="6"/>
      <c r="AO718" s="6"/>
      <c r="AP718" s="6"/>
      <c r="AQ718" s="6"/>
      <c r="AR718" s="6"/>
      <c r="AS718" s="6"/>
      <c r="AT718" s="6"/>
      <c r="AU718" s="6"/>
      <c r="AV718" s="6"/>
      <c r="AW718" s="6"/>
      <c r="AX718" s="6"/>
      <c r="AY718" s="6"/>
      <c r="AZ718" s="6"/>
      <c r="BA718" s="6"/>
      <c r="BB718" s="6"/>
      <c r="BC718" s="6"/>
      <c r="BD718" s="6"/>
      <c r="BE718" s="6"/>
      <c r="BF718" s="6"/>
      <c r="BG718" s="6"/>
      <c r="BH718" s="6"/>
      <c r="BI718" s="6"/>
      <c r="BJ718" s="6"/>
      <c r="BK718" s="6"/>
      <c r="BL718" s="6"/>
      <c r="BM718" s="6"/>
      <c r="BN718" s="6"/>
      <c r="BO718" s="6"/>
      <c r="BP718" s="6"/>
      <c r="BQ718" s="6"/>
    </row>
    <row r="719" spans="2:69" hidden="1" x14ac:dyDescent="0.2">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c r="AM719" s="6"/>
      <c r="AN719" s="6"/>
      <c r="AO719" s="6"/>
      <c r="AP719" s="6"/>
      <c r="AQ719" s="6"/>
      <c r="AR719" s="6"/>
      <c r="AS719" s="6"/>
      <c r="AT719" s="6"/>
      <c r="AU719" s="6"/>
      <c r="AV719" s="6"/>
      <c r="AW719" s="6"/>
      <c r="AX719" s="6"/>
      <c r="AY719" s="6"/>
      <c r="AZ719" s="6"/>
      <c r="BA719" s="6"/>
      <c r="BB719" s="6"/>
      <c r="BC719" s="6"/>
      <c r="BD719" s="6"/>
      <c r="BE719" s="6"/>
      <c r="BF719" s="6"/>
      <c r="BG719" s="6"/>
      <c r="BH719" s="6"/>
      <c r="BI719" s="6"/>
      <c r="BJ719" s="6"/>
      <c r="BK719" s="6"/>
      <c r="BL719" s="6"/>
      <c r="BM719" s="6"/>
      <c r="BN719" s="6"/>
      <c r="BO719" s="6"/>
      <c r="BP719" s="6"/>
      <c r="BQ719" s="6"/>
    </row>
    <row r="720" spans="2:69" hidden="1" x14ac:dyDescent="0.2">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c r="AM720" s="6"/>
      <c r="AN720" s="6"/>
      <c r="AO720" s="6"/>
      <c r="AP720" s="6"/>
      <c r="AQ720" s="6"/>
      <c r="AR720" s="6"/>
      <c r="AS720" s="6"/>
      <c r="AT720" s="6"/>
      <c r="AU720" s="6"/>
      <c r="AV720" s="6"/>
      <c r="AW720" s="6"/>
      <c r="AX720" s="6"/>
      <c r="AY720" s="6"/>
      <c r="AZ720" s="6"/>
      <c r="BA720" s="6"/>
      <c r="BB720" s="6"/>
      <c r="BC720" s="6"/>
      <c r="BD720" s="6"/>
      <c r="BE720" s="6"/>
      <c r="BF720" s="6"/>
      <c r="BG720" s="6"/>
      <c r="BH720" s="6"/>
      <c r="BI720" s="6"/>
      <c r="BJ720" s="6"/>
      <c r="BK720" s="6"/>
      <c r="BL720" s="6"/>
      <c r="BM720" s="6"/>
      <c r="BN720" s="6"/>
      <c r="BO720" s="6"/>
      <c r="BP720" s="6"/>
      <c r="BQ720" s="6"/>
    </row>
    <row r="721" spans="2:69" hidden="1" x14ac:dyDescent="0.2">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c r="AM721" s="6"/>
      <c r="AN721" s="6"/>
      <c r="AO721" s="6"/>
      <c r="AP721" s="6"/>
      <c r="AQ721" s="6"/>
      <c r="AR721" s="6"/>
      <c r="AS721" s="6"/>
      <c r="AT721" s="6"/>
      <c r="AU721" s="6"/>
      <c r="AV721" s="6"/>
      <c r="AW721" s="6"/>
      <c r="AX721" s="6"/>
      <c r="AY721" s="6"/>
      <c r="AZ721" s="6"/>
      <c r="BA721" s="6"/>
      <c r="BB721" s="6"/>
      <c r="BC721" s="6"/>
      <c r="BD721" s="6"/>
      <c r="BE721" s="6"/>
      <c r="BF721" s="6"/>
      <c r="BG721" s="6"/>
      <c r="BH721" s="6"/>
      <c r="BI721" s="6"/>
      <c r="BJ721" s="6"/>
      <c r="BK721" s="6"/>
      <c r="BL721" s="6"/>
      <c r="BM721" s="6"/>
      <c r="BN721" s="6"/>
      <c r="BO721" s="6"/>
      <c r="BP721" s="6"/>
      <c r="BQ721" s="6"/>
    </row>
    <row r="722" spans="2:69" hidden="1" x14ac:dyDescent="0.2">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c r="AM722" s="6"/>
      <c r="AN722" s="6"/>
      <c r="AO722" s="6"/>
      <c r="AP722" s="6"/>
      <c r="AQ722" s="6"/>
      <c r="AR722" s="6"/>
      <c r="AS722" s="6"/>
      <c r="AT722" s="6"/>
      <c r="AU722" s="6"/>
      <c r="AV722" s="6"/>
      <c r="AW722" s="6"/>
      <c r="AX722" s="6"/>
      <c r="AY722" s="6"/>
      <c r="AZ722" s="6"/>
      <c r="BA722" s="6"/>
      <c r="BB722" s="6"/>
      <c r="BC722" s="6"/>
      <c r="BD722" s="6"/>
      <c r="BE722" s="6"/>
      <c r="BF722" s="6"/>
      <c r="BG722" s="6"/>
      <c r="BH722" s="6"/>
      <c r="BI722" s="6"/>
      <c r="BJ722" s="6"/>
      <c r="BK722" s="6"/>
      <c r="BL722" s="6"/>
      <c r="BM722" s="6"/>
      <c r="BN722" s="6"/>
      <c r="BO722" s="6"/>
      <c r="BP722" s="6"/>
      <c r="BQ722" s="6"/>
    </row>
    <row r="723" spans="2:69" hidden="1" x14ac:dyDescent="0.2">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c r="AM723" s="6"/>
      <c r="AN723" s="6"/>
      <c r="AO723" s="6"/>
      <c r="AP723" s="6"/>
      <c r="AQ723" s="6"/>
      <c r="AR723" s="6"/>
      <c r="AS723" s="6"/>
      <c r="AT723" s="6"/>
      <c r="AU723" s="6"/>
      <c r="AV723" s="6"/>
      <c r="AW723" s="6"/>
      <c r="AX723" s="6"/>
      <c r="AY723" s="6"/>
      <c r="AZ723" s="6"/>
      <c r="BA723" s="6"/>
      <c r="BB723" s="6"/>
      <c r="BC723" s="6"/>
      <c r="BD723" s="6"/>
      <c r="BE723" s="6"/>
      <c r="BF723" s="6"/>
      <c r="BG723" s="6"/>
      <c r="BH723" s="6"/>
      <c r="BI723" s="6"/>
      <c r="BJ723" s="6"/>
      <c r="BK723" s="6"/>
      <c r="BL723" s="6"/>
      <c r="BM723" s="6"/>
      <c r="BN723" s="6"/>
      <c r="BO723" s="6"/>
      <c r="BP723" s="6"/>
      <c r="BQ723" s="6"/>
    </row>
    <row r="724" spans="2:69" hidden="1" x14ac:dyDescent="0.2">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c r="AM724" s="6"/>
      <c r="AN724" s="6"/>
      <c r="AO724" s="6"/>
      <c r="AP724" s="6"/>
      <c r="AQ724" s="6"/>
      <c r="AR724" s="6"/>
      <c r="AS724" s="6"/>
      <c r="AT724" s="6"/>
      <c r="AU724" s="6"/>
      <c r="AV724" s="6"/>
      <c r="AW724" s="6"/>
      <c r="AX724" s="6"/>
      <c r="AY724" s="6"/>
      <c r="AZ724" s="6"/>
      <c r="BA724" s="6"/>
      <c r="BB724" s="6"/>
      <c r="BC724" s="6"/>
      <c r="BD724" s="6"/>
      <c r="BE724" s="6"/>
      <c r="BF724" s="6"/>
      <c r="BG724" s="6"/>
      <c r="BH724" s="6"/>
      <c r="BI724" s="6"/>
      <c r="BJ724" s="6"/>
      <c r="BK724" s="6"/>
      <c r="BL724" s="6"/>
      <c r="BM724" s="6"/>
      <c r="BN724" s="6"/>
      <c r="BO724" s="6"/>
      <c r="BP724" s="6"/>
      <c r="BQ724" s="6"/>
    </row>
    <row r="725" spans="2:69" hidden="1" x14ac:dyDescent="0.2">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c r="AM725" s="6"/>
      <c r="AN725" s="6"/>
      <c r="AO725" s="6"/>
      <c r="AP725" s="6"/>
      <c r="AQ725" s="6"/>
      <c r="AR725" s="6"/>
      <c r="AS725" s="6"/>
      <c r="AT725" s="6"/>
      <c r="AU725" s="6"/>
      <c r="AV725" s="6"/>
      <c r="AW725" s="6"/>
      <c r="AX725" s="6"/>
      <c r="AY725" s="6"/>
      <c r="AZ725" s="6"/>
      <c r="BA725" s="6"/>
      <c r="BB725" s="6"/>
      <c r="BC725" s="6"/>
      <c r="BD725" s="6"/>
      <c r="BE725" s="6"/>
      <c r="BF725" s="6"/>
      <c r="BG725" s="6"/>
      <c r="BH725" s="6"/>
      <c r="BI725" s="6"/>
      <c r="BJ725" s="6"/>
      <c r="BK725" s="6"/>
      <c r="BL725" s="6"/>
      <c r="BM725" s="6"/>
      <c r="BN725" s="6"/>
      <c r="BO725" s="6"/>
      <c r="BP725" s="6"/>
      <c r="BQ725" s="6"/>
    </row>
    <row r="726" spans="2:69" hidden="1" x14ac:dyDescent="0.2">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c r="AM726" s="6"/>
      <c r="AN726" s="6"/>
      <c r="AO726" s="6"/>
      <c r="AP726" s="6"/>
      <c r="AQ726" s="6"/>
      <c r="AR726" s="6"/>
      <c r="AS726" s="6"/>
      <c r="AT726" s="6"/>
      <c r="AU726" s="6"/>
      <c r="AV726" s="6"/>
      <c r="AW726" s="6"/>
      <c r="AX726" s="6"/>
      <c r="AY726" s="6"/>
      <c r="AZ726" s="6"/>
      <c r="BA726" s="6"/>
      <c r="BB726" s="6"/>
      <c r="BC726" s="6"/>
      <c r="BD726" s="6"/>
      <c r="BE726" s="6"/>
      <c r="BF726" s="6"/>
      <c r="BG726" s="6"/>
      <c r="BH726" s="6"/>
      <c r="BI726" s="6"/>
      <c r="BJ726" s="6"/>
      <c r="BK726" s="6"/>
      <c r="BL726" s="6"/>
      <c r="BM726" s="6"/>
      <c r="BN726" s="6"/>
      <c r="BO726" s="6"/>
      <c r="BP726" s="6"/>
      <c r="BQ726" s="6"/>
    </row>
    <row r="727" spans="2:69" hidden="1" x14ac:dyDescent="0.2">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c r="AM727" s="6"/>
      <c r="AN727" s="6"/>
      <c r="AO727" s="6"/>
      <c r="AP727" s="6"/>
      <c r="AQ727" s="6"/>
      <c r="AR727" s="6"/>
      <c r="AS727" s="6"/>
      <c r="AT727" s="6"/>
      <c r="AU727" s="6"/>
      <c r="AV727" s="6"/>
      <c r="AW727" s="6"/>
      <c r="AX727" s="6"/>
      <c r="AY727" s="6"/>
      <c r="AZ727" s="6"/>
      <c r="BA727" s="6"/>
      <c r="BB727" s="6"/>
      <c r="BC727" s="6"/>
      <c r="BD727" s="6"/>
      <c r="BE727" s="6"/>
      <c r="BF727" s="6"/>
      <c r="BG727" s="6"/>
      <c r="BH727" s="6"/>
      <c r="BI727" s="6"/>
      <c r="BJ727" s="6"/>
      <c r="BK727" s="6"/>
      <c r="BL727" s="6"/>
      <c r="BM727" s="6"/>
      <c r="BN727" s="6"/>
      <c r="BO727" s="6"/>
      <c r="BP727" s="6"/>
      <c r="BQ727" s="6"/>
    </row>
    <row r="728" spans="2:69" hidden="1" x14ac:dyDescent="0.2">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c r="AM728" s="6"/>
      <c r="AN728" s="6"/>
      <c r="AO728" s="6"/>
      <c r="AP728" s="6"/>
      <c r="AQ728" s="6"/>
      <c r="AR728" s="6"/>
      <c r="AS728" s="6"/>
      <c r="AT728" s="6"/>
      <c r="AU728" s="6"/>
      <c r="AV728" s="6"/>
      <c r="AW728" s="6"/>
      <c r="AX728" s="6"/>
      <c r="AY728" s="6"/>
      <c r="AZ728" s="6"/>
      <c r="BA728" s="6"/>
      <c r="BB728" s="6"/>
      <c r="BC728" s="6"/>
      <c r="BD728" s="6"/>
      <c r="BE728" s="6"/>
      <c r="BF728" s="6"/>
      <c r="BG728" s="6"/>
      <c r="BH728" s="6"/>
      <c r="BI728" s="6"/>
      <c r="BJ728" s="6"/>
      <c r="BK728" s="6"/>
      <c r="BL728" s="6"/>
      <c r="BM728" s="6"/>
      <c r="BN728" s="6"/>
      <c r="BO728" s="6"/>
      <c r="BP728" s="6"/>
      <c r="BQ728" s="6"/>
    </row>
    <row r="729" spans="2:69" hidden="1" x14ac:dyDescent="0.2">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c r="AM729" s="6"/>
      <c r="AN729" s="6"/>
      <c r="AO729" s="6"/>
      <c r="AP729" s="6"/>
      <c r="AQ729" s="6"/>
      <c r="AR729" s="6"/>
      <c r="AS729" s="6"/>
      <c r="AT729" s="6"/>
      <c r="AU729" s="6"/>
      <c r="AV729" s="6"/>
      <c r="AW729" s="6"/>
      <c r="AX729" s="6"/>
      <c r="AY729" s="6"/>
      <c r="AZ729" s="6"/>
      <c r="BA729" s="6"/>
      <c r="BB729" s="6"/>
      <c r="BC729" s="6"/>
      <c r="BD729" s="6"/>
      <c r="BE729" s="6"/>
      <c r="BF729" s="6"/>
      <c r="BG729" s="6"/>
      <c r="BH729" s="6"/>
      <c r="BI729" s="6"/>
      <c r="BJ729" s="6"/>
      <c r="BK729" s="6"/>
      <c r="BL729" s="6"/>
      <c r="BM729" s="6"/>
      <c r="BN729" s="6"/>
      <c r="BO729" s="6"/>
      <c r="BP729" s="6"/>
      <c r="BQ729" s="6"/>
    </row>
    <row r="730" spans="2:69" hidden="1" x14ac:dyDescent="0.2">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c r="AM730" s="6"/>
      <c r="AN730" s="6"/>
      <c r="AO730" s="6"/>
      <c r="AP730" s="6"/>
      <c r="AQ730" s="6"/>
      <c r="AR730" s="6"/>
      <c r="AS730" s="6"/>
      <c r="AT730" s="6"/>
      <c r="AU730" s="6"/>
      <c r="AV730" s="6"/>
      <c r="AW730" s="6"/>
      <c r="AX730" s="6"/>
      <c r="AY730" s="6"/>
      <c r="AZ730" s="6"/>
      <c r="BA730" s="6"/>
      <c r="BB730" s="6"/>
      <c r="BC730" s="6"/>
      <c r="BD730" s="6"/>
      <c r="BE730" s="6"/>
      <c r="BF730" s="6"/>
      <c r="BG730" s="6"/>
      <c r="BH730" s="6"/>
      <c r="BI730" s="6"/>
      <c r="BJ730" s="6"/>
      <c r="BK730" s="6"/>
      <c r="BL730" s="6"/>
      <c r="BM730" s="6"/>
      <c r="BN730" s="6"/>
      <c r="BO730" s="6"/>
      <c r="BP730" s="6"/>
      <c r="BQ730" s="6"/>
    </row>
    <row r="731" spans="2:69" hidden="1" x14ac:dyDescent="0.2">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c r="AM731" s="6"/>
      <c r="AN731" s="6"/>
      <c r="AO731" s="6"/>
      <c r="AP731" s="6"/>
      <c r="AQ731" s="6"/>
      <c r="AR731" s="6"/>
      <c r="AS731" s="6"/>
      <c r="AT731" s="6"/>
      <c r="AU731" s="6"/>
      <c r="AV731" s="6"/>
      <c r="AW731" s="6"/>
      <c r="AX731" s="6"/>
      <c r="AY731" s="6"/>
      <c r="AZ731" s="6"/>
      <c r="BA731" s="6"/>
      <c r="BB731" s="6"/>
      <c r="BC731" s="6"/>
      <c r="BD731" s="6"/>
      <c r="BE731" s="6"/>
      <c r="BF731" s="6"/>
      <c r="BG731" s="6"/>
      <c r="BH731" s="6"/>
      <c r="BI731" s="6"/>
      <c r="BJ731" s="6"/>
      <c r="BK731" s="6"/>
      <c r="BL731" s="6"/>
      <c r="BM731" s="6"/>
      <c r="BN731" s="6"/>
      <c r="BO731" s="6"/>
      <c r="BP731" s="6"/>
      <c r="BQ731" s="6"/>
    </row>
    <row r="732" spans="2:69" hidden="1" x14ac:dyDescent="0.2">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c r="AM732" s="6"/>
      <c r="AN732" s="6"/>
      <c r="AO732" s="6"/>
      <c r="AP732" s="6"/>
      <c r="AQ732" s="6"/>
      <c r="AR732" s="6"/>
      <c r="AS732" s="6"/>
      <c r="AT732" s="6"/>
      <c r="AU732" s="6"/>
      <c r="AV732" s="6"/>
      <c r="AW732" s="6"/>
      <c r="AX732" s="6"/>
      <c r="AY732" s="6"/>
      <c r="AZ732" s="6"/>
      <c r="BA732" s="6"/>
      <c r="BB732" s="6"/>
      <c r="BC732" s="6"/>
      <c r="BD732" s="6"/>
      <c r="BE732" s="6"/>
      <c r="BF732" s="6"/>
      <c r="BG732" s="6"/>
      <c r="BH732" s="6"/>
      <c r="BI732" s="6"/>
      <c r="BJ732" s="6"/>
      <c r="BK732" s="6"/>
      <c r="BL732" s="6"/>
      <c r="BM732" s="6"/>
      <c r="BN732" s="6"/>
      <c r="BO732" s="6"/>
      <c r="BP732" s="6"/>
      <c r="BQ732" s="6"/>
    </row>
    <row r="733" spans="2:69" hidden="1" x14ac:dyDescent="0.2">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c r="AM733" s="6"/>
      <c r="AN733" s="6"/>
      <c r="AO733" s="6"/>
      <c r="AP733" s="6"/>
      <c r="AQ733" s="6"/>
      <c r="AR733" s="6"/>
      <c r="AS733" s="6"/>
      <c r="AT733" s="6"/>
      <c r="AU733" s="6"/>
      <c r="AV733" s="6"/>
      <c r="AW733" s="6"/>
      <c r="AX733" s="6"/>
      <c r="AY733" s="6"/>
      <c r="AZ733" s="6"/>
      <c r="BA733" s="6"/>
      <c r="BB733" s="6"/>
      <c r="BC733" s="6"/>
      <c r="BD733" s="6"/>
      <c r="BE733" s="6"/>
      <c r="BF733" s="6"/>
      <c r="BG733" s="6"/>
      <c r="BH733" s="6"/>
      <c r="BI733" s="6"/>
      <c r="BJ733" s="6"/>
      <c r="BK733" s="6"/>
      <c r="BL733" s="6"/>
      <c r="BM733" s="6"/>
      <c r="BN733" s="6"/>
      <c r="BO733" s="6"/>
      <c r="BP733" s="6"/>
      <c r="BQ733" s="6"/>
    </row>
    <row r="734" spans="2:69" hidden="1" x14ac:dyDescent="0.2">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c r="AM734" s="6"/>
      <c r="AN734" s="6"/>
      <c r="AO734" s="6"/>
      <c r="AP734" s="6"/>
      <c r="AQ734" s="6"/>
      <c r="AR734" s="6"/>
      <c r="AS734" s="6"/>
      <c r="AT734" s="6"/>
      <c r="AU734" s="6"/>
      <c r="AV734" s="6"/>
      <c r="AW734" s="6"/>
      <c r="AX734" s="6"/>
      <c r="AY734" s="6"/>
      <c r="AZ734" s="6"/>
      <c r="BA734" s="6"/>
      <c r="BB734" s="6"/>
      <c r="BC734" s="6"/>
      <c r="BD734" s="6"/>
      <c r="BE734" s="6"/>
      <c r="BF734" s="6"/>
      <c r="BG734" s="6"/>
      <c r="BH734" s="6"/>
      <c r="BI734" s="6"/>
      <c r="BJ734" s="6"/>
      <c r="BK734" s="6"/>
      <c r="BL734" s="6"/>
      <c r="BM734" s="6"/>
      <c r="BN734" s="6"/>
      <c r="BO734" s="6"/>
      <c r="BP734" s="6"/>
      <c r="BQ734" s="6"/>
    </row>
    <row r="735" spans="2:69" hidden="1" x14ac:dyDescent="0.2">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c r="AM735" s="6"/>
      <c r="AN735" s="6"/>
      <c r="AO735" s="6"/>
      <c r="AP735" s="6"/>
      <c r="AQ735" s="6"/>
      <c r="AR735" s="6"/>
      <c r="AS735" s="6"/>
      <c r="AT735" s="6"/>
      <c r="AU735" s="6"/>
      <c r="AV735" s="6"/>
      <c r="AW735" s="6"/>
      <c r="AX735" s="6"/>
      <c r="AY735" s="6"/>
      <c r="AZ735" s="6"/>
      <c r="BA735" s="6"/>
      <c r="BB735" s="6"/>
      <c r="BC735" s="6"/>
      <c r="BD735" s="6"/>
      <c r="BE735" s="6"/>
      <c r="BF735" s="6"/>
      <c r="BG735" s="6"/>
      <c r="BH735" s="6"/>
      <c r="BI735" s="6"/>
      <c r="BJ735" s="6"/>
      <c r="BK735" s="6"/>
      <c r="BL735" s="6"/>
      <c r="BM735" s="6"/>
      <c r="BN735" s="6"/>
      <c r="BO735" s="6"/>
      <c r="BP735" s="6"/>
      <c r="BQ735" s="6"/>
    </row>
    <row r="736" spans="2:69" hidden="1" x14ac:dyDescent="0.2">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c r="AM736" s="6"/>
      <c r="AN736" s="6"/>
      <c r="AO736" s="6"/>
      <c r="AP736" s="6"/>
      <c r="AQ736" s="6"/>
      <c r="AR736" s="6"/>
      <c r="AS736" s="6"/>
      <c r="AT736" s="6"/>
      <c r="AU736" s="6"/>
      <c r="AV736" s="6"/>
      <c r="AW736" s="6"/>
      <c r="AX736" s="6"/>
      <c r="AY736" s="6"/>
      <c r="AZ736" s="6"/>
      <c r="BA736" s="6"/>
      <c r="BB736" s="6"/>
      <c r="BC736" s="6"/>
      <c r="BD736" s="6"/>
      <c r="BE736" s="6"/>
      <c r="BF736" s="6"/>
      <c r="BG736" s="6"/>
      <c r="BH736" s="6"/>
      <c r="BI736" s="6"/>
      <c r="BJ736" s="6"/>
      <c r="BK736" s="6"/>
      <c r="BL736" s="6"/>
      <c r="BM736" s="6"/>
      <c r="BN736" s="6"/>
      <c r="BO736" s="6"/>
      <c r="BP736" s="6"/>
      <c r="BQ736" s="6"/>
    </row>
    <row r="737" spans="2:69" hidden="1" x14ac:dyDescent="0.2">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M737" s="6"/>
      <c r="AN737" s="6"/>
      <c r="AO737" s="6"/>
      <c r="AP737" s="6"/>
      <c r="AQ737" s="6"/>
      <c r="AR737" s="6"/>
      <c r="AS737" s="6"/>
      <c r="AT737" s="6"/>
      <c r="AU737" s="6"/>
      <c r="AV737" s="6"/>
      <c r="AW737" s="6"/>
      <c r="AX737" s="6"/>
      <c r="AY737" s="6"/>
      <c r="AZ737" s="6"/>
      <c r="BA737" s="6"/>
      <c r="BB737" s="6"/>
      <c r="BC737" s="6"/>
      <c r="BD737" s="6"/>
      <c r="BE737" s="6"/>
      <c r="BF737" s="6"/>
      <c r="BG737" s="6"/>
      <c r="BH737" s="6"/>
      <c r="BI737" s="6"/>
      <c r="BJ737" s="6"/>
      <c r="BK737" s="6"/>
      <c r="BL737" s="6"/>
      <c r="BM737" s="6"/>
      <c r="BN737" s="6"/>
      <c r="BO737" s="6"/>
      <c r="BP737" s="6"/>
      <c r="BQ737" s="6"/>
    </row>
    <row r="738" spans="2:69" hidden="1" x14ac:dyDescent="0.2">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M738" s="6"/>
      <c r="AN738" s="6"/>
      <c r="AO738" s="6"/>
      <c r="AP738" s="6"/>
      <c r="AQ738" s="6"/>
      <c r="AR738" s="6"/>
      <c r="AS738" s="6"/>
      <c r="AT738" s="6"/>
      <c r="AU738" s="6"/>
      <c r="AV738" s="6"/>
      <c r="AW738" s="6"/>
      <c r="AX738" s="6"/>
      <c r="AY738" s="6"/>
      <c r="AZ738" s="6"/>
      <c r="BA738" s="6"/>
      <c r="BB738" s="6"/>
      <c r="BC738" s="6"/>
      <c r="BD738" s="6"/>
      <c r="BE738" s="6"/>
      <c r="BF738" s="6"/>
      <c r="BG738" s="6"/>
      <c r="BH738" s="6"/>
      <c r="BI738" s="6"/>
      <c r="BJ738" s="6"/>
      <c r="BK738" s="6"/>
      <c r="BL738" s="6"/>
      <c r="BM738" s="6"/>
      <c r="BN738" s="6"/>
      <c r="BO738" s="6"/>
      <c r="BP738" s="6"/>
      <c r="BQ738" s="6"/>
    </row>
    <row r="739" spans="2:69" hidden="1" x14ac:dyDescent="0.2">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M739" s="6"/>
      <c r="AN739" s="6"/>
      <c r="AO739" s="6"/>
      <c r="AP739" s="6"/>
      <c r="AQ739" s="6"/>
      <c r="AR739" s="6"/>
      <c r="AS739" s="6"/>
      <c r="AT739" s="6"/>
      <c r="AU739" s="6"/>
      <c r="AV739" s="6"/>
      <c r="AW739" s="6"/>
      <c r="AX739" s="6"/>
      <c r="AY739" s="6"/>
      <c r="AZ739" s="6"/>
      <c r="BA739" s="6"/>
      <c r="BB739" s="6"/>
      <c r="BC739" s="6"/>
      <c r="BD739" s="6"/>
      <c r="BE739" s="6"/>
      <c r="BF739" s="6"/>
      <c r="BG739" s="6"/>
      <c r="BH739" s="6"/>
      <c r="BI739" s="6"/>
      <c r="BJ739" s="6"/>
      <c r="BK739" s="6"/>
      <c r="BL739" s="6"/>
      <c r="BM739" s="6"/>
      <c r="BN739" s="6"/>
      <c r="BO739" s="6"/>
      <c r="BP739" s="6"/>
      <c r="BQ739" s="6"/>
    </row>
    <row r="740" spans="2:69" hidden="1" x14ac:dyDescent="0.2">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c r="AM740" s="6"/>
      <c r="AN740" s="6"/>
      <c r="AO740" s="6"/>
      <c r="AP740" s="6"/>
      <c r="AQ740" s="6"/>
      <c r="AR740" s="6"/>
      <c r="AS740" s="6"/>
      <c r="AT740" s="6"/>
      <c r="AU740" s="6"/>
      <c r="AV740" s="6"/>
      <c r="AW740" s="6"/>
      <c r="AX740" s="6"/>
      <c r="AY740" s="6"/>
      <c r="AZ740" s="6"/>
      <c r="BA740" s="6"/>
      <c r="BB740" s="6"/>
      <c r="BC740" s="6"/>
      <c r="BD740" s="6"/>
      <c r="BE740" s="6"/>
      <c r="BF740" s="6"/>
      <c r="BG740" s="6"/>
      <c r="BH740" s="6"/>
      <c r="BI740" s="6"/>
      <c r="BJ740" s="6"/>
      <c r="BK740" s="6"/>
      <c r="BL740" s="6"/>
      <c r="BM740" s="6"/>
      <c r="BN740" s="6"/>
      <c r="BO740" s="6"/>
      <c r="BP740" s="6"/>
      <c r="BQ740" s="6"/>
    </row>
    <row r="741" spans="2:69" hidden="1" x14ac:dyDescent="0.2">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c r="AM741" s="6"/>
      <c r="AN741" s="6"/>
      <c r="AO741" s="6"/>
      <c r="AP741" s="6"/>
      <c r="AQ741" s="6"/>
      <c r="AR741" s="6"/>
      <c r="AS741" s="6"/>
      <c r="AT741" s="6"/>
      <c r="AU741" s="6"/>
      <c r="AV741" s="6"/>
      <c r="AW741" s="6"/>
      <c r="AX741" s="6"/>
      <c r="AY741" s="6"/>
      <c r="AZ741" s="6"/>
      <c r="BA741" s="6"/>
      <c r="BB741" s="6"/>
      <c r="BC741" s="6"/>
      <c r="BD741" s="6"/>
      <c r="BE741" s="6"/>
      <c r="BF741" s="6"/>
      <c r="BG741" s="6"/>
      <c r="BH741" s="6"/>
      <c r="BI741" s="6"/>
      <c r="BJ741" s="6"/>
      <c r="BK741" s="6"/>
      <c r="BL741" s="6"/>
      <c r="BM741" s="6"/>
      <c r="BN741" s="6"/>
      <c r="BO741" s="6"/>
      <c r="BP741" s="6"/>
      <c r="BQ741" s="6"/>
    </row>
    <row r="742" spans="2:69" hidden="1" x14ac:dyDescent="0.2">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c r="AM742" s="6"/>
      <c r="AN742" s="6"/>
      <c r="AO742" s="6"/>
      <c r="AP742" s="6"/>
      <c r="AQ742" s="6"/>
      <c r="AR742" s="6"/>
      <c r="AS742" s="6"/>
      <c r="AT742" s="6"/>
      <c r="AU742" s="6"/>
      <c r="AV742" s="6"/>
      <c r="AW742" s="6"/>
      <c r="AX742" s="6"/>
      <c r="AY742" s="6"/>
      <c r="AZ742" s="6"/>
      <c r="BA742" s="6"/>
      <c r="BB742" s="6"/>
      <c r="BC742" s="6"/>
      <c r="BD742" s="6"/>
      <c r="BE742" s="6"/>
      <c r="BF742" s="6"/>
      <c r="BG742" s="6"/>
      <c r="BH742" s="6"/>
      <c r="BI742" s="6"/>
      <c r="BJ742" s="6"/>
      <c r="BK742" s="6"/>
      <c r="BL742" s="6"/>
      <c r="BM742" s="6"/>
      <c r="BN742" s="6"/>
      <c r="BO742" s="6"/>
      <c r="BP742" s="6"/>
      <c r="BQ742" s="6"/>
    </row>
    <row r="743" spans="2:69" hidden="1" x14ac:dyDescent="0.2">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c r="AM743" s="6"/>
      <c r="AN743" s="6"/>
      <c r="AO743" s="6"/>
      <c r="AP743" s="6"/>
      <c r="AQ743" s="6"/>
      <c r="AR743" s="6"/>
      <c r="AS743" s="6"/>
      <c r="AT743" s="6"/>
      <c r="AU743" s="6"/>
      <c r="AV743" s="6"/>
      <c r="AW743" s="6"/>
      <c r="AX743" s="6"/>
      <c r="AY743" s="6"/>
      <c r="AZ743" s="6"/>
      <c r="BA743" s="6"/>
      <c r="BB743" s="6"/>
      <c r="BC743" s="6"/>
      <c r="BD743" s="6"/>
      <c r="BE743" s="6"/>
      <c r="BF743" s="6"/>
      <c r="BG743" s="6"/>
      <c r="BH743" s="6"/>
      <c r="BI743" s="6"/>
      <c r="BJ743" s="6"/>
      <c r="BK743" s="6"/>
      <c r="BL743" s="6"/>
      <c r="BM743" s="6"/>
      <c r="BN743" s="6"/>
      <c r="BO743" s="6"/>
      <c r="BP743" s="6"/>
      <c r="BQ743" s="6"/>
    </row>
    <row r="744" spans="2:69" hidden="1" x14ac:dyDescent="0.2">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c r="AM744" s="6"/>
      <c r="AN744" s="6"/>
      <c r="AO744" s="6"/>
      <c r="AP744" s="6"/>
      <c r="AQ744" s="6"/>
      <c r="AR744" s="6"/>
      <c r="AS744" s="6"/>
      <c r="AT744" s="6"/>
      <c r="AU744" s="6"/>
      <c r="AV744" s="6"/>
      <c r="AW744" s="6"/>
      <c r="AX744" s="6"/>
      <c r="AY744" s="6"/>
      <c r="AZ744" s="6"/>
      <c r="BA744" s="6"/>
      <c r="BB744" s="6"/>
      <c r="BC744" s="6"/>
      <c r="BD744" s="6"/>
      <c r="BE744" s="6"/>
      <c r="BF744" s="6"/>
      <c r="BG744" s="6"/>
      <c r="BH744" s="6"/>
      <c r="BI744" s="6"/>
      <c r="BJ744" s="6"/>
      <c r="BK744" s="6"/>
      <c r="BL744" s="6"/>
      <c r="BM744" s="6"/>
      <c r="BN744" s="6"/>
      <c r="BO744" s="6"/>
      <c r="BP744" s="6"/>
      <c r="BQ744" s="6"/>
    </row>
    <row r="745" spans="2:69" hidden="1" x14ac:dyDescent="0.2">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c r="AM745" s="6"/>
      <c r="AN745" s="6"/>
      <c r="AO745" s="6"/>
      <c r="AP745" s="6"/>
      <c r="AQ745" s="6"/>
      <c r="AR745" s="6"/>
      <c r="AS745" s="6"/>
      <c r="AT745" s="6"/>
      <c r="AU745" s="6"/>
      <c r="AV745" s="6"/>
      <c r="AW745" s="6"/>
      <c r="AX745" s="6"/>
      <c r="AY745" s="6"/>
      <c r="AZ745" s="6"/>
      <c r="BA745" s="6"/>
      <c r="BB745" s="6"/>
      <c r="BC745" s="6"/>
      <c r="BD745" s="6"/>
      <c r="BE745" s="6"/>
      <c r="BF745" s="6"/>
      <c r="BG745" s="6"/>
      <c r="BH745" s="6"/>
      <c r="BI745" s="6"/>
      <c r="BJ745" s="6"/>
      <c r="BK745" s="6"/>
      <c r="BL745" s="6"/>
      <c r="BM745" s="6"/>
      <c r="BN745" s="6"/>
      <c r="BO745" s="6"/>
      <c r="BP745" s="6"/>
      <c r="BQ745" s="6"/>
    </row>
    <row r="746" spans="2:69" hidden="1" x14ac:dyDescent="0.2">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c r="AM746" s="6"/>
      <c r="AN746" s="6"/>
      <c r="AO746" s="6"/>
      <c r="AP746" s="6"/>
      <c r="AQ746" s="6"/>
      <c r="AR746" s="6"/>
      <c r="AS746" s="6"/>
      <c r="AT746" s="6"/>
      <c r="AU746" s="6"/>
      <c r="AV746" s="6"/>
      <c r="AW746" s="6"/>
      <c r="AX746" s="6"/>
      <c r="AY746" s="6"/>
      <c r="AZ746" s="6"/>
      <c r="BA746" s="6"/>
      <c r="BB746" s="6"/>
      <c r="BC746" s="6"/>
      <c r="BD746" s="6"/>
      <c r="BE746" s="6"/>
      <c r="BF746" s="6"/>
      <c r="BG746" s="6"/>
      <c r="BH746" s="6"/>
      <c r="BI746" s="6"/>
      <c r="BJ746" s="6"/>
      <c r="BK746" s="6"/>
      <c r="BL746" s="6"/>
      <c r="BM746" s="6"/>
      <c r="BN746" s="6"/>
      <c r="BO746" s="6"/>
      <c r="BP746" s="6"/>
      <c r="BQ746" s="6"/>
    </row>
    <row r="747" spans="2:69" hidden="1" x14ac:dyDescent="0.2">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c r="AM747" s="6"/>
      <c r="AN747" s="6"/>
      <c r="AO747" s="6"/>
      <c r="AP747" s="6"/>
      <c r="AQ747" s="6"/>
      <c r="AR747" s="6"/>
      <c r="AS747" s="6"/>
      <c r="AT747" s="6"/>
      <c r="AU747" s="6"/>
      <c r="AV747" s="6"/>
      <c r="AW747" s="6"/>
      <c r="AX747" s="6"/>
      <c r="AY747" s="6"/>
      <c r="AZ747" s="6"/>
      <c r="BA747" s="6"/>
      <c r="BB747" s="6"/>
      <c r="BC747" s="6"/>
      <c r="BD747" s="6"/>
      <c r="BE747" s="6"/>
      <c r="BF747" s="6"/>
      <c r="BG747" s="6"/>
      <c r="BH747" s="6"/>
      <c r="BI747" s="6"/>
      <c r="BJ747" s="6"/>
      <c r="BK747" s="6"/>
      <c r="BL747" s="6"/>
      <c r="BM747" s="6"/>
      <c r="BN747" s="6"/>
      <c r="BO747" s="6"/>
      <c r="BP747" s="6"/>
      <c r="BQ747" s="6"/>
    </row>
    <row r="748" spans="2:69" hidden="1" x14ac:dyDescent="0.2">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c r="AM748" s="6"/>
      <c r="AN748" s="6"/>
      <c r="AO748" s="6"/>
      <c r="AP748" s="6"/>
      <c r="AQ748" s="6"/>
      <c r="AR748" s="6"/>
      <c r="AS748" s="6"/>
      <c r="AT748" s="6"/>
      <c r="AU748" s="6"/>
      <c r="AV748" s="6"/>
      <c r="AW748" s="6"/>
      <c r="AX748" s="6"/>
      <c r="AY748" s="6"/>
      <c r="AZ748" s="6"/>
      <c r="BA748" s="6"/>
      <c r="BB748" s="6"/>
      <c r="BC748" s="6"/>
      <c r="BD748" s="6"/>
      <c r="BE748" s="6"/>
      <c r="BF748" s="6"/>
      <c r="BG748" s="6"/>
      <c r="BH748" s="6"/>
      <c r="BI748" s="6"/>
      <c r="BJ748" s="6"/>
      <c r="BK748" s="6"/>
      <c r="BL748" s="6"/>
      <c r="BM748" s="6"/>
      <c r="BN748" s="6"/>
      <c r="BO748" s="6"/>
      <c r="BP748" s="6"/>
      <c r="BQ748" s="6"/>
    </row>
    <row r="749" spans="2:69" hidden="1" x14ac:dyDescent="0.2">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c r="AM749" s="6"/>
      <c r="AN749" s="6"/>
      <c r="AO749" s="6"/>
      <c r="AP749" s="6"/>
      <c r="AQ749" s="6"/>
      <c r="AR749" s="6"/>
      <c r="AS749" s="6"/>
      <c r="AT749" s="6"/>
      <c r="AU749" s="6"/>
      <c r="AV749" s="6"/>
      <c r="AW749" s="6"/>
      <c r="AX749" s="6"/>
      <c r="AY749" s="6"/>
      <c r="AZ749" s="6"/>
      <c r="BA749" s="6"/>
      <c r="BB749" s="6"/>
      <c r="BC749" s="6"/>
      <c r="BD749" s="6"/>
      <c r="BE749" s="6"/>
      <c r="BF749" s="6"/>
      <c r="BG749" s="6"/>
      <c r="BH749" s="6"/>
      <c r="BI749" s="6"/>
      <c r="BJ749" s="6"/>
      <c r="BK749" s="6"/>
      <c r="BL749" s="6"/>
      <c r="BM749" s="6"/>
      <c r="BN749" s="6"/>
      <c r="BO749" s="6"/>
      <c r="BP749" s="6"/>
      <c r="BQ749" s="6"/>
    </row>
    <row r="750" spans="2:69" hidden="1" x14ac:dyDescent="0.2">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c r="AM750" s="6"/>
      <c r="AN750" s="6"/>
      <c r="AO750" s="6"/>
      <c r="AP750" s="6"/>
      <c r="AQ750" s="6"/>
      <c r="AR750" s="6"/>
      <c r="AS750" s="6"/>
      <c r="AT750" s="6"/>
      <c r="AU750" s="6"/>
      <c r="AV750" s="6"/>
      <c r="AW750" s="6"/>
      <c r="AX750" s="6"/>
      <c r="AY750" s="6"/>
      <c r="AZ750" s="6"/>
      <c r="BA750" s="6"/>
      <c r="BB750" s="6"/>
      <c r="BC750" s="6"/>
      <c r="BD750" s="6"/>
      <c r="BE750" s="6"/>
      <c r="BF750" s="6"/>
      <c r="BG750" s="6"/>
      <c r="BH750" s="6"/>
      <c r="BI750" s="6"/>
      <c r="BJ750" s="6"/>
      <c r="BK750" s="6"/>
      <c r="BL750" s="6"/>
      <c r="BM750" s="6"/>
      <c r="BN750" s="6"/>
      <c r="BO750" s="6"/>
      <c r="BP750" s="6"/>
      <c r="BQ750" s="6"/>
    </row>
    <row r="751" spans="2:69" hidden="1" x14ac:dyDescent="0.2">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c r="AM751" s="6"/>
      <c r="AN751" s="6"/>
      <c r="AO751" s="6"/>
      <c r="AP751" s="6"/>
      <c r="AQ751" s="6"/>
      <c r="AR751" s="6"/>
      <c r="AS751" s="6"/>
      <c r="AT751" s="6"/>
      <c r="AU751" s="6"/>
      <c r="AV751" s="6"/>
      <c r="AW751" s="6"/>
      <c r="AX751" s="6"/>
      <c r="AY751" s="6"/>
      <c r="AZ751" s="6"/>
      <c r="BA751" s="6"/>
      <c r="BB751" s="6"/>
      <c r="BC751" s="6"/>
      <c r="BD751" s="6"/>
      <c r="BE751" s="6"/>
      <c r="BF751" s="6"/>
      <c r="BG751" s="6"/>
      <c r="BH751" s="6"/>
      <c r="BI751" s="6"/>
      <c r="BJ751" s="6"/>
      <c r="BK751" s="6"/>
      <c r="BL751" s="6"/>
      <c r="BM751" s="6"/>
      <c r="BN751" s="6"/>
      <c r="BO751" s="6"/>
      <c r="BP751" s="6"/>
      <c r="BQ751" s="6"/>
    </row>
    <row r="752" spans="2:69" hidden="1" x14ac:dyDescent="0.2">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c r="AM752" s="6"/>
      <c r="AN752" s="6"/>
      <c r="AO752" s="6"/>
      <c r="AP752" s="6"/>
      <c r="AQ752" s="6"/>
      <c r="AR752" s="6"/>
      <c r="AS752" s="6"/>
      <c r="AT752" s="6"/>
      <c r="AU752" s="6"/>
      <c r="AV752" s="6"/>
      <c r="AW752" s="6"/>
      <c r="AX752" s="6"/>
      <c r="AY752" s="6"/>
      <c r="AZ752" s="6"/>
      <c r="BA752" s="6"/>
      <c r="BB752" s="6"/>
      <c r="BC752" s="6"/>
      <c r="BD752" s="6"/>
      <c r="BE752" s="6"/>
      <c r="BF752" s="6"/>
      <c r="BG752" s="6"/>
      <c r="BH752" s="6"/>
      <c r="BI752" s="6"/>
      <c r="BJ752" s="6"/>
      <c r="BK752" s="6"/>
      <c r="BL752" s="6"/>
      <c r="BM752" s="6"/>
      <c r="BN752" s="6"/>
      <c r="BO752" s="6"/>
      <c r="BP752" s="6"/>
      <c r="BQ752" s="6"/>
    </row>
    <row r="753" spans="2:69" hidden="1" x14ac:dyDescent="0.2">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c r="AM753" s="6"/>
      <c r="AN753" s="6"/>
      <c r="AO753" s="6"/>
      <c r="AP753" s="6"/>
      <c r="AQ753" s="6"/>
      <c r="AR753" s="6"/>
      <c r="AS753" s="6"/>
      <c r="AT753" s="6"/>
      <c r="AU753" s="6"/>
      <c r="AV753" s="6"/>
      <c r="AW753" s="6"/>
      <c r="AX753" s="6"/>
      <c r="AY753" s="6"/>
      <c r="AZ753" s="6"/>
      <c r="BA753" s="6"/>
      <c r="BB753" s="6"/>
      <c r="BC753" s="6"/>
      <c r="BD753" s="6"/>
      <c r="BE753" s="6"/>
      <c r="BF753" s="6"/>
      <c r="BG753" s="6"/>
      <c r="BH753" s="6"/>
      <c r="BI753" s="6"/>
      <c r="BJ753" s="6"/>
      <c r="BK753" s="6"/>
      <c r="BL753" s="6"/>
      <c r="BM753" s="6"/>
      <c r="BN753" s="6"/>
      <c r="BO753" s="6"/>
      <c r="BP753" s="6"/>
      <c r="BQ753" s="6"/>
    </row>
    <row r="754" spans="2:69" hidden="1" x14ac:dyDescent="0.2">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c r="AM754" s="6"/>
      <c r="AN754" s="6"/>
      <c r="AO754" s="6"/>
      <c r="AP754" s="6"/>
      <c r="AQ754" s="6"/>
      <c r="AR754" s="6"/>
      <c r="AS754" s="6"/>
      <c r="AT754" s="6"/>
      <c r="AU754" s="6"/>
      <c r="AV754" s="6"/>
      <c r="AW754" s="6"/>
      <c r="AX754" s="6"/>
      <c r="AY754" s="6"/>
      <c r="AZ754" s="6"/>
      <c r="BA754" s="6"/>
      <c r="BB754" s="6"/>
      <c r="BC754" s="6"/>
      <c r="BD754" s="6"/>
      <c r="BE754" s="6"/>
      <c r="BF754" s="6"/>
      <c r="BG754" s="6"/>
      <c r="BH754" s="6"/>
      <c r="BI754" s="6"/>
      <c r="BJ754" s="6"/>
      <c r="BK754" s="6"/>
      <c r="BL754" s="6"/>
      <c r="BM754" s="6"/>
      <c r="BN754" s="6"/>
      <c r="BO754" s="6"/>
      <c r="BP754" s="6"/>
      <c r="BQ754" s="6"/>
    </row>
    <row r="755" spans="2:69" hidden="1" x14ac:dyDescent="0.2">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c r="AM755" s="6"/>
      <c r="AN755" s="6"/>
      <c r="AO755" s="6"/>
      <c r="AP755" s="6"/>
      <c r="AQ755" s="6"/>
      <c r="AR755" s="6"/>
      <c r="AS755" s="6"/>
      <c r="AT755" s="6"/>
      <c r="AU755" s="6"/>
      <c r="AV755" s="6"/>
      <c r="AW755" s="6"/>
      <c r="AX755" s="6"/>
      <c r="AY755" s="6"/>
      <c r="AZ755" s="6"/>
      <c r="BA755" s="6"/>
      <c r="BB755" s="6"/>
      <c r="BC755" s="6"/>
      <c r="BD755" s="6"/>
      <c r="BE755" s="6"/>
      <c r="BF755" s="6"/>
      <c r="BG755" s="6"/>
      <c r="BH755" s="6"/>
      <c r="BI755" s="6"/>
      <c r="BJ755" s="6"/>
      <c r="BK755" s="6"/>
      <c r="BL755" s="6"/>
      <c r="BM755" s="6"/>
      <c r="BN755" s="6"/>
      <c r="BO755" s="6"/>
      <c r="BP755" s="6"/>
      <c r="BQ755" s="6"/>
    </row>
    <row r="756" spans="2:69" hidden="1" x14ac:dyDescent="0.2">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c r="AM756" s="6"/>
      <c r="AN756" s="6"/>
      <c r="AO756" s="6"/>
      <c r="AP756" s="6"/>
      <c r="AQ756" s="6"/>
      <c r="AR756" s="6"/>
      <c r="AS756" s="6"/>
      <c r="AT756" s="6"/>
      <c r="AU756" s="6"/>
      <c r="AV756" s="6"/>
      <c r="AW756" s="6"/>
      <c r="AX756" s="6"/>
      <c r="AY756" s="6"/>
      <c r="AZ756" s="6"/>
      <c r="BA756" s="6"/>
      <c r="BB756" s="6"/>
      <c r="BC756" s="6"/>
      <c r="BD756" s="6"/>
      <c r="BE756" s="6"/>
      <c r="BF756" s="6"/>
      <c r="BG756" s="6"/>
      <c r="BH756" s="6"/>
      <c r="BI756" s="6"/>
      <c r="BJ756" s="6"/>
      <c r="BK756" s="6"/>
      <c r="BL756" s="6"/>
      <c r="BM756" s="6"/>
      <c r="BN756" s="6"/>
      <c r="BO756" s="6"/>
      <c r="BP756" s="6"/>
      <c r="BQ756" s="6"/>
    </row>
    <row r="757" spans="2:69" hidden="1" x14ac:dyDescent="0.2">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c r="AM757" s="6"/>
      <c r="AN757" s="6"/>
      <c r="AO757" s="6"/>
      <c r="AP757" s="6"/>
      <c r="AQ757" s="6"/>
      <c r="AR757" s="6"/>
      <c r="AS757" s="6"/>
      <c r="AT757" s="6"/>
      <c r="AU757" s="6"/>
      <c r="AV757" s="6"/>
      <c r="AW757" s="6"/>
      <c r="AX757" s="6"/>
      <c r="AY757" s="6"/>
      <c r="AZ757" s="6"/>
      <c r="BA757" s="6"/>
      <c r="BB757" s="6"/>
      <c r="BC757" s="6"/>
      <c r="BD757" s="6"/>
      <c r="BE757" s="6"/>
      <c r="BF757" s="6"/>
      <c r="BG757" s="6"/>
      <c r="BH757" s="6"/>
      <c r="BI757" s="6"/>
      <c r="BJ757" s="6"/>
      <c r="BK757" s="6"/>
      <c r="BL757" s="6"/>
      <c r="BM757" s="6"/>
      <c r="BN757" s="6"/>
      <c r="BO757" s="6"/>
      <c r="BP757" s="6"/>
      <c r="BQ757" s="6"/>
    </row>
    <row r="758" spans="2:69" hidden="1" x14ac:dyDescent="0.2">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c r="AM758" s="6"/>
      <c r="AN758" s="6"/>
      <c r="AO758" s="6"/>
      <c r="AP758" s="6"/>
      <c r="AQ758" s="6"/>
      <c r="AR758" s="6"/>
      <c r="AS758" s="6"/>
      <c r="AT758" s="6"/>
      <c r="AU758" s="6"/>
      <c r="AV758" s="6"/>
      <c r="AW758" s="6"/>
      <c r="AX758" s="6"/>
      <c r="AY758" s="6"/>
      <c r="AZ758" s="6"/>
      <c r="BA758" s="6"/>
      <c r="BB758" s="6"/>
      <c r="BC758" s="6"/>
      <c r="BD758" s="6"/>
      <c r="BE758" s="6"/>
      <c r="BF758" s="6"/>
      <c r="BG758" s="6"/>
      <c r="BH758" s="6"/>
      <c r="BI758" s="6"/>
      <c r="BJ758" s="6"/>
      <c r="BK758" s="6"/>
      <c r="BL758" s="6"/>
      <c r="BM758" s="6"/>
      <c r="BN758" s="6"/>
      <c r="BO758" s="6"/>
      <c r="BP758" s="6"/>
      <c r="BQ758" s="6"/>
    </row>
    <row r="759" spans="2:69" hidden="1" x14ac:dyDescent="0.2">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c r="AM759" s="6"/>
      <c r="AN759" s="6"/>
      <c r="AO759" s="6"/>
      <c r="AP759" s="6"/>
      <c r="AQ759" s="6"/>
      <c r="AR759" s="6"/>
      <c r="AS759" s="6"/>
      <c r="AT759" s="6"/>
      <c r="AU759" s="6"/>
      <c r="AV759" s="6"/>
      <c r="AW759" s="6"/>
      <c r="AX759" s="6"/>
      <c r="AY759" s="6"/>
      <c r="AZ759" s="6"/>
      <c r="BA759" s="6"/>
      <c r="BB759" s="6"/>
      <c r="BC759" s="6"/>
      <c r="BD759" s="6"/>
      <c r="BE759" s="6"/>
      <c r="BF759" s="6"/>
      <c r="BG759" s="6"/>
      <c r="BH759" s="6"/>
      <c r="BI759" s="6"/>
      <c r="BJ759" s="6"/>
      <c r="BK759" s="6"/>
      <c r="BL759" s="6"/>
      <c r="BM759" s="6"/>
      <c r="BN759" s="6"/>
      <c r="BO759" s="6"/>
      <c r="BP759" s="6"/>
      <c r="BQ759" s="6"/>
    </row>
    <row r="760" spans="2:69" hidden="1" x14ac:dyDescent="0.2">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c r="AM760" s="6"/>
      <c r="AN760" s="6"/>
      <c r="AO760" s="6"/>
      <c r="AP760" s="6"/>
      <c r="AQ760" s="6"/>
      <c r="AR760" s="6"/>
      <c r="AS760" s="6"/>
      <c r="AT760" s="6"/>
      <c r="AU760" s="6"/>
      <c r="AV760" s="6"/>
      <c r="AW760" s="6"/>
      <c r="AX760" s="6"/>
      <c r="AY760" s="6"/>
      <c r="AZ760" s="6"/>
      <c r="BA760" s="6"/>
      <c r="BB760" s="6"/>
      <c r="BC760" s="6"/>
      <c r="BD760" s="6"/>
      <c r="BE760" s="6"/>
      <c r="BF760" s="6"/>
      <c r="BG760" s="6"/>
      <c r="BH760" s="6"/>
      <c r="BI760" s="6"/>
      <c r="BJ760" s="6"/>
      <c r="BK760" s="6"/>
      <c r="BL760" s="6"/>
      <c r="BM760" s="6"/>
      <c r="BN760" s="6"/>
      <c r="BO760" s="6"/>
      <c r="BP760" s="6"/>
      <c r="BQ760" s="6"/>
    </row>
    <row r="761" spans="2:69" hidden="1" x14ac:dyDescent="0.2">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c r="AM761" s="6"/>
      <c r="AN761" s="6"/>
      <c r="AO761" s="6"/>
      <c r="AP761" s="6"/>
      <c r="AQ761" s="6"/>
      <c r="AR761" s="6"/>
      <c r="AS761" s="6"/>
      <c r="AT761" s="6"/>
      <c r="AU761" s="6"/>
      <c r="AV761" s="6"/>
      <c r="AW761" s="6"/>
      <c r="AX761" s="6"/>
      <c r="AY761" s="6"/>
      <c r="AZ761" s="6"/>
      <c r="BA761" s="6"/>
      <c r="BB761" s="6"/>
      <c r="BC761" s="6"/>
      <c r="BD761" s="6"/>
      <c r="BE761" s="6"/>
      <c r="BF761" s="6"/>
      <c r="BG761" s="6"/>
      <c r="BH761" s="6"/>
      <c r="BI761" s="6"/>
      <c r="BJ761" s="6"/>
      <c r="BK761" s="6"/>
      <c r="BL761" s="6"/>
      <c r="BM761" s="6"/>
      <c r="BN761" s="6"/>
      <c r="BO761" s="6"/>
      <c r="BP761" s="6"/>
      <c r="BQ761" s="6"/>
    </row>
    <row r="762" spans="2:69" hidden="1" x14ac:dyDescent="0.2">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c r="AM762" s="6"/>
      <c r="AN762" s="6"/>
      <c r="AO762" s="6"/>
      <c r="AP762" s="6"/>
      <c r="AQ762" s="6"/>
      <c r="AR762" s="6"/>
      <c r="AS762" s="6"/>
      <c r="AT762" s="6"/>
      <c r="AU762" s="6"/>
      <c r="AV762" s="6"/>
      <c r="AW762" s="6"/>
      <c r="AX762" s="6"/>
      <c r="AY762" s="6"/>
      <c r="AZ762" s="6"/>
      <c r="BA762" s="6"/>
      <c r="BB762" s="6"/>
      <c r="BC762" s="6"/>
      <c r="BD762" s="6"/>
      <c r="BE762" s="6"/>
      <c r="BF762" s="6"/>
      <c r="BG762" s="6"/>
      <c r="BH762" s="6"/>
      <c r="BI762" s="6"/>
      <c r="BJ762" s="6"/>
      <c r="BK762" s="6"/>
      <c r="BL762" s="6"/>
      <c r="BM762" s="6"/>
      <c r="BN762" s="6"/>
      <c r="BO762" s="6"/>
      <c r="BP762" s="6"/>
      <c r="BQ762" s="6"/>
    </row>
    <row r="763" spans="2:69" hidden="1" x14ac:dyDescent="0.2">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c r="AM763" s="6"/>
      <c r="AN763" s="6"/>
      <c r="AO763" s="6"/>
      <c r="AP763" s="6"/>
      <c r="AQ763" s="6"/>
      <c r="AR763" s="6"/>
      <c r="AS763" s="6"/>
      <c r="AT763" s="6"/>
      <c r="AU763" s="6"/>
      <c r="AV763" s="6"/>
      <c r="AW763" s="6"/>
      <c r="AX763" s="6"/>
      <c r="AY763" s="6"/>
      <c r="AZ763" s="6"/>
      <c r="BA763" s="6"/>
      <c r="BB763" s="6"/>
      <c r="BC763" s="6"/>
      <c r="BD763" s="6"/>
      <c r="BE763" s="6"/>
      <c r="BF763" s="6"/>
      <c r="BG763" s="6"/>
      <c r="BH763" s="6"/>
      <c r="BI763" s="6"/>
      <c r="BJ763" s="6"/>
      <c r="BK763" s="6"/>
      <c r="BL763" s="6"/>
      <c r="BM763" s="6"/>
      <c r="BN763" s="6"/>
      <c r="BO763" s="6"/>
      <c r="BP763" s="6"/>
      <c r="BQ763" s="6"/>
    </row>
    <row r="764" spans="2:69" hidden="1" x14ac:dyDescent="0.2">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c r="AM764" s="6"/>
      <c r="AN764" s="6"/>
      <c r="AO764" s="6"/>
      <c r="AP764" s="6"/>
      <c r="AQ764" s="6"/>
      <c r="AR764" s="6"/>
      <c r="AS764" s="6"/>
      <c r="AT764" s="6"/>
      <c r="AU764" s="6"/>
      <c r="AV764" s="6"/>
      <c r="AW764" s="6"/>
      <c r="AX764" s="6"/>
      <c r="AY764" s="6"/>
      <c r="AZ764" s="6"/>
      <c r="BA764" s="6"/>
      <c r="BB764" s="6"/>
      <c r="BC764" s="6"/>
      <c r="BD764" s="6"/>
      <c r="BE764" s="6"/>
      <c r="BF764" s="6"/>
      <c r="BG764" s="6"/>
      <c r="BH764" s="6"/>
      <c r="BI764" s="6"/>
      <c r="BJ764" s="6"/>
      <c r="BK764" s="6"/>
      <c r="BL764" s="6"/>
      <c r="BM764" s="6"/>
      <c r="BN764" s="6"/>
      <c r="BO764" s="6"/>
      <c r="BP764" s="6"/>
      <c r="BQ764" s="6"/>
    </row>
    <row r="765" spans="2:69" hidden="1" x14ac:dyDescent="0.2">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c r="AM765" s="6"/>
      <c r="AN765" s="6"/>
      <c r="AO765" s="6"/>
      <c r="AP765" s="6"/>
      <c r="AQ765" s="6"/>
      <c r="AR765" s="6"/>
      <c r="AS765" s="6"/>
      <c r="AT765" s="6"/>
      <c r="AU765" s="6"/>
      <c r="AV765" s="6"/>
      <c r="AW765" s="6"/>
      <c r="AX765" s="6"/>
      <c r="AY765" s="6"/>
      <c r="AZ765" s="6"/>
      <c r="BA765" s="6"/>
      <c r="BB765" s="6"/>
      <c r="BC765" s="6"/>
      <c r="BD765" s="6"/>
      <c r="BE765" s="6"/>
      <c r="BF765" s="6"/>
      <c r="BG765" s="6"/>
      <c r="BH765" s="6"/>
      <c r="BI765" s="6"/>
      <c r="BJ765" s="6"/>
      <c r="BK765" s="6"/>
      <c r="BL765" s="6"/>
      <c r="BM765" s="6"/>
      <c r="BN765" s="6"/>
      <c r="BO765" s="6"/>
      <c r="BP765" s="6"/>
      <c r="BQ765" s="6"/>
    </row>
    <row r="766" spans="2:69" hidden="1" x14ac:dyDescent="0.2">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c r="AM766" s="6"/>
      <c r="AN766" s="6"/>
      <c r="AO766" s="6"/>
      <c r="AP766" s="6"/>
      <c r="AQ766" s="6"/>
      <c r="AR766" s="6"/>
      <c r="AS766" s="6"/>
      <c r="AT766" s="6"/>
      <c r="AU766" s="6"/>
      <c r="AV766" s="6"/>
      <c r="AW766" s="6"/>
      <c r="AX766" s="6"/>
      <c r="AY766" s="6"/>
      <c r="AZ766" s="6"/>
      <c r="BA766" s="6"/>
      <c r="BB766" s="6"/>
      <c r="BC766" s="6"/>
      <c r="BD766" s="6"/>
      <c r="BE766" s="6"/>
      <c r="BF766" s="6"/>
      <c r="BG766" s="6"/>
      <c r="BH766" s="6"/>
      <c r="BI766" s="6"/>
      <c r="BJ766" s="6"/>
      <c r="BK766" s="6"/>
      <c r="BL766" s="6"/>
      <c r="BM766" s="6"/>
      <c r="BN766" s="6"/>
      <c r="BO766" s="6"/>
      <c r="BP766" s="6"/>
      <c r="BQ766" s="6"/>
    </row>
    <row r="767" spans="2:69" hidden="1" x14ac:dyDescent="0.2">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c r="AM767" s="6"/>
      <c r="AN767" s="6"/>
      <c r="AO767" s="6"/>
      <c r="AP767" s="6"/>
      <c r="AQ767" s="6"/>
      <c r="AR767" s="6"/>
      <c r="AS767" s="6"/>
      <c r="AT767" s="6"/>
      <c r="AU767" s="6"/>
      <c r="AV767" s="6"/>
      <c r="AW767" s="6"/>
      <c r="AX767" s="6"/>
      <c r="AY767" s="6"/>
      <c r="AZ767" s="6"/>
      <c r="BA767" s="6"/>
      <c r="BB767" s="6"/>
      <c r="BC767" s="6"/>
      <c r="BD767" s="6"/>
      <c r="BE767" s="6"/>
      <c r="BF767" s="6"/>
      <c r="BG767" s="6"/>
      <c r="BH767" s="6"/>
      <c r="BI767" s="6"/>
      <c r="BJ767" s="6"/>
      <c r="BK767" s="6"/>
      <c r="BL767" s="6"/>
      <c r="BM767" s="6"/>
      <c r="BN767" s="6"/>
      <c r="BO767" s="6"/>
      <c r="BP767" s="6"/>
      <c r="BQ767" s="6"/>
    </row>
    <row r="768" spans="2:69" hidden="1" x14ac:dyDescent="0.2">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c r="AM768" s="6"/>
      <c r="AN768" s="6"/>
      <c r="AO768" s="6"/>
      <c r="AP768" s="6"/>
      <c r="AQ768" s="6"/>
      <c r="AR768" s="6"/>
      <c r="AS768" s="6"/>
      <c r="AT768" s="6"/>
      <c r="AU768" s="6"/>
      <c r="AV768" s="6"/>
      <c r="AW768" s="6"/>
      <c r="AX768" s="6"/>
      <c r="AY768" s="6"/>
      <c r="AZ768" s="6"/>
      <c r="BA768" s="6"/>
      <c r="BB768" s="6"/>
      <c r="BC768" s="6"/>
      <c r="BD768" s="6"/>
      <c r="BE768" s="6"/>
      <c r="BF768" s="6"/>
      <c r="BG768" s="6"/>
      <c r="BH768" s="6"/>
      <c r="BI768" s="6"/>
      <c r="BJ768" s="6"/>
      <c r="BK768" s="6"/>
      <c r="BL768" s="6"/>
      <c r="BM768" s="6"/>
      <c r="BN768" s="6"/>
      <c r="BO768" s="6"/>
      <c r="BP768" s="6"/>
      <c r="BQ768" s="6"/>
    </row>
    <row r="769" spans="2:69" hidden="1" x14ac:dyDescent="0.2">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c r="AM769" s="6"/>
      <c r="AN769" s="6"/>
      <c r="AO769" s="6"/>
      <c r="AP769" s="6"/>
      <c r="AQ769" s="6"/>
      <c r="AR769" s="6"/>
      <c r="AS769" s="6"/>
      <c r="AT769" s="6"/>
      <c r="AU769" s="6"/>
      <c r="AV769" s="6"/>
      <c r="AW769" s="6"/>
      <c r="AX769" s="6"/>
      <c r="AY769" s="6"/>
      <c r="AZ769" s="6"/>
      <c r="BA769" s="6"/>
      <c r="BB769" s="6"/>
      <c r="BC769" s="6"/>
      <c r="BD769" s="6"/>
      <c r="BE769" s="6"/>
      <c r="BF769" s="6"/>
      <c r="BG769" s="6"/>
      <c r="BH769" s="6"/>
      <c r="BI769" s="6"/>
      <c r="BJ769" s="6"/>
      <c r="BK769" s="6"/>
      <c r="BL769" s="6"/>
      <c r="BM769" s="6"/>
      <c r="BN769" s="6"/>
      <c r="BO769" s="6"/>
      <c r="BP769" s="6"/>
      <c r="BQ769" s="6"/>
    </row>
    <row r="770" spans="2:69" hidden="1" x14ac:dyDescent="0.2">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c r="AM770" s="6"/>
      <c r="AN770" s="6"/>
      <c r="AO770" s="6"/>
      <c r="AP770" s="6"/>
      <c r="AQ770" s="6"/>
      <c r="AR770" s="6"/>
      <c r="AS770" s="6"/>
      <c r="AT770" s="6"/>
      <c r="AU770" s="6"/>
      <c r="AV770" s="6"/>
      <c r="AW770" s="6"/>
      <c r="AX770" s="6"/>
      <c r="AY770" s="6"/>
      <c r="AZ770" s="6"/>
      <c r="BA770" s="6"/>
      <c r="BB770" s="6"/>
      <c r="BC770" s="6"/>
      <c r="BD770" s="6"/>
      <c r="BE770" s="6"/>
      <c r="BF770" s="6"/>
      <c r="BG770" s="6"/>
      <c r="BH770" s="6"/>
      <c r="BI770" s="6"/>
      <c r="BJ770" s="6"/>
      <c r="BK770" s="6"/>
      <c r="BL770" s="6"/>
      <c r="BM770" s="6"/>
      <c r="BN770" s="6"/>
      <c r="BO770" s="6"/>
      <c r="BP770" s="6"/>
      <c r="BQ770" s="6"/>
    </row>
    <row r="771" spans="2:69" hidden="1" x14ac:dyDescent="0.2">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c r="AM771" s="6"/>
      <c r="AN771" s="6"/>
      <c r="AO771" s="6"/>
      <c r="AP771" s="6"/>
      <c r="AQ771" s="6"/>
      <c r="AR771" s="6"/>
      <c r="AS771" s="6"/>
      <c r="AT771" s="6"/>
      <c r="AU771" s="6"/>
      <c r="AV771" s="6"/>
      <c r="AW771" s="6"/>
      <c r="AX771" s="6"/>
      <c r="AY771" s="6"/>
      <c r="AZ771" s="6"/>
      <c r="BA771" s="6"/>
      <c r="BB771" s="6"/>
      <c r="BC771" s="6"/>
      <c r="BD771" s="6"/>
      <c r="BE771" s="6"/>
      <c r="BF771" s="6"/>
      <c r="BG771" s="6"/>
      <c r="BH771" s="6"/>
      <c r="BI771" s="6"/>
      <c r="BJ771" s="6"/>
      <c r="BK771" s="6"/>
      <c r="BL771" s="6"/>
      <c r="BM771" s="6"/>
      <c r="BN771" s="6"/>
      <c r="BO771" s="6"/>
      <c r="BP771" s="6"/>
      <c r="BQ771" s="6"/>
    </row>
    <row r="772" spans="2:69" hidden="1" x14ac:dyDescent="0.2">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c r="AM772" s="6"/>
      <c r="AN772" s="6"/>
      <c r="AO772" s="6"/>
      <c r="AP772" s="6"/>
      <c r="AQ772" s="6"/>
      <c r="AR772" s="6"/>
      <c r="AS772" s="6"/>
      <c r="AT772" s="6"/>
      <c r="AU772" s="6"/>
      <c r="AV772" s="6"/>
      <c r="AW772" s="6"/>
      <c r="AX772" s="6"/>
      <c r="AY772" s="6"/>
      <c r="AZ772" s="6"/>
      <c r="BA772" s="6"/>
      <c r="BB772" s="6"/>
      <c r="BC772" s="6"/>
      <c r="BD772" s="6"/>
      <c r="BE772" s="6"/>
      <c r="BF772" s="6"/>
      <c r="BG772" s="6"/>
      <c r="BH772" s="6"/>
      <c r="BI772" s="6"/>
      <c r="BJ772" s="6"/>
      <c r="BK772" s="6"/>
      <c r="BL772" s="6"/>
      <c r="BM772" s="6"/>
      <c r="BN772" s="6"/>
      <c r="BO772" s="6"/>
      <c r="BP772" s="6"/>
      <c r="BQ772" s="6"/>
    </row>
    <row r="773" spans="2:69" hidden="1" x14ac:dyDescent="0.2">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c r="AM773" s="6"/>
      <c r="AN773" s="6"/>
      <c r="AO773" s="6"/>
      <c r="AP773" s="6"/>
      <c r="AQ773" s="6"/>
      <c r="AR773" s="6"/>
      <c r="AS773" s="6"/>
      <c r="AT773" s="6"/>
      <c r="AU773" s="6"/>
      <c r="AV773" s="6"/>
      <c r="AW773" s="6"/>
      <c r="AX773" s="6"/>
      <c r="AY773" s="6"/>
      <c r="AZ773" s="6"/>
      <c r="BA773" s="6"/>
      <c r="BB773" s="6"/>
      <c r="BC773" s="6"/>
      <c r="BD773" s="6"/>
      <c r="BE773" s="6"/>
      <c r="BF773" s="6"/>
      <c r="BG773" s="6"/>
      <c r="BH773" s="6"/>
      <c r="BI773" s="6"/>
      <c r="BJ773" s="6"/>
      <c r="BK773" s="6"/>
      <c r="BL773" s="6"/>
      <c r="BM773" s="6"/>
      <c r="BN773" s="6"/>
      <c r="BO773" s="6"/>
      <c r="BP773" s="6"/>
      <c r="BQ773" s="6"/>
    </row>
    <row r="774" spans="2:69" hidden="1" x14ac:dyDescent="0.2">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c r="AM774" s="6"/>
      <c r="AN774" s="6"/>
      <c r="AO774" s="6"/>
      <c r="AP774" s="6"/>
      <c r="AQ774" s="6"/>
      <c r="AR774" s="6"/>
      <c r="AS774" s="6"/>
      <c r="AT774" s="6"/>
      <c r="AU774" s="6"/>
      <c r="AV774" s="6"/>
      <c r="AW774" s="6"/>
      <c r="AX774" s="6"/>
      <c r="AY774" s="6"/>
      <c r="AZ774" s="6"/>
      <c r="BA774" s="6"/>
      <c r="BB774" s="6"/>
      <c r="BC774" s="6"/>
      <c r="BD774" s="6"/>
      <c r="BE774" s="6"/>
      <c r="BF774" s="6"/>
      <c r="BG774" s="6"/>
      <c r="BH774" s="6"/>
      <c r="BI774" s="6"/>
      <c r="BJ774" s="6"/>
      <c r="BK774" s="6"/>
      <c r="BL774" s="6"/>
      <c r="BM774" s="6"/>
      <c r="BN774" s="6"/>
      <c r="BO774" s="6"/>
      <c r="BP774" s="6"/>
      <c r="BQ774" s="6"/>
    </row>
    <row r="775" spans="2:69" hidden="1" x14ac:dyDescent="0.2">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c r="AM775" s="6"/>
      <c r="AN775" s="6"/>
      <c r="AO775" s="6"/>
      <c r="AP775" s="6"/>
      <c r="AQ775" s="6"/>
      <c r="AR775" s="6"/>
      <c r="AS775" s="6"/>
      <c r="AT775" s="6"/>
      <c r="AU775" s="6"/>
      <c r="AV775" s="6"/>
      <c r="AW775" s="6"/>
      <c r="AX775" s="6"/>
      <c r="AY775" s="6"/>
      <c r="AZ775" s="6"/>
      <c r="BA775" s="6"/>
      <c r="BB775" s="6"/>
      <c r="BC775" s="6"/>
      <c r="BD775" s="6"/>
      <c r="BE775" s="6"/>
      <c r="BF775" s="6"/>
      <c r="BG775" s="6"/>
      <c r="BH775" s="6"/>
      <c r="BI775" s="6"/>
      <c r="BJ775" s="6"/>
      <c r="BK775" s="6"/>
      <c r="BL775" s="6"/>
      <c r="BM775" s="6"/>
      <c r="BN775" s="6"/>
      <c r="BO775" s="6"/>
      <c r="BP775" s="6"/>
      <c r="BQ775" s="6"/>
    </row>
    <row r="776" spans="2:69" hidden="1" x14ac:dyDescent="0.2">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c r="AM776" s="6"/>
      <c r="AN776" s="6"/>
      <c r="AO776" s="6"/>
      <c r="AP776" s="6"/>
      <c r="AQ776" s="6"/>
      <c r="AR776" s="6"/>
      <c r="AS776" s="6"/>
      <c r="AT776" s="6"/>
      <c r="AU776" s="6"/>
      <c r="AV776" s="6"/>
      <c r="AW776" s="6"/>
      <c r="AX776" s="6"/>
      <c r="AY776" s="6"/>
      <c r="AZ776" s="6"/>
      <c r="BA776" s="6"/>
      <c r="BB776" s="6"/>
      <c r="BC776" s="6"/>
      <c r="BD776" s="6"/>
      <c r="BE776" s="6"/>
      <c r="BF776" s="6"/>
      <c r="BG776" s="6"/>
      <c r="BH776" s="6"/>
      <c r="BI776" s="6"/>
      <c r="BJ776" s="6"/>
      <c r="BK776" s="6"/>
      <c r="BL776" s="6"/>
      <c r="BM776" s="6"/>
      <c r="BN776" s="6"/>
      <c r="BO776" s="6"/>
      <c r="BP776" s="6"/>
      <c r="BQ776" s="6"/>
    </row>
    <row r="777" spans="2:69" hidden="1" x14ac:dyDescent="0.2">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c r="AM777" s="6"/>
      <c r="AN777" s="6"/>
      <c r="AO777" s="6"/>
      <c r="AP777" s="6"/>
      <c r="AQ777" s="6"/>
      <c r="AR777" s="6"/>
      <c r="AS777" s="6"/>
      <c r="AT777" s="6"/>
      <c r="AU777" s="6"/>
      <c r="AV777" s="6"/>
      <c r="AW777" s="6"/>
      <c r="AX777" s="6"/>
      <c r="AY777" s="6"/>
      <c r="AZ777" s="6"/>
      <c r="BA777" s="6"/>
      <c r="BB777" s="6"/>
      <c r="BC777" s="6"/>
      <c r="BD777" s="6"/>
      <c r="BE777" s="6"/>
      <c r="BF777" s="6"/>
      <c r="BG777" s="6"/>
      <c r="BH777" s="6"/>
      <c r="BI777" s="6"/>
      <c r="BJ777" s="6"/>
      <c r="BK777" s="6"/>
      <c r="BL777" s="6"/>
      <c r="BM777" s="6"/>
      <c r="BN777" s="6"/>
      <c r="BO777" s="6"/>
      <c r="BP777" s="6"/>
      <c r="BQ777" s="6"/>
    </row>
    <row r="778" spans="2:69" hidden="1" x14ac:dyDescent="0.2">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c r="AM778" s="6"/>
      <c r="AN778" s="6"/>
      <c r="AO778" s="6"/>
      <c r="AP778" s="6"/>
      <c r="AQ778" s="6"/>
      <c r="AR778" s="6"/>
      <c r="AS778" s="6"/>
      <c r="AT778" s="6"/>
      <c r="AU778" s="6"/>
      <c r="AV778" s="6"/>
      <c r="AW778" s="6"/>
      <c r="AX778" s="6"/>
      <c r="AY778" s="6"/>
      <c r="AZ778" s="6"/>
      <c r="BA778" s="6"/>
      <c r="BB778" s="6"/>
      <c r="BC778" s="6"/>
      <c r="BD778" s="6"/>
      <c r="BE778" s="6"/>
      <c r="BF778" s="6"/>
      <c r="BG778" s="6"/>
      <c r="BH778" s="6"/>
      <c r="BI778" s="6"/>
      <c r="BJ778" s="6"/>
      <c r="BK778" s="6"/>
      <c r="BL778" s="6"/>
      <c r="BM778" s="6"/>
      <c r="BN778" s="6"/>
      <c r="BO778" s="6"/>
      <c r="BP778" s="6"/>
      <c r="BQ778" s="6"/>
    </row>
    <row r="779" spans="2:69" hidden="1" x14ac:dyDescent="0.2">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c r="AM779" s="6"/>
      <c r="AN779" s="6"/>
      <c r="AO779" s="6"/>
      <c r="AP779" s="6"/>
      <c r="AQ779" s="6"/>
      <c r="AR779" s="6"/>
      <c r="AS779" s="6"/>
      <c r="AT779" s="6"/>
      <c r="AU779" s="6"/>
      <c r="AV779" s="6"/>
      <c r="AW779" s="6"/>
      <c r="AX779" s="6"/>
      <c r="AY779" s="6"/>
      <c r="AZ779" s="6"/>
      <c r="BA779" s="6"/>
      <c r="BB779" s="6"/>
      <c r="BC779" s="6"/>
      <c r="BD779" s="6"/>
      <c r="BE779" s="6"/>
      <c r="BF779" s="6"/>
      <c r="BG779" s="6"/>
      <c r="BH779" s="6"/>
      <c r="BI779" s="6"/>
      <c r="BJ779" s="6"/>
      <c r="BK779" s="6"/>
      <c r="BL779" s="6"/>
      <c r="BM779" s="6"/>
      <c r="BN779" s="6"/>
      <c r="BO779" s="6"/>
      <c r="BP779" s="6"/>
      <c r="BQ779" s="6"/>
    </row>
    <row r="780" spans="2:69" hidden="1" x14ac:dyDescent="0.2">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c r="AM780" s="6"/>
      <c r="AN780" s="6"/>
      <c r="AO780" s="6"/>
      <c r="AP780" s="6"/>
      <c r="AQ780" s="6"/>
      <c r="AR780" s="6"/>
      <c r="AS780" s="6"/>
      <c r="AT780" s="6"/>
      <c r="AU780" s="6"/>
      <c r="AV780" s="6"/>
      <c r="AW780" s="6"/>
      <c r="AX780" s="6"/>
      <c r="AY780" s="6"/>
      <c r="AZ780" s="6"/>
      <c r="BA780" s="6"/>
      <c r="BB780" s="6"/>
      <c r="BC780" s="6"/>
      <c r="BD780" s="6"/>
      <c r="BE780" s="6"/>
      <c r="BF780" s="6"/>
      <c r="BG780" s="6"/>
      <c r="BH780" s="6"/>
      <c r="BI780" s="6"/>
      <c r="BJ780" s="6"/>
      <c r="BK780" s="6"/>
      <c r="BL780" s="6"/>
      <c r="BM780" s="6"/>
      <c r="BN780" s="6"/>
      <c r="BO780" s="6"/>
      <c r="BP780" s="6"/>
      <c r="BQ780" s="6"/>
    </row>
    <row r="781" spans="2:69" hidden="1" x14ac:dyDescent="0.2">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c r="AM781" s="6"/>
      <c r="AN781" s="6"/>
      <c r="AO781" s="6"/>
      <c r="AP781" s="6"/>
      <c r="AQ781" s="6"/>
      <c r="AR781" s="6"/>
      <c r="AS781" s="6"/>
      <c r="AT781" s="6"/>
      <c r="AU781" s="6"/>
      <c r="AV781" s="6"/>
      <c r="AW781" s="6"/>
      <c r="AX781" s="6"/>
      <c r="AY781" s="6"/>
      <c r="AZ781" s="6"/>
      <c r="BA781" s="6"/>
      <c r="BB781" s="6"/>
      <c r="BC781" s="6"/>
      <c r="BD781" s="6"/>
      <c r="BE781" s="6"/>
      <c r="BF781" s="6"/>
      <c r="BG781" s="6"/>
      <c r="BH781" s="6"/>
      <c r="BI781" s="6"/>
      <c r="BJ781" s="6"/>
      <c r="BK781" s="6"/>
      <c r="BL781" s="6"/>
      <c r="BM781" s="6"/>
      <c r="BN781" s="6"/>
      <c r="BO781" s="6"/>
      <c r="BP781" s="6"/>
      <c r="BQ781" s="6"/>
    </row>
    <row r="782" spans="2:69" hidden="1" x14ac:dyDescent="0.2">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c r="AM782" s="6"/>
      <c r="AN782" s="6"/>
      <c r="AO782" s="6"/>
      <c r="AP782" s="6"/>
      <c r="AQ782" s="6"/>
      <c r="AR782" s="6"/>
      <c r="AS782" s="6"/>
      <c r="AT782" s="6"/>
      <c r="AU782" s="6"/>
      <c r="AV782" s="6"/>
      <c r="AW782" s="6"/>
      <c r="AX782" s="6"/>
      <c r="AY782" s="6"/>
      <c r="AZ782" s="6"/>
      <c r="BA782" s="6"/>
      <c r="BB782" s="6"/>
      <c r="BC782" s="6"/>
      <c r="BD782" s="6"/>
      <c r="BE782" s="6"/>
      <c r="BF782" s="6"/>
      <c r="BG782" s="6"/>
      <c r="BH782" s="6"/>
      <c r="BI782" s="6"/>
      <c r="BJ782" s="6"/>
      <c r="BK782" s="6"/>
      <c r="BL782" s="6"/>
      <c r="BM782" s="6"/>
      <c r="BN782" s="6"/>
      <c r="BO782" s="6"/>
      <c r="BP782" s="6"/>
      <c r="BQ782" s="6"/>
    </row>
    <row r="783" spans="2:69" hidden="1" x14ac:dyDescent="0.2">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c r="AM783" s="6"/>
      <c r="AN783" s="6"/>
      <c r="AO783" s="6"/>
      <c r="AP783" s="6"/>
      <c r="AQ783" s="6"/>
      <c r="AR783" s="6"/>
      <c r="AS783" s="6"/>
      <c r="AT783" s="6"/>
      <c r="AU783" s="6"/>
      <c r="AV783" s="6"/>
      <c r="AW783" s="6"/>
      <c r="AX783" s="6"/>
      <c r="AY783" s="6"/>
      <c r="AZ783" s="6"/>
      <c r="BA783" s="6"/>
      <c r="BB783" s="6"/>
      <c r="BC783" s="6"/>
      <c r="BD783" s="6"/>
      <c r="BE783" s="6"/>
      <c r="BF783" s="6"/>
      <c r="BG783" s="6"/>
      <c r="BH783" s="6"/>
      <c r="BI783" s="6"/>
      <c r="BJ783" s="6"/>
      <c r="BK783" s="6"/>
      <c r="BL783" s="6"/>
      <c r="BM783" s="6"/>
      <c r="BN783" s="6"/>
      <c r="BO783" s="6"/>
      <c r="BP783" s="6"/>
      <c r="BQ783" s="6"/>
    </row>
    <row r="784" spans="2:69" hidden="1" x14ac:dyDescent="0.2">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c r="AM784" s="6"/>
      <c r="AN784" s="6"/>
      <c r="AO784" s="6"/>
      <c r="AP784" s="6"/>
      <c r="AQ784" s="6"/>
      <c r="AR784" s="6"/>
      <c r="AS784" s="6"/>
      <c r="AT784" s="6"/>
      <c r="AU784" s="6"/>
      <c r="AV784" s="6"/>
      <c r="AW784" s="6"/>
      <c r="AX784" s="6"/>
      <c r="AY784" s="6"/>
      <c r="AZ784" s="6"/>
      <c r="BA784" s="6"/>
      <c r="BB784" s="6"/>
      <c r="BC784" s="6"/>
      <c r="BD784" s="6"/>
      <c r="BE784" s="6"/>
      <c r="BF784" s="6"/>
      <c r="BG784" s="6"/>
      <c r="BH784" s="6"/>
      <c r="BI784" s="6"/>
      <c r="BJ784" s="6"/>
      <c r="BK784" s="6"/>
      <c r="BL784" s="6"/>
      <c r="BM784" s="6"/>
      <c r="BN784" s="6"/>
      <c r="BO784" s="6"/>
      <c r="BP784" s="6"/>
      <c r="BQ784" s="6"/>
    </row>
    <row r="785" spans="2:69" hidden="1" x14ac:dyDescent="0.2">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M785" s="6"/>
      <c r="AN785" s="6"/>
      <c r="AO785" s="6"/>
      <c r="AP785" s="6"/>
      <c r="AQ785" s="6"/>
      <c r="AR785" s="6"/>
      <c r="AS785" s="6"/>
      <c r="AT785" s="6"/>
      <c r="AU785" s="6"/>
      <c r="AV785" s="6"/>
      <c r="AW785" s="6"/>
      <c r="AX785" s="6"/>
      <c r="AY785" s="6"/>
      <c r="AZ785" s="6"/>
      <c r="BA785" s="6"/>
      <c r="BB785" s="6"/>
      <c r="BC785" s="6"/>
      <c r="BD785" s="6"/>
      <c r="BE785" s="6"/>
      <c r="BF785" s="6"/>
      <c r="BG785" s="6"/>
      <c r="BH785" s="6"/>
      <c r="BI785" s="6"/>
      <c r="BJ785" s="6"/>
      <c r="BK785" s="6"/>
      <c r="BL785" s="6"/>
      <c r="BM785" s="6"/>
      <c r="BN785" s="6"/>
      <c r="BO785" s="6"/>
      <c r="BP785" s="6"/>
      <c r="BQ785" s="6"/>
    </row>
    <row r="786" spans="2:69" hidden="1" x14ac:dyDescent="0.2">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M786" s="6"/>
      <c r="AN786" s="6"/>
      <c r="AO786" s="6"/>
      <c r="AP786" s="6"/>
      <c r="AQ786" s="6"/>
      <c r="AR786" s="6"/>
      <c r="AS786" s="6"/>
      <c r="AT786" s="6"/>
      <c r="AU786" s="6"/>
      <c r="AV786" s="6"/>
      <c r="AW786" s="6"/>
      <c r="AX786" s="6"/>
      <c r="AY786" s="6"/>
      <c r="AZ786" s="6"/>
      <c r="BA786" s="6"/>
      <c r="BB786" s="6"/>
      <c r="BC786" s="6"/>
      <c r="BD786" s="6"/>
      <c r="BE786" s="6"/>
      <c r="BF786" s="6"/>
      <c r="BG786" s="6"/>
      <c r="BH786" s="6"/>
      <c r="BI786" s="6"/>
      <c r="BJ786" s="6"/>
      <c r="BK786" s="6"/>
      <c r="BL786" s="6"/>
      <c r="BM786" s="6"/>
      <c r="BN786" s="6"/>
      <c r="BO786" s="6"/>
      <c r="BP786" s="6"/>
      <c r="BQ786" s="6"/>
    </row>
    <row r="787" spans="2:69" hidden="1" x14ac:dyDescent="0.2">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M787" s="6"/>
      <c r="AN787" s="6"/>
      <c r="AO787" s="6"/>
      <c r="AP787" s="6"/>
      <c r="AQ787" s="6"/>
      <c r="AR787" s="6"/>
      <c r="AS787" s="6"/>
      <c r="AT787" s="6"/>
      <c r="AU787" s="6"/>
      <c r="AV787" s="6"/>
      <c r="AW787" s="6"/>
      <c r="AX787" s="6"/>
      <c r="AY787" s="6"/>
      <c r="AZ787" s="6"/>
      <c r="BA787" s="6"/>
      <c r="BB787" s="6"/>
      <c r="BC787" s="6"/>
      <c r="BD787" s="6"/>
      <c r="BE787" s="6"/>
      <c r="BF787" s="6"/>
      <c r="BG787" s="6"/>
      <c r="BH787" s="6"/>
      <c r="BI787" s="6"/>
      <c r="BJ787" s="6"/>
      <c r="BK787" s="6"/>
      <c r="BL787" s="6"/>
      <c r="BM787" s="6"/>
      <c r="BN787" s="6"/>
      <c r="BO787" s="6"/>
      <c r="BP787" s="6"/>
      <c r="BQ787" s="6"/>
    </row>
    <row r="788" spans="2:69" hidden="1" x14ac:dyDescent="0.2">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M788" s="6"/>
      <c r="AN788" s="6"/>
      <c r="AO788" s="6"/>
      <c r="AP788" s="6"/>
      <c r="AQ788" s="6"/>
      <c r="AR788" s="6"/>
      <c r="AS788" s="6"/>
      <c r="AT788" s="6"/>
      <c r="AU788" s="6"/>
      <c r="AV788" s="6"/>
      <c r="AW788" s="6"/>
      <c r="AX788" s="6"/>
      <c r="AY788" s="6"/>
      <c r="AZ788" s="6"/>
      <c r="BA788" s="6"/>
      <c r="BB788" s="6"/>
      <c r="BC788" s="6"/>
      <c r="BD788" s="6"/>
      <c r="BE788" s="6"/>
      <c r="BF788" s="6"/>
      <c r="BG788" s="6"/>
      <c r="BH788" s="6"/>
      <c r="BI788" s="6"/>
      <c r="BJ788" s="6"/>
      <c r="BK788" s="6"/>
      <c r="BL788" s="6"/>
      <c r="BM788" s="6"/>
      <c r="BN788" s="6"/>
      <c r="BO788" s="6"/>
      <c r="BP788" s="6"/>
      <c r="BQ788" s="6"/>
    </row>
    <row r="789" spans="2:69" hidden="1" x14ac:dyDescent="0.2">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M789" s="6"/>
      <c r="AN789" s="6"/>
      <c r="AO789" s="6"/>
      <c r="AP789" s="6"/>
      <c r="AQ789" s="6"/>
      <c r="AR789" s="6"/>
      <c r="AS789" s="6"/>
      <c r="AT789" s="6"/>
      <c r="AU789" s="6"/>
      <c r="AV789" s="6"/>
      <c r="AW789" s="6"/>
      <c r="AX789" s="6"/>
      <c r="AY789" s="6"/>
      <c r="AZ789" s="6"/>
      <c r="BA789" s="6"/>
      <c r="BB789" s="6"/>
      <c r="BC789" s="6"/>
      <c r="BD789" s="6"/>
      <c r="BE789" s="6"/>
      <c r="BF789" s="6"/>
      <c r="BG789" s="6"/>
      <c r="BH789" s="6"/>
      <c r="BI789" s="6"/>
      <c r="BJ789" s="6"/>
      <c r="BK789" s="6"/>
      <c r="BL789" s="6"/>
      <c r="BM789" s="6"/>
      <c r="BN789" s="6"/>
      <c r="BO789" s="6"/>
      <c r="BP789" s="6"/>
      <c r="BQ789" s="6"/>
    </row>
    <row r="790" spans="2:69" hidden="1" x14ac:dyDescent="0.2">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M790" s="6"/>
      <c r="AN790" s="6"/>
      <c r="AO790" s="6"/>
      <c r="AP790" s="6"/>
      <c r="AQ790" s="6"/>
      <c r="AR790" s="6"/>
      <c r="AS790" s="6"/>
      <c r="AT790" s="6"/>
      <c r="AU790" s="6"/>
      <c r="AV790" s="6"/>
      <c r="AW790" s="6"/>
      <c r="AX790" s="6"/>
      <c r="AY790" s="6"/>
      <c r="AZ790" s="6"/>
      <c r="BA790" s="6"/>
      <c r="BB790" s="6"/>
      <c r="BC790" s="6"/>
      <c r="BD790" s="6"/>
      <c r="BE790" s="6"/>
      <c r="BF790" s="6"/>
      <c r="BG790" s="6"/>
      <c r="BH790" s="6"/>
      <c r="BI790" s="6"/>
      <c r="BJ790" s="6"/>
      <c r="BK790" s="6"/>
      <c r="BL790" s="6"/>
      <c r="BM790" s="6"/>
      <c r="BN790" s="6"/>
      <c r="BO790" s="6"/>
      <c r="BP790" s="6"/>
      <c r="BQ790" s="6"/>
    </row>
    <row r="791" spans="2:69" hidden="1" x14ac:dyDescent="0.2">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M791" s="6"/>
      <c r="AN791" s="6"/>
      <c r="AO791" s="6"/>
      <c r="AP791" s="6"/>
      <c r="AQ791" s="6"/>
      <c r="AR791" s="6"/>
      <c r="AS791" s="6"/>
      <c r="AT791" s="6"/>
      <c r="AU791" s="6"/>
      <c r="AV791" s="6"/>
      <c r="AW791" s="6"/>
      <c r="AX791" s="6"/>
      <c r="AY791" s="6"/>
      <c r="AZ791" s="6"/>
      <c r="BA791" s="6"/>
      <c r="BB791" s="6"/>
      <c r="BC791" s="6"/>
      <c r="BD791" s="6"/>
      <c r="BE791" s="6"/>
      <c r="BF791" s="6"/>
      <c r="BG791" s="6"/>
      <c r="BH791" s="6"/>
      <c r="BI791" s="6"/>
      <c r="BJ791" s="6"/>
      <c r="BK791" s="6"/>
      <c r="BL791" s="6"/>
      <c r="BM791" s="6"/>
      <c r="BN791" s="6"/>
      <c r="BO791" s="6"/>
      <c r="BP791" s="6"/>
      <c r="BQ791" s="6"/>
    </row>
    <row r="792" spans="2:69" hidden="1" x14ac:dyDescent="0.2">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M792" s="6"/>
      <c r="AN792" s="6"/>
      <c r="AO792" s="6"/>
      <c r="AP792" s="6"/>
      <c r="AQ792" s="6"/>
      <c r="AR792" s="6"/>
      <c r="AS792" s="6"/>
      <c r="AT792" s="6"/>
      <c r="AU792" s="6"/>
      <c r="AV792" s="6"/>
      <c r="AW792" s="6"/>
      <c r="AX792" s="6"/>
      <c r="AY792" s="6"/>
      <c r="AZ792" s="6"/>
      <c r="BA792" s="6"/>
      <c r="BB792" s="6"/>
      <c r="BC792" s="6"/>
      <c r="BD792" s="6"/>
      <c r="BE792" s="6"/>
      <c r="BF792" s="6"/>
      <c r="BG792" s="6"/>
      <c r="BH792" s="6"/>
      <c r="BI792" s="6"/>
      <c r="BJ792" s="6"/>
      <c r="BK792" s="6"/>
      <c r="BL792" s="6"/>
      <c r="BM792" s="6"/>
      <c r="BN792" s="6"/>
      <c r="BO792" s="6"/>
      <c r="BP792" s="6"/>
      <c r="BQ792" s="6"/>
    </row>
    <row r="793" spans="2:69" hidden="1" x14ac:dyDescent="0.2">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M793" s="6"/>
      <c r="AN793" s="6"/>
      <c r="AO793" s="6"/>
      <c r="AP793" s="6"/>
      <c r="AQ793" s="6"/>
      <c r="AR793" s="6"/>
      <c r="AS793" s="6"/>
      <c r="AT793" s="6"/>
      <c r="AU793" s="6"/>
      <c r="AV793" s="6"/>
      <c r="AW793" s="6"/>
      <c r="AX793" s="6"/>
      <c r="AY793" s="6"/>
      <c r="AZ793" s="6"/>
      <c r="BA793" s="6"/>
      <c r="BB793" s="6"/>
      <c r="BC793" s="6"/>
      <c r="BD793" s="6"/>
      <c r="BE793" s="6"/>
      <c r="BF793" s="6"/>
      <c r="BG793" s="6"/>
      <c r="BH793" s="6"/>
      <c r="BI793" s="6"/>
      <c r="BJ793" s="6"/>
      <c r="BK793" s="6"/>
      <c r="BL793" s="6"/>
      <c r="BM793" s="6"/>
      <c r="BN793" s="6"/>
      <c r="BO793" s="6"/>
      <c r="BP793" s="6"/>
      <c r="BQ793" s="6"/>
    </row>
    <row r="794" spans="2:69" hidden="1" x14ac:dyDescent="0.2">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M794" s="6"/>
      <c r="AN794" s="6"/>
      <c r="AO794" s="6"/>
      <c r="AP794" s="6"/>
      <c r="AQ794" s="6"/>
      <c r="AR794" s="6"/>
      <c r="AS794" s="6"/>
      <c r="AT794" s="6"/>
      <c r="AU794" s="6"/>
      <c r="AV794" s="6"/>
      <c r="AW794" s="6"/>
      <c r="AX794" s="6"/>
      <c r="AY794" s="6"/>
      <c r="AZ794" s="6"/>
      <c r="BA794" s="6"/>
      <c r="BB794" s="6"/>
      <c r="BC794" s="6"/>
      <c r="BD794" s="6"/>
      <c r="BE794" s="6"/>
      <c r="BF794" s="6"/>
      <c r="BG794" s="6"/>
      <c r="BH794" s="6"/>
      <c r="BI794" s="6"/>
      <c r="BJ794" s="6"/>
      <c r="BK794" s="6"/>
      <c r="BL794" s="6"/>
      <c r="BM794" s="6"/>
      <c r="BN794" s="6"/>
      <c r="BO794" s="6"/>
      <c r="BP794" s="6"/>
      <c r="BQ794" s="6"/>
    </row>
    <row r="795" spans="2:69" hidden="1" x14ac:dyDescent="0.2">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M795" s="6"/>
      <c r="AN795" s="6"/>
      <c r="AO795" s="6"/>
      <c r="AP795" s="6"/>
      <c r="AQ795" s="6"/>
      <c r="AR795" s="6"/>
      <c r="AS795" s="6"/>
      <c r="AT795" s="6"/>
      <c r="AU795" s="6"/>
      <c r="AV795" s="6"/>
      <c r="AW795" s="6"/>
      <c r="AX795" s="6"/>
      <c r="AY795" s="6"/>
      <c r="AZ795" s="6"/>
      <c r="BA795" s="6"/>
      <c r="BB795" s="6"/>
      <c r="BC795" s="6"/>
      <c r="BD795" s="6"/>
      <c r="BE795" s="6"/>
      <c r="BF795" s="6"/>
      <c r="BG795" s="6"/>
      <c r="BH795" s="6"/>
      <c r="BI795" s="6"/>
      <c r="BJ795" s="6"/>
      <c r="BK795" s="6"/>
      <c r="BL795" s="6"/>
      <c r="BM795" s="6"/>
      <c r="BN795" s="6"/>
      <c r="BO795" s="6"/>
      <c r="BP795" s="6"/>
      <c r="BQ795" s="6"/>
    </row>
    <row r="796" spans="2:69" hidden="1" x14ac:dyDescent="0.2">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M796" s="6"/>
      <c r="AN796" s="6"/>
      <c r="AO796" s="6"/>
      <c r="AP796" s="6"/>
      <c r="AQ796" s="6"/>
      <c r="AR796" s="6"/>
      <c r="AS796" s="6"/>
      <c r="AT796" s="6"/>
      <c r="AU796" s="6"/>
      <c r="AV796" s="6"/>
      <c r="AW796" s="6"/>
      <c r="AX796" s="6"/>
      <c r="AY796" s="6"/>
      <c r="AZ796" s="6"/>
      <c r="BA796" s="6"/>
      <c r="BB796" s="6"/>
      <c r="BC796" s="6"/>
      <c r="BD796" s="6"/>
      <c r="BE796" s="6"/>
      <c r="BF796" s="6"/>
      <c r="BG796" s="6"/>
      <c r="BH796" s="6"/>
      <c r="BI796" s="6"/>
      <c r="BJ796" s="6"/>
      <c r="BK796" s="6"/>
      <c r="BL796" s="6"/>
      <c r="BM796" s="6"/>
      <c r="BN796" s="6"/>
      <c r="BO796" s="6"/>
      <c r="BP796" s="6"/>
      <c r="BQ796" s="6"/>
    </row>
    <row r="797" spans="2:69" hidden="1" x14ac:dyDescent="0.2">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M797" s="6"/>
      <c r="AN797" s="6"/>
      <c r="AO797" s="6"/>
      <c r="AP797" s="6"/>
      <c r="AQ797" s="6"/>
      <c r="AR797" s="6"/>
      <c r="AS797" s="6"/>
      <c r="AT797" s="6"/>
      <c r="AU797" s="6"/>
      <c r="AV797" s="6"/>
      <c r="AW797" s="6"/>
      <c r="AX797" s="6"/>
      <c r="AY797" s="6"/>
      <c r="AZ797" s="6"/>
      <c r="BA797" s="6"/>
      <c r="BB797" s="6"/>
      <c r="BC797" s="6"/>
      <c r="BD797" s="6"/>
      <c r="BE797" s="6"/>
      <c r="BF797" s="6"/>
      <c r="BG797" s="6"/>
      <c r="BH797" s="6"/>
      <c r="BI797" s="6"/>
      <c r="BJ797" s="6"/>
      <c r="BK797" s="6"/>
      <c r="BL797" s="6"/>
      <c r="BM797" s="6"/>
      <c r="BN797" s="6"/>
      <c r="BO797" s="6"/>
      <c r="BP797" s="6"/>
      <c r="BQ797" s="6"/>
    </row>
    <row r="798" spans="2:69" hidden="1" x14ac:dyDescent="0.2">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M798" s="6"/>
      <c r="AN798" s="6"/>
      <c r="AO798" s="6"/>
      <c r="AP798" s="6"/>
      <c r="AQ798" s="6"/>
      <c r="AR798" s="6"/>
      <c r="AS798" s="6"/>
      <c r="AT798" s="6"/>
      <c r="AU798" s="6"/>
      <c r="AV798" s="6"/>
      <c r="AW798" s="6"/>
      <c r="AX798" s="6"/>
      <c r="AY798" s="6"/>
      <c r="AZ798" s="6"/>
      <c r="BA798" s="6"/>
      <c r="BB798" s="6"/>
      <c r="BC798" s="6"/>
      <c r="BD798" s="6"/>
      <c r="BE798" s="6"/>
      <c r="BF798" s="6"/>
      <c r="BG798" s="6"/>
      <c r="BH798" s="6"/>
      <c r="BI798" s="6"/>
      <c r="BJ798" s="6"/>
      <c r="BK798" s="6"/>
      <c r="BL798" s="6"/>
      <c r="BM798" s="6"/>
      <c r="BN798" s="6"/>
      <c r="BO798" s="6"/>
      <c r="BP798" s="6"/>
      <c r="BQ798" s="6"/>
    </row>
    <row r="799" spans="2:69" hidden="1" x14ac:dyDescent="0.2">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M799" s="6"/>
      <c r="AN799" s="6"/>
      <c r="AO799" s="6"/>
      <c r="AP799" s="6"/>
      <c r="AQ799" s="6"/>
      <c r="AR799" s="6"/>
      <c r="AS799" s="6"/>
      <c r="AT799" s="6"/>
      <c r="AU799" s="6"/>
      <c r="AV799" s="6"/>
      <c r="AW799" s="6"/>
      <c r="AX799" s="6"/>
      <c r="AY799" s="6"/>
      <c r="AZ799" s="6"/>
      <c r="BA799" s="6"/>
      <c r="BB799" s="6"/>
      <c r="BC799" s="6"/>
      <c r="BD799" s="6"/>
      <c r="BE799" s="6"/>
      <c r="BF799" s="6"/>
      <c r="BG799" s="6"/>
      <c r="BH799" s="6"/>
      <c r="BI799" s="6"/>
      <c r="BJ799" s="6"/>
      <c r="BK799" s="6"/>
      <c r="BL799" s="6"/>
      <c r="BM799" s="6"/>
      <c r="BN799" s="6"/>
      <c r="BO799" s="6"/>
      <c r="BP799" s="6"/>
      <c r="BQ799" s="6"/>
    </row>
    <row r="800" spans="2:69" hidden="1" x14ac:dyDescent="0.2">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M800" s="6"/>
      <c r="AN800" s="6"/>
      <c r="AO800" s="6"/>
      <c r="AP800" s="6"/>
      <c r="AQ800" s="6"/>
      <c r="AR800" s="6"/>
      <c r="AS800" s="6"/>
      <c r="AT800" s="6"/>
      <c r="AU800" s="6"/>
      <c r="AV800" s="6"/>
      <c r="AW800" s="6"/>
      <c r="AX800" s="6"/>
      <c r="AY800" s="6"/>
      <c r="AZ800" s="6"/>
      <c r="BA800" s="6"/>
      <c r="BB800" s="6"/>
      <c r="BC800" s="6"/>
      <c r="BD800" s="6"/>
      <c r="BE800" s="6"/>
      <c r="BF800" s="6"/>
      <c r="BG800" s="6"/>
      <c r="BH800" s="6"/>
      <c r="BI800" s="6"/>
      <c r="BJ800" s="6"/>
      <c r="BK800" s="6"/>
      <c r="BL800" s="6"/>
      <c r="BM800" s="6"/>
      <c r="BN800" s="6"/>
      <c r="BO800" s="6"/>
      <c r="BP800" s="6"/>
      <c r="BQ800" s="6"/>
    </row>
    <row r="801" spans="2:69" hidden="1" x14ac:dyDescent="0.2">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M801" s="6"/>
      <c r="AN801" s="6"/>
      <c r="AO801" s="6"/>
      <c r="AP801" s="6"/>
      <c r="AQ801" s="6"/>
      <c r="AR801" s="6"/>
      <c r="AS801" s="6"/>
      <c r="AT801" s="6"/>
      <c r="AU801" s="6"/>
      <c r="AV801" s="6"/>
      <c r="AW801" s="6"/>
      <c r="AX801" s="6"/>
      <c r="AY801" s="6"/>
      <c r="AZ801" s="6"/>
      <c r="BA801" s="6"/>
      <c r="BB801" s="6"/>
      <c r="BC801" s="6"/>
      <c r="BD801" s="6"/>
      <c r="BE801" s="6"/>
      <c r="BF801" s="6"/>
      <c r="BG801" s="6"/>
      <c r="BH801" s="6"/>
      <c r="BI801" s="6"/>
      <c r="BJ801" s="6"/>
      <c r="BK801" s="6"/>
      <c r="BL801" s="6"/>
      <c r="BM801" s="6"/>
      <c r="BN801" s="6"/>
      <c r="BO801" s="6"/>
      <c r="BP801" s="6"/>
      <c r="BQ801" s="6"/>
    </row>
    <row r="802" spans="2:69" hidden="1" x14ac:dyDescent="0.2">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M802" s="6"/>
      <c r="AN802" s="6"/>
      <c r="AO802" s="6"/>
      <c r="AP802" s="6"/>
      <c r="AQ802" s="6"/>
      <c r="AR802" s="6"/>
      <c r="AS802" s="6"/>
      <c r="AT802" s="6"/>
      <c r="AU802" s="6"/>
      <c r="AV802" s="6"/>
      <c r="AW802" s="6"/>
      <c r="AX802" s="6"/>
      <c r="AY802" s="6"/>
      <c r="AZ802" s="6"/>
      <c r="BA802" s="6"/>
      <c r="BB802" s="6"/>
      <c r="BC802" s="6"/>
      <c r="BD802" s="6"/>
      <c r="BE802" s="6"/>
      <c r="BF802" s="6"/>
      <c r="BG802" s="6"/>
      <c r="BH802" s="6"/>
      <c r="BI802" s="6"/>
      <c r="BJ802" s="6"/>
      <c r="BK802" s="6"/>
      <c r="BL802" s="6"/>
      <c r="BM802" s="6"/>
      <c r="BN802" s="6"/>
      <c r="BO802" s="6"/>
      <c r="BP802" s="6"/>
      <c r="BQ802" s="6"/>
    </row>
    <row r="803" spans="2:69" hidden="1" x14ac:dyDescent="0.2">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M803" s="6"/>
      <c r="AN803" s="6"/>
      <c r="AO803" s="6"/>
      <c r="AP803" s="6"/>
      <c r="AQ803" s="6"/>
      <c r="AR803" s="6"/>
      <c r="AS803" s="6"/>
      <c r="AT803" s="6"/>
      <c r="AU803" s="6"/>
      <c r="AV803" s="6"/>
      <c r="AW803" s="6"/>
      <c r="AX803" s="6"/>
      <c r="AY803" s="6"/>
      <c r="AZ803" s="6"/>
      <c r="BA803" s="6"/>
      <c r="BB803" s="6"/>
      <c r="BC803" s="6"/>
      <c r="BD803" s="6"/>
      <c r="BE803" s="6"/>
      <c r="BF803" s="6"/>
      <c r="BG803" s="6"/>
      <c r="BH803" s="6"/>
      <c r="BI803" s="6"/>
      <c r="BJ803" s="6"/>
      <c r="BK803" s="6"/>
      <c r="BL803" s="6"/>
      <c r="BM803" s="6"/>
      <c r="BN803" s="6"/>
      <c r="BO803" s="6"/>
      <c r="BP803" s="6"/>
      <c r="BQ803" s="6"/>
    </row>
    <row r="804" spans="2:69" hidden="1" x14ac:dyDescent="0.2">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M804" s="6"/>
      <c r="AN804" s="6"/>
      <c r="AO804" s="6"/>
      <c r="AP804" s="6"/>
      <c r="AQ804" s="6"/>
      <c r="AR804" s="6"/>
      <c r="AS804" s="6"/>
      <c r="AT804" s="6"/>
      <c r="AU804" s="6"/>
      <c r="AV804" s="6"/>
      <c r="AW804" s="6"/>
      <c r="AX804" s="6"/>
      <c r="AY804" s="6"/>
      <c r="AZ804" s="6"/>
      <c r="BA804" s="6"/>
      <c r="BB804" s="6"/>
      <c r="BC804" s="6"/>
      <c r="BD804" s="6"/>
      <c r="BE804" s="6"/>
      <c r="BF804" s="6"/>
      <c r="BG804" s="6"/>
      <c r="BH804" s="6"/>
      <c r="BI804" s="6"/>
      <c r="BJ804" s="6"/>
      <c r="BK804" s="6"/>
      <c r="BL804" s="6"/>
      <c r="BM804" s="6"/>
      <c r="BN804" s="6"/>
      <c r="BO804" s="6"/>
      <c r="BP804" s="6"/>
      <c r="BQ804" s="6"/>
    </row>
    <row r="805" spans="2:69" hidden="1" x14ac:dyDescent="0.2">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M805" s="6"/>
      <c r="AN805" s="6"/>
      <c r="AO805" s="6"/>
      <c r="AP805" s="6"/>
      <c r="AQ805" s="6"/>
      <c r="AR805" s="6"/>
      <c r="AS805" s="6"/>
      <c r="AT805" s="6"/>
      <c r="AU805" s="6"/>
      <c r="AV805" s="6"/>
      <c r="AW805" s="6"/>
      <c r="AX805" s="6"/>
      <c r="AY805" s="6"/>
      <c r="AZ805" s="6"/>
      <c r="BA805" s="6"/>
      <c r="BB805" s="6"/>
      <c r="BC805" s="6"/>
      <c r="BD805" s="6"/>
      <c r="BE805" s="6"/>
      <c r="BF805" s="6"/>
      <c r="BG805" s="6"/>
      <c r="BH805" s="6"/>
      <c r="BI805" s="6"/>
      <c r="BJ805" s="6"/>
      <c r="BK805" s="6"/>
      <c r="BL805" s="6"/>
      <c r="BM805" s="6"/>
      <c r="BN805" s="6"/>
      <c r="BO805" s="6"/>
      <c r="BP805" s="6"/>
      <c r="BQ805" s="6"/>
    </row>
    <row r="806" spans="2:69" hidden="1" x14ac:dyDescent="0.2">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M806" s="6"/>
      <c r="AN806" s="6"/>
      <c r="AO806" s="6"/>
      <c r="AP806" s="6"/>
      <c r="AQ806" s="6"/>
      <c r="AR806" s="6"/>
      <c r="AS806" s="6"/>
      <c r="AT806" s="6"/>
      <c r="AU806" s="6"/>
      <c r="AV806" s="6"/>
      <c r="AW806" s="6"/>
      <c r="AX806" s="6"/>
      <c r="AY806" s="6"/>
      <c r="AZ806" s="6"/>
      <c r="BA806" s="6"/>
      <c r="BB806" s="6"/>
      <c r="BC806" s="6"/>
      <c r="BD806" s="6"/>
      <c r="BE806" s="6"/>
      <c r="BF806" s="6"/>
      <c r="BG806" s="6"/>
      <c r="BH806" s="6"/>
      <c r="BI806" s="6"/>
      <c r="BJ806" s="6"/>
      <c r="BK806" s="6"/>
      <c r="BL806" s="6"/>
      <c r="BM806" s="6"/>
      <c r="BN806" s="6"/>
      <c r="BO806" s="6"/>
      <c r="BP806" s="6"/>
      <c r="BQ806" s="6"/>
    </row>
    <row r="807" spans="2:69" hidden="1" x14ac:dyDescent="0.2">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M807" s="6"/>
      <c r="AN807" s="6"/>
      <c r="AO807" s="6"/>
      <c r="AP807" s="6"/>
      <c r="AQ807" s="6"/>
      <c r="AR807" s="6"/>
      <c r="AS807" s="6"/>
      <c r="AT807" s="6"/>
      <c r="AU807" s="6"/>
      <c r="AV807" s="6"/>
      <c r="AW807" s="6"/>
      <c r="AX807" s="6"/>
      <c r="AY807" s="6"/>
      <c r="AZ807" s="6"/>
      <c r="BA807" s="6"/>
      <c r="BB807" s="6"/>
      <c r="BC807" s="6"/>
      <c r="BD807" s="6"/>
      <c r="BE807" s="6"/>
      <c r="BF807" s="6"/>
      <c r="BG807" s="6"/>
      <c r="BH807" s="6"/>
      <c r="BI807" s="6"/>
      <c r="BJ807" s="6"/>
      <c r="BK807" s="6"/>
      <c r="BL807" s="6"/>
      <c r="BM807" s="6"/>
      <c r="BN807" s="6"/>
      <c r="BO807" s="6"/>
      <c r="BP807" s="6"/>
      <c r="BQ807" s="6"/>
    </row>
    <row r="808" spans="2:69" hidden="1" x14ac:dyDescent="0.2">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M808" s="6"/>
      <c r="AN808" s="6"/>
      <c r="AO808" s="6"/>
      <c r="AP808" s="6"/>
      <c r="AQ808" s="6"/>
      <c r="AR808" s="6"/>
      <c r="AS808" s="6"/>
      <c r="AT808" s="6"/>
      <c r="AU808" s="6"/>
      <c r="AV808" s="6"/>
      <c r="AW808" s="6"/>
      <c r="AX808" s="6"/>
      <c r="AY808" s="6"/>
      <c r="AZ808" s="6"/>
      <c r="BA808" s="6"/>
      <c r="BB808" s="6"/>
      <c r="BC808" s="6"/>
      <c r="BD808" s="6"/>
      <c r="BE808" s="6"/>
      <c r="BF808" s="6"/>
      <c r="BG808" s="6"/>
      <c r="BH808" s="6"/>
      <c r="BI808" s="6"/>
      <c r="BJ808" s="6"/>
      <c r="BK808" s="6"/>
      <c r="BL808" s="6"/>
      <c r="BM808" s="6"/>
      <c r="BN808" s="6"/>
      <c r="BO808" s="6"/>
      <c r="BP808" s="6"/>
      <c r="BQ808" s="6"/>
    </row>
    <row r="809" spans="2:69" hidden="1" x14ac:dyDescent="0.2">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M809" s="6"/>
      <c r="AN809" s="6"/>
      <c r="AO809" s="6"/>
      <c r="AP809" s="6"/>
      <c r="AQ809" s="6"/>
      <c r="AR809" s="6"/>
      <c r="AS809" s="6"/>
      <c r="AT809" s="6"/>
      <c r="AU809" s="6"/>
      <c r="AV809" s="6"/>
      <c r="AW809" s="6"/>
      <c r="AX809" s="6"/>
      <c r="AY809" s="6"/>
      <c r="AZ809" s="6"/>
      <c r="BA809" s="6"/>
      <c r="BB809" s="6"/>
      <c r="BC809" s="6"/>
      <c r="BD809" s="6"/>
      <c r="BE809" s="6"/>
      <c r="BF809" s="6"/>
      <c r="BG809" s="6"/>
      <c r="BH809" s="6"/>
      <c r="BI809" s="6"/>
      <c r="BJ809" s="6"/>
      <c r="BK809" s="6"/>
      <c r="BL809" s="6"/>
      <c r="BM809" s="6"/>
      <c r="BN809" s="6"/>
      <c r="BO809" s="6"/>
      <c r="BP809" s="6"/>
      <c r="BQ809" s="6"/>
    </row>
    <row r="810" spans="2:69" hidden="1" x14ac:dyDescent="0.2">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M810" s="6"/>
      <c r="AN810" s="6"/>
      <c r="AO810" s="6"/>
      <c r="AP810" s="6"/>
      <c r="AQ810" s="6"/>
      <c r="AR810" s="6"/>
      <c r="AS810" s="6"/>
      <c r="AT810" s="6"/>
      <c r="AU810" s="6"/>
      <c r="AV810" s="6"/>
      <c r="AW810" s="6"/>
      <c r="AX810" s="6"/>
      <c r="AY810" s="6"/>
      <c r="AZ810" s="6"/>
      <c r="BA810" s="6"/>
      <c r="BB810" s="6"/>
      <c r="BC810" s="6"/>
      <c r="BD810" s="6"/>
      <c r="BE810" s="6"/>
      <c r="BF810" s="6"/>
      <c r="BG810" s="6"/>
      <c r="BH810" s="6"/>
      <c r="BI810" s="6"/>
      <c r="BJ810" s="6"/>
      <c r="BK810" s="6"/>
      <c r="BL810" s="6"/>
      <c r="BM810" s="6"/>
      <c r="BN810" s="6"/>
      <c r="BO810" s="6"/>
      <c r="BP810" s="6"/>
      <c r="BQ810" s="6"/>
    </row>
    <row r="811" spans="2:69" hidden="1" x14ac:dyDescent="0.2">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M811" s="6"/>
      <c r="AN811" s="6"/>
      <c r="AO811" s="6"/>
      <c r="AP811" s="6"/>
      <c r="AQ811" s="6"/>
      <c r="AR811" s="6"/>
      <c r="AS811" s="6"/>
      <c r="AT811" s="6"/>
      <c r="AU811" s="6"/>
      <c r="AV811" s="6"/>
      <c r="AW811" s="6"/>
      <c r="AX811" s="6"/>
      <c r="AY811" s="6"/>
      <c r="AZ811" s="6"/>
      <c r="BA811" s="6"/>
      <c r="BB811" s="6"/>
      <c r="BC811" s="6"/>
      <c r="BD811" s="6"/>
      <c r="BE811" s="6"/>
      <c r="BF811" s="6"/>
      <c r="BG811" s="6"/>
      <c r="BH811" s="6"/>
      <c r="BI811" s="6"/>
      <c r="BJ811" s="6"/>
      <c r="BK811" s="6"/>
      <c r="BL811" s="6"/>
      <c r="BM811" s="6"/>
      <c r="BN811" s="6"/>
      <c r="BO811" s="6"/>
      <c r="BP811" s="6"/>
      <c r="BQ811" s="6"/>
    </row>
    <row r="812" spans="2:69" hidden="1" x14ac:dyDescent="0.2">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M812" s="6"/>
      <c r="AN812" s="6"/>
      <c r="AO812" s="6"/>
      <c r="AP812" s="6"/>
      <c r="AQ812" s="6"/>
      <c r="AR812" s="6"/>
      <c r="AS812" s="6"/>
      <c r="AT812" s="6"/>
      <c r="AU812" s="6"/>
      <c r="AV812" s="6"/>
      <c r="AW812" s="6"/>
      <c r="AX812" s="6"/>
      <c r="AY812" s="6"/>
      <c r="AZ812" s="6"/>
      <c r="BA812" s="6"/>
      <c r="BB812" s="6"/>
      <c r="BC812" s="6"/>
      <c r="BD812" s="6"/>
      <c r="BE812" s="6"/>
      <c r="BF812" s="6"/>
      <c r="BG812" s="6"/>
      <c r="BH812" s="6"/>
      <c r="BI812" s="6"/>
      <c r="BJ812" s="6"/>
      <c r="BK812" s="6"/>
      <c r="BL812" s="6"/>
      <c r="BM812" s="6"/>
      <c r="BN812" s="6"/>
      <c r="BO812" s="6"/>
      <c r="BP812" s="6"/>
      <c r="BQ812" s="6"/>
    </row>
    <row r="813" spans="2:69" hidden="1" x14ac:dyDescent="0.2">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M813" s="6"/>
      <c r="AN813" s="6"/>
      <c r="AO813" s="6"/>
      <c r="AP813" s="6"/>
      <c r="AQ813" s="6"/>
      <c r="AR813" s="6"/>
      <c r="AS813" s="6"/>
      <c r="AT813" s="6"/>
      <c r="AU813" s="6"/>
      <c r="AV813" s="6"/>
      <c r="AW813" s="6"/>
      <c r="AX813" s="6"/>
      <c r="AY813" s="6"/>
      <c r="AZ813" s="6"/>
      <c r="BA813" s="6"/>
      <c r="BB813" s="6"/>
      <c r="BC813" s="6"/>
      <c r="BD813" s="6"/>
      <c r="BE813" s="6"/>
      <c r="BF813" s="6"/>
      <c r="BG813" s="6"/>
      <c r="BH813" s="6"/>
      <c r="BI813" s="6"/>
      <c r="BJ813" s="6"/>
      <c r="BK813" s="6"/>
      <c r="BL813" s="6"/>
      <c r="BM813" s="6"/>
      <c r="BN813" s="6"/>
      <c r="BO813" s="6"/>
      <c r="BP813" s="6"/>
      <c r="BQ813" s="6"/>
    </row>
    <row r="814" spans="2:69" hidden="1" x14ac:dyDescent="0.2">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M814" s="6"/>
      <c r="AN814" s="6"/>
      <c r="AO814" s="6"/>
      <c r="AP814" s="6"/>
      <c r="AQ814" s="6"/>
      <c r="AR814" s="6"/>
      <c r="AS814" s="6"/>
      <c r="AT814" s="6"/>
      <c r="AU814" s="6"/>
      <c r="AV814" s="6"/>
      <c r="AW814" s="6"/>
      <c r="AX814" s="6"/>
      <c r="AY814" s="6"/>
      <c r="AZ814" s="6"/>
      <c r="BA814" s="6"/>
      <c r="BB814" s="6"/>
      <c r="BC814" s="6"/>
      <c r="BD814" s="6"/>
      <c r="BE814" s="6"/>
      <c r="BF814" s="6"/>
      <c r="BG814" s="6"/>
      <c r="BH814" s="6"/>
      <c r="BI814" s="6"/>
      <c r="BJ814" s="6"/>
      <c r="BK814" s="6"/>
      <c r="BL814" s="6"/>
      <c r="BM814" s="6"/>
      <c r="BN814" s="6"/>
      <c r="BO814" s="6"/>
      <c r="BP814" s="6"/>
      <c r="BQ814" s="6"/>
    </row>
    <row r="815" spans="2:69" hidden="1" x14ac:dyDescent="0.2">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M815" s="6"/>
      <c r="AN815" s="6"/>
      <c r="AO815" s="6"/>
      <c r="AP815" s="6"/>
      <c r="AQ815" s="6"/>
      <c r="AR815" s="6"/>
      <c r="AS815" s="6"/>
      <c r="AT815" s="6"/>
      <c r="AU815" s="6"/>
      <c r="AV815" s="6"/>
      <c r="AW815" s="6"/>
      <c r="AX815" s="6"/>
      <c r="AY815" s="6"/>
      <c r="AZ815" s="6"/>
      <c r="BA815" s="6"/>
      <c r="BB815" s="6"/>
      <c r="BC815" s="6"/>
      <c r="BD815" s="6"/>
      <c r="BE815" s="6"/>
      <c r="BF815" s="6"/>
      <c r="BG815" s="6"/>
      <c r="BH815" s="6"/>
      <c r="BI815" s="6"/>
      <c r="BJ815" s="6"/>
      <c r="BK815" s="6"/>
      <c r="BL815" s="6"/>
      <c r="BM815" s="6"/>
      <c r="BN815" s="6"/>
      <c r="BO815" s="6"/>
      <c r="BP815" s="6"/>
      <c r="BQ815" s="6"/>
    </row>
    <row r="816" spans="2:69" hidden="1" x14ac:dyDescent="0.2">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M816" s="6"/>
      <c r="AN816" s="6"/>
      <c r="AO816" s="6"/>
      <c r="AP816" s="6"/>
      <c r="AQ816" s="6"/>
      <c r="AR816" s="6"/>
      <c r="AS816" s="6"/>
      <c r="AT816" s="6"/>
      <c r="AU816" s="6"/>
      <c r="AV816" s="6"/>
      <c r="AW816" s="6"/>
      <c r="AX816" s="6"/>
      <c r="AY816" s="6"/>
      <c r="AZ816" s="6"/>
      <c r="BA816" s="6"/>
      <c r="BB816" s="6"/>
      <c r="BC816" s="6"/>
      <c r="BD816" s="6"/>
      <c r="BE816" s="6"/>
      <c r="BF816" s="6"/>
      <c r="BG816" s="6"/>
      <c r="BH816" s="6"/>
      <c r="BI816" s="6"/>
      <c r="BJ816" s="6"/>
      <c r="BK816" s="6"/>
      <c r="BL816" s="6"/>
      <c r="BM816" s="6"/>
      <c r="BN816" s="6"/>
      <c r="BO816" s="6"/>
      <c r="BP816" s="6"/>
      <c r="BQ816" s="6"/>
    </row>
    <row r="817" spans="2:69" hidden="1" x14ac:dyDescent="0.2">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M817" s="6"/>
      <c r="AN817" s="6"/>
      <c r="AO817" s="6"/>
      <c r="AP817" s="6"/>
      <c r="AQ817" s="6"/>
      <c r="AR817" s="6"/>
      <c r="AS817" s="6"/>
      <c r="AT817" s="6"/>
      <c r="AU817" s="6"/>
      <c r="AV817" s="6"/>
      <c r="AW817" s="6"/>
      <c r="AX817" s="6"/>
      <c r="AY817" s="6"/>
      <c r="AZ817" s="6"/>
      <c r="BA817" s="6"/>
      <c r="BB817" s="6"/>
      <c r="BC817" s="6"/>
      <c r="BD817" s="6"/>
      <c r="BE817" s="6"/>
      <c r="BF817" s="6"/>
      <c r="BG817" s="6"/>
      <c r="BH817" s="6"/>
      <c r="BI817" s="6"/>
      <c r="BJ817" s="6"/>
      <c r="BK817" s="6"/>
      <c r="BL817" s="6"/>
      <c r="BM817" s="6"/>
      <c r="BN817" s="6"/>
      <c r="BO817" s="6"/>
      <c r="BP817" s="6"/>
      <c r="BQ817" s="6"/>
    </row>
    <row r="818" spans="2:69" hidden="1" x14ac:dyDescent="0.2">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M818" s="6"/>
      <c r="AN818" s="6"/>
      <c r="AO818" s="6"/>
      <c r="AP818" s="6"/>
      <c r="AQ818" s="6"/>
      <c r="AR818" s="6"/>
      <c r="AS818" s="6"/>
      <c r="AT818" s="6"/>
      <c r="AU818" s="6"/>
      <c r="AV818" s="6"/>
      <c r="AW818" s="6"/>
      <c r="AX818" s="6"/>
      <c r="AY818" s="6"/>
      <c r="AZ818" s="6"/>
      <c r="BA818" s="6"/>
      <c r="BB818" s="6"/>
      <c r="BC818" s="6"/>
      <c r="BD818" s="6"/>
      <c r="BE818" s="6"/>
      <c r="BF818" s="6"/>
      <c r="BG818" s="6"/>
      <c r="BH818" s="6"/>
      <c r="BI818" s="6"/>
      <c r="BJ818" s="6"/>
      <c r="BK818" s="6"/>
      <c r="BL818" s="6"/>
      <c r="BM818" s="6"/>
      <c r="BN818" s="6"/>
      <c r="BO818" s="6"/>
      <c r="BP818" s="6"/>
      <c r="BQ818" s="6"/>
    </row>
    <row r="819" spans="2:69" hidden="1" x14ac:dyDescent="0.2">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M819" s="6"/>
      <c r="AN819" s="6"/>
      <c r="AO819" s="6"/>
      <c r="AP819" s="6"/>
      <c r="AQ819" s="6"/>
      <c r="AR819" s="6"/>
      <c r="AS819" s="6"/>
      <c r="AT819" s="6"/>
      <c r="AU819" s="6"/>
      <c r="AV819" s="6"/>
      <c r="AW819" s="6"/>
      <c r="AX819" s="6"/>
      <c r="AY819" s="6"/>
      <c r="AZ819" s="6"/>
      <c r="BA819" s="6"/>
      <c r="BB819" s="6"/>
      <c r="BC819" s="6"/>
      <c r="BD819" s="6"/>
      <c r="BE819" s="6"/>
      <c r="BF819" s="6"/>
      <c r="BG819" s="6"/>
      <c r="BH819" s="6"/>
      <c r="BI819" s="6"/>
      <c r="BJ819" s="6"/>
      <c r="BK819" s="6"/>
      <c r="BL819" s="6"/>
      <c r="BM819" s="6"/>
      <c r="BN819" s="6"/>
      <c r="BO819" s="6"/>
      <c r="BP819" s="6"/>
      <c r="BQ819" s="6"/>
    </row>
    <row r="820" spans="2:69" hidden="1" x14ac:dyDescent="0.2">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M820" s="6"/>
      <c r="AN820" s="6"/>
      <c r="AO820" s="6"/>
      <c r="AP820" s="6"/>
      <c r="AQ820" s="6"/>
      <c r="AR820" s="6"/>
      <c r="AS820" s="6"/>
      <c r="AT820" s="6"/>
      <c r="AU820" s="6"/>
      <c r="AV820" s="6"/>
      <c r="AW820" s="6"/>
      <c r="AX820" s="6"/>
      <c r="AY820" s="6"/>
      <c r="AZ820" s="6"/>
      <c r="BA820" s="6"/>
      <c r="BB820" s="6"/>
      <c r="BC820" s="6"/>
      <c r="BD820" s="6"/>
      <c r="BE820" s="6"/>
      <c r="BF820" s="6"/>
      <c r="BG820" s="6"/>
      <c r="BH820" s="6"/>
      <c r="BI820" s="6"/>
      <c r="BJ820" s="6"/>
      <c r="BK820" s="6"/>
      <c r="BL820" s="6"/>
      <c r="BM820" s="6"/>
      <c r="BN820" s="6"/>
      <c r="BO820" s="6"/>
      <c r="BP820" s="6"/>
      <c r="BQ820" s="6"/>
    </row>
    <row r="821" spans="2:69" hidden="1" x14ac:dyDescent="0.2">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M821" s="6"/>
      <c r="AN821" s="6"/>
      <c r="AO821" s="6"/>
      <c r="AP821" s="6"/>
      <c r="AQ821" s="6"/>
      <c r="AR821" s="6"/>
      <c r="AS821" s="6"/>
      <c r="AT821" s="6"/>
      <c r="AU821" s="6"/>
      <c r="AV821" s="6"/>
      <c r="AW821" s="6"/>
      <c r="AX821" s="6"/>
      <c r="AY821" s="6"/>
      <c r="AZ821" s="6"/>
      <c r="BA821" s="6"/>
      <c r="BB821" s="6"/>
      <c r="BC821" s="6"/>
      <c r="BD821" s="6"/>
      <c r="BE821" s="6"/>
      <c r="BF821" s="6"/>
      <c r="BG821" s="6"/>
      <c r="BH821" s="6"/>
      <c r="BI821" s="6"/>
      <c r="BJ821" s="6"/>
      <c r="BK821" s="6"/>
      <c r="BL821" s="6"/>
      <c r="BM821" s="6"/>
      <c r="BN821" s="6"/>
      <c r="BO821" s="6"/>
      <c r="BP821" s="6"/>
      <c r="BQ821" s="6"/>
    </row>
    <row r="822" spans="2:69" hidden="1" x14ac:dyDescent="0.2">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M822" s="6"/>
      <c r="AN822" s="6"/>
      <c r="AO822" s="6"/>
      <c r="AP822" s="6"/>
      <c r="AQ822" s="6"/>
      <c r="AR822" s="6"/>
      <c r="AS822" s="6"/>
      <c r="AT822" s="6"/>
      <c r="AU822" s="6"/>
      <c r="AV822" s="6"/>
      <c r="AW822" s="6"/>
      <c r="AX822" s="6"/>
      <c r="AY822" s="6"/>
      <c r="AZ822" s="6"/>
      <c r="BA822" s="6"/>
      <c r="BB822" s="6"/>
      <c r="BC822" s="6"/>
      <c r="BD822" s="6"/>
      <c r="BE822" s="6"/>
      <c r="BF822" s="6"/>
      <c r="BG822" s="6"/>
      <c r="BH822" s="6"/>
      <c r="BI822" s="6"/>
      <c r="BJ822" s="6"/>
      <c r="BK822" s="6"/>
      <c r="BL822" s="6"/>
      <c r="BM822" s="6"/>
      <c r="BN822" s="6"/>
      <c r="BO822" s="6"/>
      <c r="BP822" s="6"/>
      <c r="BQ822" s="6"/>
    </row>
    <row r="823" spans="2:69" hidden="1" x14ac:dyDescent="0.2">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M823" s="6"/>
      <c r="AN823" s="6"/>
      <c r="AO823" s="6"/>
      <c r="AP823" s="6"/>
      <c r="AQ823" s="6"/>
      <c r="AR823" s="6"/>
      <c r="AS823" s="6"/>
      <c r="AT823" s="6"/>
      <c r="AU823" s="6"/>
      <c r="AV823" s="6"/>
      <c r="AW823" s="6"/>
      <c r="AX823" s="6"/>
      <c r="AY823" s="6"/>
      <c r="AZ823" s="6"/>
      <c r="BA823" s="6"/>
      <c r="BB823" s="6"/>
      <c r="BC823" s="6"/>
      <c r="BD823" s="6"/>
      <c r="BE823" s="6"/>
      <c r="BF823" s="6"/>
      <c r="BG823" s="6"/>
      <c r="BH823" s="6"/>
      <c r="BI823" s="6"/>
      <c r="BJ823" s="6"/>
      <c r="BK823" s="6"/>
      <c r="BL823" s="6"/>
      <c r="BM823" s="6"/>
      <c r="BN823" s="6"/>
      <c r="BO823" s="6"/>
      <c r="BP823" s="6"/>
      <c r="BQ823" s="6"/>
    </row>
    <row r="824" spans="2:69" hidden="1" x14ac:dyDescent="0.2">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M824" s="6"/>
      <c r="AN824" s="6"/>
      <c r="AO824" s="6"/>
      <c r="AP824" s="6"/>
      <c r="AQ824" s="6"/>
      <c r="AR824" s="6"/>
      <c r="AS824" s="6"/>
      <c r="AT824" s="6"/>
      <c r="AU824" s="6"/>
      <c r="AV824" s="6"/>
      <c r="AW824" s="6"/>
      <c r="AX824" s="6"/>
      <c r="AY824" s="6"/>
      <c r="AZ824" s="6"/>
      <c r="BA824" s="6"/>
      <c r="BB824" s="6"/>
      <c r="BC824" s="6"/>
      <c r="BD824" s="6"/>
      <c r="BE824" s="6"/>
      <c r="BF824" s="6"/>
      <c r="BG824" s="6"/>
      <c r="BH824" s="6"/>
      <c r="BI824" s="6"/>
      <c r="BJ824" s="6"/>
      <c r="BK824" s="6"/>
      <c r="BL824" s="6"/>
      <c r="BM824" s="6"/>
      <c r="BN824" s="6"/>
      <c r="BO824" s="6"/>
      <c r="BP824" s="6"/>
      <c r="BQ824" s="6"/>
    </row>
    <row r="825" spans="2:69" hidden="1" x14ac:dyDescent="0.2">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M825" s="6"/>
      <c r="AN825" s="6"/>
      <c r="AO825" s="6"/>
      <c r="AP825" s="6"/>
      <c r="AQ825" s="6"/>
      <c r="AR825" s="6"/>
      <c r="AS825" s="6"/>
      <c r="AT825" s="6"/>
      <c r="AU825" s="6"/>
      <c r="AV825" s="6"/>
      <c r="AW825" s="6"/>
      <c r="AX825" s="6"/>
      <c r="AY825" s="6"/>
      <c r="AZ825" s="6"/>
      <c r="BA825" s="6"/>
      <c r="BB825" s="6"/>
      <c r="BC825" s="6"/>
      <c r="BD825" s="6"/>
      <c r="BE825" s="6"/>
      <c r="BF825" s="6"/>
      <c r="BG825" s="6"/>
      <c r="BH825" s="6"/>
      <c r="BI825" s="6"/>
      <c r="BJ825" s="6"/>
      <c r="BK825" s="6"/>
      <c r="BL825" s="6"/>
      <c r="BM825" s="6"/>
      <c r="BN825" s="6"/>
      <c r="BO825" s="6"/>
      <c r="BP825" s="6"/>
      <c r="BQ825" s="6"/>
    </row>
    <row r="826" spans="2:69" hidden="1" x14ac:dyDescent="0.2">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M826" s="6"/>
      <c r="AN826" s="6"/>
      <c r="AO826" s="6"/>
      <c r="AP826" s="6"/>
      <c r="AQ826" s="6"/>
      <c r="AR826" s="6"/>
      <c r="AS826" s="6"/>
      <c r="AT826" s="6"/>
      <c r="AU826" s="6"/>
      <c r="AV826" s="6"/>
      <c r="AW826" s="6"/>
      <c r="AX826" s="6"/>
      <c r="AY826" s="6"/>
      <c r="AZ826" s="6"/>
      <c r="BA826" s="6"/>
      <c r="BB826" s="6"/>
      <c r="BC826" s="6"/>
      <c r="BD826" s="6"/>
      <c r="BE826" s="6"/>
      <c r="BF826" s="6"/>
      <c r="BG826" s="6"/>
      <c r="BH826" s="6"/>
      <c r="BI826" s="6"/>
      <c r="BJ826" s="6"/>
      <c r="BK826" s="6"/>
      <c r="BL826" s="6"/>
      <c r="BM826" s="6"/>
      <c r="BN826" s="6"/>
      <c r="BO826" s="6"/>
      <c r="BP826" s="6"/>
      <c r="BQ826" s="6"/>
    </row>
    <row r="827" spans="2:69" hidden="1" x14ac:dyDescent="0.2">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M827" s="6"/>
      <c r="AN827" s="6"/>
      <c r="AO827" s="6"/>
      <c r="AP827" s="6"/>
      <c r="AQ827" s="6"/>
      <c r="AR827" s="6"/>
      <c r="AS827" s="6"/>
      <c r="AT827" s="6"/>
      <c r="AU827" s="6"/>
      <c r="AV827" s="6"/>
      <c r="AW827" s="6"/>
      <c r="AX827" s="6"/>
      <c r="AY827" s="6"/>
      <c r="AZ827" s="6"/>
      <c r="BA827" s="6"/>
      <c r="BB827" s="6"/>
      <c r="BC827" s="6"/>
      <c r="BD827" s="6"/>
      <c r="BE827" s="6"/>
      <c r="BF827" s="6"/>
      <c r="BG827" s="6"/>
      <c r="BH827" s="6"/>
      <c r="BI827" s="6"/>
      <c r="BJ827" s="6"/>
      <c r="BK827" s="6"/>
      <c r="BL827" s="6"/>
      <c r="BM827" s="6"/>
      <c r="BN827" s="6"/>
      <c r="BO827" s="6"/>
      <c r="BP827" s="6"/>
      <c r="BQ827" s="6"/>
    </row>
    <row r="828" spans="2:69" hidden="1" x14ac:dyDescent="0.2">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M828" s="6"/>
      <c r="AN828" s="6"/>
      <c r="AO828" s="6"/>
      <c r="AP828" s="6"/>
      <c r="AQ828" s="6"/>
      <c r="AR828" s="6"/>
      <c r="AS828" s="6"/>
      <c r="AT828" s="6"/>
      <c r="AU828" s="6"/>
      <c r="AV828" s="6"/>
      <c r="AW828" s="6"/>
      <c r="AX828" s="6"/>
      <c r="AY828" s="6"/>
      <c r="AZ828" s="6"/>
      <c r="BA828" s="6"/>
      <c r="BB828" s="6"/>
      <c r="BC828" s="6"/>
      <c r="BD828" s="6"/>
      <c r="BE828" s="6"/>
      <c r="BF828" s="6"/>
      <c r="BG828" s="6"/>
      <c r="BH828" s="6"/>
      <c r="BI828" s="6"/>
      <c r="BJ828" s="6"/>
      <c r="BK828" s="6"/>
      <c r="BL828" s="6"/>
      <c r="BM828" s="6"/>
      <c r="BN828" s="6"/>
      <c r="BO828" s="6"/>
      <c r="BP828" s="6"/>
      <c r="BQ828" s="6"/>
    </row>
    <row r="829" spans="2:69" hidden="1" x14ac:dyDescent="0.2">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M829" s="6"/>
      <c r="AN829" s="6"/>
      <c r="AO829" s="6"/>
      <c r="AP829" s="6"/>
      <c r="AQ829" s="6"/>
      <c r="AR829" s="6"/>
      <c r="AS829" s="6"/>
      <c r="AT829" s="6"/>
      <c r="AU829" s="6"/>
      <c r="AV829" s="6"/>
      <c r="AW829" s="6"/>
      <c r="AX829" s="6"/>
      <c r="AY829" s="6"/>
      <c r="AZ829" s="6"/>
      <c r="BA829" s="6"/>
      <c r="BB829" s="6"/>
      <c r="BC829" s="6"/>
      <c r="BD829" s="6"/>
      <c r="BE829" s="6"/>
      <c r="BF829" s="6"/>
      <c r="BG829" s="6"/>
      <c r="BH829" s="6"/>
      <c r="BI829" s="6"/>
      <c r="BJ829" s="6"/>
      <c r="BK829" s="6"/>
      <c r="BL829" s="6"/>
      <c r="BM829" s="6"/>
      <c r="BN829" s="6"/>
      <c r="BO829" s="6"/>
      <c r="BP829" s="6"/>
      <c r="BQ829" s="6"/>
    </row>
    <row r="830" spans="2:69" hidden="1" x14ac:dyDescent="0.2">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M830" s="6"/>
      <c r="AN830" s="6"/>
      <c r="AO830" s="6"/>
      <c r="AP830" s="6"/>
      <c r="AQ830" s="6"/>
      <c r="AR830" s="6"/>
      <c r="AS830" s="6"/>
      <c r="AT830" s="6"/>
      <c r="AU830" s="6"/>
      <c r="AV830" s="6"/>
      <c r="AW830" s="6"/>
      <c r="AX830" s="6"/>
      <c r="AY830" s="6"/>
      <c r="AZ830" s="6"/>
      <c r="BA830" s="6"/>
      <c r="BB830" s="6"/>
      <c r="BC830" s="6"/>
      <c r="BD830" s="6"/>
      <c r="BE830" s="6"/>
      <c r="BF830" s="6"/>
      <c r="BG830" s="6"/>
      <c r="BH830" s="6"/>
      <c r="BI830" s="6"/>
      <c r="BJ830" s="6"/>
      <c r="BK830" s="6"/>
      <c r="BL830" s="6"/>
      <c r="BM830" s="6"/>
      <c r="BN830" s="6"/>
      <c r="BO830" s="6"/>
      <c r="BP830" s="6"/>
      <c r="BQ830" s="6"/>
    </row>
    <row r="831" spans="2:69" hidden="1" x14ac:dyDescent="0.2">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M831" s="6"/>
      <c r="AN831" s="6"/>
      <c r="AO831" s="6"/>
      <c r="AP831" s="6"/>
      <c r="AQ831" s="6"/>
      <c r="AR831" s="6"/>
      <c r="AS831" s="6"/>
      <c r="AT831" s="6"/>
      <c r="AU831" s="6"/>
      <c r="AV831" s="6"/>
      <c r="AW831" s="6"/>
      <c r="AX831" s="6"/>
      <c r="AY831" s="6"/>
      <c r="AZ831" s="6"/>
      <c r="BA831" s="6"/>
      <c r="BB831" s="6"/>
      <c r="BC831" s="6"/>
      <c r="BD831" s="6"/>
      <c r="BE831" s="6"/>
      <c r="BF831" s="6"/>
      <c r="BG831" s="6"/>
      <c r="BH831" s="6"/>
      <c r="BI831" s="6"/>
      <c r="BJ831" s="6"/>
      <c r="BK831" s="6"/>
      <c r="BL831" s="6"/>
      <c r="BM831" s="6"/>
      <c r="BN831" s="6"/>
      <c r="BO831" s="6"/>
      <c r="BP831" s="6"/>
      <c r="BQ831" s="6"/>
    </row>
    <row r="832" spans="2:69" hidden="1" x14ac:dyDescent="0.2">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M832" s="6"/>
      <c r="AN832" s="6"/>
      <c r="AO832" s="6"/>
      <c r="AP832" s="6"/>
      <c r="AQ832" s="6"/>
      <c r="AR832" s="6"/>
      <c r="AS832" s="6"/>
      <c r="AT832" s="6"/>
      <c r="AU832" s="6"/>
      <c r="AV832" s="6"/>
      <c r="AW832" s="6"/>
      <c r="AX832" s="6"/>
      <c r="AY832" s="6"/>
      <c r="AZ832" s="6"/>
      <c r="BA832" s="6"/>
      <c r="BB832" s="6"/>
      <c r="BC832" s="6"/>
      <c r="BD832" s="6"/>
      <c r="BE832" s="6"/>
      <c r="BF832" s="6"/>
      <c r="BG832" s="6"/>
      <c r="BH832" s="6"/>
      <c r="BI832" s="6"/>
      <c r="BJ832" s="6"/>
      <c r="BK832" s="6"/>
      <c r="BL832" s="6"/>
      <c r="BM832" s="6"/>
      <c r="BN832" s="6"/>
      <c r="BO832" s="6"/>
      <c r="BP832" s="6"/>
      <c r="BQ832" s="6"/>
    </row>
    <row r="833" spans="2:69" hidden="1" x14ac:dyDescent="0.2">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M833" s="6"/>
      <c r="AN833" s="6"/>
      <c r="AO833" s="6"/>
      <c r="AP833" s="6"/>
      <c r="AQ833" s="6"/>
      <c r="AR833" s="6"/>
      <c r="AS833" s="6"/>
      <c r="AT833" s="6"/>
      <c r="AU833" s="6"/>
      <c r="AV833" s="6"/>
      <c r="AW833" s="6"/>
      <c r="AX833" s="6"/>
      <c r="AY833" s="6"/>
      <c r="AZ833" s="6"/>
      <c r="BA833" s="6"/>
      <c r="BB833" s="6"/>
      <c r="BC833" s="6"/>
      <c r="BD833" s="6"/>
      <c r="BE833" s="6"/>
      <c r="BF833" s="6"/>
      <c r="BG833" s="6"/>
      <c r="BH833" s="6"/>
      <c r="BI833" s="6"/>
      <c r="BJ833" s="6"/>
      <c r="BK833" s="6"/>
      <c r="BL833" s="6"/>
      <c r="BM833" s="6"/>
      <c r="BN833" s="6"/>
      <c r="BO833" s="6"/>
      <c r="BP833" s="6"/>
      <c r="BQ833" s="6"/>
    </row>
    <row r="834" spans="2:69" hidden="1" x14ac:dyDescent="0.2">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M834" s="6"/>
      <c r="AN834" s="6"/>
      <c r="AO834" s="6"/>
      <c r="AP834" s="6"/>
      <c r="AQ834" s="6"/>
      <c r="AR834" s="6"/>
      <c r="AS834" s="6"/>
      <c r="AT834" s="6"/>
      <c r="AU834" s="6"/>
      <c r="AV834" s="6"/>
      <c r="AW834" s="6"/>
      <c r="AX834" s="6"/>
      <c r="AY834" s="6"/>
      <c r="AZ834" s="6"/>
      <c r="BA834" s="6"/>
      <c r="BB834" s="6"/>
      <c r="BC834" s="6"/>
      <c r="BD834" s="6"/>
      <c r="BE834" s="6"/>
      <c r="BF834" s="6"/>
      <c r="BG834" s="6"/>
      <c r="BH834" s="6"/>
      <c r="BI834" s="6"/>
      <c r="BJ834" s="6"/>
      <c r="BK834" s="6"/>
      <c r="BL834" s="6"/>
      <c r="BM834" s="6"/>
      <c r="BN834" s="6"/>
      <c r="BO834" s="6"/>
      <c r="BP834" s="6"/>
      <c r="BQ834" s="6"/>
    </row>
    <row r="835" spans="2:69" hidden="1" x14ac:dyDescent="0.2">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M835" s="6"/>
      <c r="AN835" s="6"/>
      <c r="AO835" s="6"/>
      <c r="AP835" s="6"/>
      <c r="AQ835" s="6"/>
      <c r="AR835" s="6"/>
      <c r="AS835" s="6"/>
      <c r="AT835" s="6"/>
      <c r="AU835" s="6"/>
      <c r="AV835" s="6"/>
      <c r="AW835" s="6"/>
      <c r="AX835" s="6"/>
      <c r="AY835" s="6"/>
      <c r="AZ835" s="6"/>
      <c r="BA835" s="6"/>
      <c r="BB835" s="6"/>
      <c r="BC835" s="6"/>
      <c r="BD835" s="6"/>
      <c r="BE835" s="6"/>
      <c r="BF835" s="6"/>
      <c r="BG835" s="6"/>
      <c r="BH835" s="6"/>
      <c r="BI835" s="6"/>
      <c r="BJ835" s="6"/>
      <c r="BK835" s="6"/>
      <c r="BL835" s="6"/>
      <c r="BM835" s="6"/>
      <c r="BN835" s="6"/>
      <c r="BO835" s="6"/>
      <c r="BP835" s="6"/>
      <c r="BQ835" s="6"/>
    </row>
    <row r="836" spans="2:69" hidden="1" x14ac:dyDescent="0.2">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M836" s="6"/>
      <c r="AN836" s="6"/>
      <c r="AO836" s="6"/>
      <c r="AP836" s="6"/>
      <c r="AQ836" s="6"/>
      <c r="AR836" s="6"/>
      <c r="AS836" s="6"/>
      <c r="AT836" s="6"/>
      <c r="AU836" s="6"/>
      <c r="AV836" s="6"/>
      <c r="AW836" s="6"/>
      <c r="AX836" s="6"/>
      <c r="AY836" s="6"/>
      <c r="AZ836" s="6"/>
      <c r="BA836" s="6"/>
      <c r="BB836" s="6"/>
      <c r="BC836" s="6"/>
      <c r="BD836" s="6"/>
      <c r="BE836" s="6"/>
      <c r="BF836" s="6"/>
      <c r="BG836" s="6"/>
      <c r="BH836" s="6"/>
      <c r="BI836" s="6"/>
      <c r="BJ836" s="6"/>
      <c r="BK836" s="6"/>
      <c r="BL836" s="6"/>
      <c r="BM836" s="6"/>
      <c r="BN836" s="6"/>
      <c r="BO836" s="6"/>
      <c r="BP836" s="6"/>
      <c r="BQ836" s="6"/>
    </row>
    <row r="837" spans="2:69" hidden="1" x14ac:dyDescent="0.2">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M837" s="6"/>
      <c r="AN837" s="6"/>
      <c r="AO837" s="6"/>
      <c r="AP837" s="6"/>
      <c r="AQ837" s="6"/>
      <c r="AR837" s="6"/>
      <c r="AS837" s="6"/>
      <c r="AT837" s="6"/>
      <c r="AU837" s="6"/>
      <c r="AV837" s="6"/>
      <c r="AW837" s="6"/>
      <c r="AX837" s="6"/>
      <c r="AY837" s="6"/>
      <c r="AZ837" s="6"/>
      <c r="BA837" s="6"/>
      <c r="BB837" s="6"/>
      <c r="BC837" s="6"/>
      <c r="BD837" s="6"/>
      <c r="BE837" s="6"/>
      <c r="BF837" s="6"/>
      <c r="BG837" s="6"/>
      <c r="BH837" s="6"/>
      <c r="BI837" s="6"/>
      <c r="BJ837" s="6"/>
      <c r="BK837" s="6"/>
      <c r="BL837" s="6"/>
      <c r="BM837" s="6"/>
      <c r="BN837" s="6"/>
      <c r="BO837" s="6"/>
      <c r="BP837" s="6"/>
      <c r="BQ837" s="6"/>
    </row>
    <row r="838" spans="2:69" hidden="1" x14ac:dyDescent="0.2">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M838" s="6"/>
      <c r="AN838" s="6"/>
      <c r="AO838" s="6"/>
      <c r="AP838" s="6"/>
      <c r="AQ838" s="6"/>
      <c r="AR838" s="6"/>
      <c r="AS838" s="6"/>
      <c r="AT838" s="6"/>
      <c r="AU838" s="6"/>
      <c r="AV838" s="6"/>
      <c r="AW838" s="6"/>
      <c r="AX838" s="6"/>
      <c r="AY838" s="6"/>
      <c r="AZ838" s="6"/>
      <c r="BA838" s="6"/>
      <c r="BB838" s="6"/>
      <c r="BC838" s="6"/>
      <c r="BD838" s="6"/>
      <c r="BE838" s="6"/>
      <c r="BF838" s="6"/>
      <c r="BG838" s="6"/>
      <c r="BH838" s="6"/>
      <c r="BI838" s="6"/>
      <c r="BJ838" s="6"/>
      <c r="BK838" s="6"/>
      <c r="BL838" s="6"/>
      <c r="BM838" s="6"/>
      <c r="BN838" s="6"/>
      <c r="BO838" s="6"/>
      <c r="BP838" s="6"/>
      <c r="BQ838" s="6"/>
    </row>
    <row r="839" spans="2:69" hidden="1" x14ac:dyDescent="0.2">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M839" s="6"/>
      <c r="AN839" s="6"/>
      <c r="AO839" s="6"/>
      <c r="AP839" s="6"/>
      <c r="AQ839" s="6"/>
      <c r="AR839" s="6"/>
      <c r="AS839" s="6"/>
      <c r="AT839" s="6"/>
      <c r="AU839" s="6"/>
      <c r="AV839" s="6"/>
      <c r="AW839" s="6"/>
      <c r="AX839" s="6"/>
      <c r="AY839" s="6"/>
      <c r="AZ839" s="6"/>
      <c r="BA839" s="6"/>
      <c r="BB839" s="6"/>
      <c r="BC839" s="6"/>
      <c r="BD839" s="6"/>
      <c r="BE839" s="6"/>
      <c r="BF839" s="6"/>
      <c r="BG839" s="6"/>
      <c r="BH839" s="6"/>
      <c r="BI839" s="6"/>
      <c r="BJ839" s="6"/>
      <c r="BK839" s="6"/>
      <c r="BL839" s="6"/>
      <c r="BM839" s="6"/>
      <c r="BN839" s="6"/>
      <c r="BO839" s="6"/>
      <c r="BP839" s="6"/>
      <c r="BQ839" s="6"/>
    </row>
    <row r="840" spans="2:69" hidden="1" x14ac:dyDescent="0.2">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M840" s="6"/>
      <c r="AN840" s="6"/>
      <c r="AO840" s="6"/>
      <c r="AP840" s="6"/>
      <c r="AQ840" s="6"/>
      <c r="AR840" s="6"/>
      <c r="AS840" s="6"/>
      <c r="AT840" s="6"/>
      <c r="AU840" s="6"/>
      <c r="AV840" s="6"/>
      <c r="AW840" s="6"/>
      <c r="AX840" s="6"/>
      <c r="AY840" s="6"/>
      <c r="AZ840" s="6"/>
      <c r="BA840" s="6"/>
      <c r="BB840" s="6"/>
      <c r="BC840" s="6"/>
      <c r="BD840" s="6"/>
      <c r="BE840" s="6"/>
      <c r="BF840" s="6"/>
      <c r="BG840" s="6"/>
      <c r="BH840" s="6"/>
      <c r="BI840" s="6"/>
      <c r="BJ840" s="6"/>
      <c r="BK840" s="6"/>
      <c r="BL840" s="6"/>
      <c r="BM840" s="6"/>
      <c r="BN840" s="6"/>
      <c r="BO840" s="6"/>
      <c r="BP840" s="6"/>
      <c r="BQ840" s="6"/>
    </row>
    <row r="841" spans="2:69" hidden="1" x14ac:dyDescent="0.2">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M841" s="6"/>
      <c r="AN841" s="6"/>
      <c r="AO841" s="6"/>
      <c r="AP841" s="6"/>
      <c r="AQ841" s="6"/>
      <c r="AR841" s="6"/>
      <c r="AS841" s="6"/>
      <c r="AT841" s="6"/>
      <c r="AU841" s="6"/>
      <c r="AV841" s="6"/>
      <c r="AW841" s="6"/>
      <c r="AX841" s="6"/>
      <c r="AY841" s="6"/>
      <c r="AZ841" s="6"/>
      <c r="BA841" s="6"/>
      <c r="BB841" s="6"/>
      <c r="BC841" s="6"/>
      <c r="BD841" s="6"/>
      <c r="BE841" s="6"/>
      <c r="BF841" s="6"/>
      <c r="BG841" s="6"/>
      <c r="BH841" s="6"/>
      <c r="BI841" s="6"/>
      <c r="BJ841" s="6"/>
      <c r="BK841" s="6"/>
      <c r="BL841" s="6"/>
      <c r="BM841" s="6"/>
      <c r="BN841" s="6"/>
      <c r="BO841" s="6"/>
      <c r="BP841" s="6"/>
      <c r="BQ841" s="6"/>
    </row>
    <row r="842" spans="2:69" hidden="1" x14ac:dyDescent="0.2">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M842" s="6"/>
      <c r="AN842" s="6"/>
      <c r="AO842" s="6"/>
      <c r="AP842" s="6"/>
      <c r="AQ842" s="6"/>
      <c r="AR842" s="6"/>
      <c r="AS842" s="6"/>
      <c r="AT842" s="6"/>
      <c r="AU842" s="6"/>
      <c r="AV842" s="6"/>
      <c r="AW842" s="6"/>
      <c r="AX842" s="6"/>
      <c r="AY842" s="6"/>
      <c r="AZ842" s="6"/>
      <c r="BA842" s="6"/>
      <c r="BB842" s="6"/>
      <c r="BC842" s="6"/>
      <c r="BD842" s="6"/>
      <c r="BE842" s="6"/>
      <c r="BF842" s="6"/>
      <c r="BG842" s="6"/>
      <c r="BH842" s="6"/>
      <c r="BI842" s="6"/>
      <c r="BJ842" s="6"/>
      <c r="BK842" s="6"/>
      <c r="BL842" s="6"/>
      <c r="BM842" s="6"/>
      <c r="BN842" s="6"/>
      <c r="BO842" s="6"/>
      <c r="BP842" s="6"/>
      <c r="BQ842" s="6"/>
    </row>
    <row r="843" spans="2:69" hidden="1" x14ac:dyDescent="0.2">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M843" s="6"/>
      <c r="AN843" s="6"/>
      <c r="AO843" s="6"/>
      <c r="AP843" s="6"/>
      <c r="AQ843" s="6"/>
      <c r="AR843" s="6"/>
      <c r="AS843" s="6"/>
      <c r="AT843" s="6"/>
      <c r="AU843" s="6"/>
      <c r="AV843" s="6"/>
      <c r="AW843" s="6"/>
      <c r="AX843" s="6"/>
      <c r="AY843" s="6"/>
      <c r="AZ843" s="6"/>
      <c r="BA843" s="6"/>
      <c r="BB843" s="6"/>
      <c r="BC843" s="6"/>
      <c r="BD843" s="6"/>
      <c r="BE843" s="6"/>
      <c r="BF843" s="6"/>
      <c r="BG843" s="6"/>
      <c r="BH843" s="6"/>
      <c r="BI843" s="6"/>
      <c r="BJ843" s="6"/>
      <c r="BK843" s="6"/>
      <c r="BL843" s="6"/>
      <c r="BM843" s="6"/>
      <c r="BN843" s="6"/>
      <c r="BO843" s="6"/>
      <c r="BP843" s="6"/>
      <c r="BQ843" s="6"/>
    </row>
    <row r="844" spans="2:69" hidden="1" x14ac:dyDescent="0.2">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M844" s="6"/>
      <c r="AN844" s="6"/>
      <c r="AO844" s="6"/>
      <c r="AP844" s="6"/>
      <c r="AQ844" s="6"/>
      <c r="AR844" s="6"/>
      <c r="AS844" s="6"/>
      <c r="AT844" s="6"/>
      <c r="AU844" s="6"/>
      <c r="AV844" s="6"/>
      <c r="AW844" s="6"/>
      <c r="AX844" s="6"/>
      <c r="AY844" s="6"/>
      <c r="AZ844" s="6"/>
      <c r="BA844" s="6"/>
      <c r="BB844" s="6"/>
      <c r="BC844" s="6"/>
      <c r="BD844" s="6"/>
      <c r="BE844" s="6"/>
      <c r="BF844" s="6"/>
      <c r="BG844" s="6"/>
      <c r="BH844" s="6"/>
      <c r="BI844" s="6"/>
      <c r="BJ844" s="6"/>
      <c r="BK844" s="6"/>
      <c r="BL844" s="6"/>
      <c r="BM844" s="6"/>
      <c r="BN844" s="6"/>
      <c r="BO844" s="6"/>
      <c r="BP844" s="6"/>
      <c r="BQ844" s="6"/>
    </row>
    <row r="845" spans="2:69" hidden="1" x14ac:dyDescent="0.2">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M845" s="6"/>
      <c r="AN845" s="6"/>
      <c r="AO845" s="6"/>
      <c r="AP845" s="6"/>
      <c r="AQ845" s="6"/>
      <c r="AR845" s="6"/>
      <c r="AS845" s="6"/>
      <c r="AT845" s="6"/>
      <c r="AU845" s="6"/>
      <c r="AV845" s="6"/>
      <c r="AW845" s="6"/>
      <c r="AX845" s="6"/>
      <c r="AY845" s="6"/>
      <c r="AZ845" s="6"/>
      <c r="BA845" s="6"/>
      <c r="BB845" s="6"/>
      <c r="BC845" s="6"/>
      <c r="BD845" s="6"/>
      <c r="BE845" s="6"/>
      <c r="BF845" s="6"/>
      <c r="BG845" s="6"/>
      <c r="BH845" s="6"/>
      <c r="BI845" s="6"/>
      <c r="BJ845" s="6"/>
      <c r="BK845" s="6"/>
      <c r="BL845" s="6"/>
      <c r="BM845" s="6"/>
      <c r="BN845" s="6"/>
      <c r="BO845" s="6"/>
      <c r="BP845" s="6"/>
      <c r="BQ845" s="6"/>
    </row>
    <row r="846" spans="2:69" hidden="1" x14ac:dyDescent="0.2">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M846" s="6"/>
      <c r="AN846" s="6"/>
      <c r="AO846" s="6"/>
      <c r="AP846" s="6"/>
      <c r="AQ846" s="6"/>
      <c r="AR846" s="6"/>
      <c r="AS846" s="6"/>
      <c r="AT846" s="6"/>
      <c r="AU846" s="6"/>
      <c r="AV846" s="6"/>
      <c r="AW846" s="6"/>
      <c r="AX846" s="6"/>
      <c r="AY846" s="6"/>
      <c r="AZ846" s="6"/>
      <c r="BA846" s="6"/>
      <c r="BB846" s="6"/>
      <c r="BC846" s="6"/>
      <c r="BD846" s="6"/>
      <c r="BE846" s="6"/>
      <c r="BF846" s="6"/>
      <c r="BG846" s="6"/>
      <c r="BH846" s="6"/>
      <c r="BI846" s="6"/>
      <c r="BJ846" s="6"/>
      <c r="BK846" s="6"/>
      <c r="BL846" s="6"/>
      <c r="BM846" s="6"/>
      <c r="BN846" s="6"/>
      <c r="BO846" s="6"/>
      <c r="BP846" s="6"/>
      <c r="BQ846" s="6"/>
    </row>
    <row r="847" spans="2:69" hidden="1" x14ac:dyDescent="0.2">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M847" s="6"/>
      <c r="AN847" s="6"/>
      <c r="AO847" s="6"/>
      <c r="AP847" s="6"/>
      <c r="AQ847" s="6"/>
      <c r="AR847" s="6"/>
      <c r="AS847" s="6"/>
      <c r="AT847" s="6"/>
      <c r="AU847" s="6"/>
      <c r="AV847" s="6"/>
      <c r="AW847" s="6"/>
      <c r="AX847" s="6"/>
      <c r="AY847" s="6"/>
      <c r="AZ847" s="6"/>
      <c r="BA847" s="6"/>
      <c r="BB847" s="6"/>
      <c r="BC847" s="6"/>
      <c r="BD847" s="6"/>
      <c r="BE847" s="6"/>
      <c r="BF847" s="6"/>
      <c r="BG847" s="6"/>
      <c r="BH847" s="6"/>
      <c r="BI847" s="6"/>
      <c r="BJ847" s="6"/>
      <c r="BK847" s="6"/>
      <c r="BL847" s="6"/>
      <c r="BM847" s="6"/>
      <c r="BN847" s="6"/>
      <c r="BO847" s="6"/>
      <c r="BP847" s="6"/>
      <c r="BQ847" s="6"/>
    </row>
    <row r="848" spans="2:69" hidden="1" x14ac:dyDescent="0.2">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M848" s="6"/>
      <c r="AN848" s="6"/>
      <c r="AO848" s="6"/>
      <c r="AP848" s="6"/>
      <c r="AQ848" s="6"/>
      <c r="AR848" s="6"/>
      <c r="AS848" s="6"/>
      <c r="AT848" s="6"/>
      <c r="AU848" s="6"/>
      <c r="AV848" s="6"/>
      <c r="AW848" s="6"/>
      <c r="AX848" s="6"/>
      <c r="AY848" s="6"/>
      <c r="AZ848" s="6"/>
      <c r="BA848" s="6"/>
      <c r="BB848" s="6"/>
      <c r="BC848" s="6"/>
      <c r="BD848" s="6"/>
      <c r="BE848" s="6"/>
      <c r="BF848" s="6"/>
      <c r="BG848" s="6"/>
      <c r="BH848" s="6"/>
      <c r="BI848" s="6"/>
      <c r="BJ848" s="6"/>
      <c r="BK848" s="6"/>
      <c r="BL848" s="6"/>
      <c r="BM848" s="6"/>
      <c r="BN848" s="6"/>
      <c r="BO848" s="6"/>
      <c r="BP848" s="6"/>
      <c r="BQ848" s="6"/>
    </row>
    <row r="849" spans="2:69" hidden="1" x14ac:dyDescent="0.2">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M849" s="6"/>
      <c r="AN849" s="6"/>
      <c r="AO849" s="6"/>
      <c r="AP849" s="6"/>
      <c r="AQ849" s="6"/>
      <c r="AR849" s="6"/>
      <c r="AS849" s="6"/>
      <c r="AT849" s="6"/>
      <c r="AU849" s="6"/>
      <c r="AV849" s="6"/>
      <c r="AW849" s="6"/>
      <c r="AX849" s="6"/>
      <c r="AY849" s="6"/>
      <c r="AZ849" s="6"/>
      <c r="BA849" s="6"/>
      <c r="BB849" s="6"/>
      <c r="BC849" s="6"/>
      <c r="BD849" s="6"/>
      <c r="BE849" s="6"/>
      <c r="BF849" s="6"/>
      <c r="BG849" s="6"/>
      <c r="BH849" s="6"/>
      <c r="BI849" s="6"/>
      <c r="BJ849" s="6"/>
      <c r="BK849" s="6"/>
      <c r="BL849" s="6"/>
      <c r="BM849" s="6"/>
      <c r="BN849" s="6"/>
      <c r="BO849" s="6"/>
      <c r="BP849" s="6"/>
      <c r="BQ849" s="6"/>
    </row>
    <row r="850" spans="2:69" hidden="1" x14ac:dyDescent="0.2">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M850" s="6"/>
      <c r="AN850" s="6"/>
      <c r="AO850" s="6"/>
      <c r="AP850" s="6"/>
      <c r="AQ850" s="6"/>
      <c r="AR850" s="6"/>
      <c r="AS850" s="6"/>
      <c r="AT850" s="6"/>
      <c r="AU850" s="6"/>
      <c r="AV850" s="6"/>
      <c r="AW850" s="6"/>
      <c r="AX850" s="6"/>
      <c r="AY850" s="6"/>
      <c r="AZ850" s="6"/>
      <c r="BA850" s="6"/>
      <c r="BB850" s="6"/>
      <c r="BC850" s="6"/>
      <c r="BD850" s="6"/>
      <c r="BE850" s="6"/>
      <c r="BF850" s="6"/>
      <c r="BG850" s="6"/>
      <c r="BH850" s="6"/>
      <c r="BI850" s="6"/>
      <c r="BJ850" s="6"/>
      <c r="BK850" s="6"/>
      <c r="BL850" s="6"/>
      <c r="BM850" s="6"/>
      <c r="BN850" s="6"/>
      <c r="BO850" s="6"/>
      <c r="BP850" s="6"/>
      <c r="BQ850" s="6"/>
    </row>
    <row r="851" spans="2:69" hidden="1" x14ac:dyDescent="0.2">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M851" s="6"/>
      <c r="AN851" s="6"/>
      <c r="AO851" s="6"/>
      <c r="AP851" s="6"/>
      <c r="AQ851" s="6"/>
      <c r="AR851" s="6"/>
      <c r="AS851" s="6"/>
      <c r="AT851" s="6"/>
      <c r="AU851" s="6"/>
      <c r="AV851" s="6"/>
      <c r="AW851" s="6"/>
      <c r="AX851" s="6"/>
      <c r="AY851" s="6"/>
      <c r="AZ851" s="6"/>
      <c r="BA851" s="6"/>
      <c r="BB851" s="6"/>
      <c r="BC851" s="6"/>
      <c r="BD851" s="6"/>
      <c r="BE851" s="6"/>
      <c r="BF851" s="6"/>
      <c r="BG851" s="6"/>
      <c r="BH851" s="6"/>
      <c r="BI851" s="6"/>
      <c r="BJ851" s="6"/>
      <c r="BK851" s="6"/>
      <c r="BL851" s="6"/>
      <c r="BM851" s="6"/>
      <c r="BN851" s="6"/>
      <c r="BO851" s="6"/>
      <c r="BP851" s="6"/>
      <c r="BQ851" s="6"/>
    </row>
    <row r="852" spans="2:69" hidden="1" x14ac:dyDescent="0.2">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M852" s="6"/>
      <c r="AN852" s="6"/>
      <c r="AO852" s="6"/>
      <c r="AP852" s="6"/>
      <c r="AQ852" s="6"/>
      <c r="AR852" s="6"/>
      <c r="AS852" s="6"/>
      <c r="AT852" s="6"/>
      <c r="AU852" s="6"/>
      <c r="AV852" s="6"/>
      <c r="AW852" s="6"/>
      <c r="AX852" s="6"/>
      <c r="AY852" s="6"/>
      <c r="AZ852" s="6"/>
      <c r="BA852" s="6"/>
      <c r="BB852" s="6"/>
      <c r="BC852" s="6"/>
      <c r="BD852" s="6"/>
      <c r="BE852" s="6"/>
      <c r="BF852" s="6"/>
      <c r="BG852" s="6"/>
      <c r="BH852" s="6"/>
      <c r="BI852" s="6"/>
      <c r="BJ852" s="6"/>
      <c r="BK852" s="6"/>
      <c r="BL852" s="6"/>
      <c r="BM852" s="6"/>
      <c r="BN852" s="6"/>
      <c r="BO852" s="6"/>
      <c r="BP852" s="6"/>
      <c r="BQ852" s="6"/>
    </row>
    <row r="853" spans="2:69" hidden="1" x14ac:dyDescent="0.2">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M853" s="6"/>
      <c r="AN853" s="6"/>
      <c r="AO853" s="6"/>
      <c r="AP853" s="6"/>
      <c r="AQ853" s="6"/>
      <c r="AR853" s="6"/>
      <c r="AS853" s="6"/>
      <c r="AT853" s="6"/>
      <c r="AU853" s="6"/>
      <c r="AV853" s="6"/>
      <c r="AW853" s="6"/>
      <c r="AX853" s="6"/>
      <c r="AY853" s="6"/>
      <c r="AZ853" s="6"/>
      <c r="BA853" s="6"/>
      <c r="BB853" s="6"/>
      <c r="BC853" s="6"/>
      <c r="BD853" s="6"/>
      <c r="BE853" s="6"/>
      <c r="BF853" s="6"/>
      <c r="BG853" s="6"/>
      <c r="BH853" s="6"/>
      <c r="BI853" s="6"/>
      <c r="BJ853" s="6"/>
      <c r="BK853" s="6"/>
      <c r="BL853" s="6"/>
      <c r="BM853" s="6"/>
      <c r="BN853" s="6"/>
      <c r="BO853" s="6"/>
      <c r="BP853" s="6"/>
      <c r="BQ853" s="6"/>
    </row>
    <row r="854" spans="2:69" hidden="1" x14ac:dyDescent="0.2">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M854" s="6"/>
      <c r="AN854" s="6"/>
      <c r="AO854" s="6"/>
      <c r="AP854" s="6"/>
      <c r="AQ854" s="6"/>
      <c r="AR854" s="6"/>
      <c r="AS854" s="6"/>
      <c r="AT854" s="6"/>
      <c r="AU854" s="6"/>
      <c r="AV854" s="6"/>
      <c r="AW854" s="6"/>
      <c r="AX854" s="6"/>
      <c r="AY854" s="6"/>
      <c r="AZ854" s="6"/>
      <c r="BA854" s="6"/>
      <c r="BB854" s="6"/>
      <c r="BC854" s="6"/>
      <c r="BD854" s="6"/>
      <c r="BE854" s="6"/>
      <c r="BF854" s="6"/>
      <c r="BG854" s="6"/>
      <c r="BH854" s="6"/>
      <c r="BI854" s="6"/>
      <c r="BJ854" s="6"/>
      <c r="BK854" s="6"/>
      <c r="BL854" s="6"/>
      <c r="BM854" s="6"/>
      <c r="BN854" s="6"/>
      <c r="BO854" s="6"/>
      <c r="BP854" s="6"/>
      <c r="BQ854" s="6"/>
    </row>
    <row r="855" spans="2:69" hidden="1" x14ac:dyDescent="0.2">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M855" s="6"/>
      <c r="AN855" s="6"/>
      <c r="AO855" s="6"/>
      <c r="AP855" s="6"/>
      <c r="AQ855" s="6"/>
      <c r="AR855" s="6"/>
      <c r="AS855" s="6"/>
      <c r="AT855" s="6"/>
      <c r="AU855" s="6"/>
      <c r="AV855" s="6"/>
      <c r="AW855" s="6"/>
      <c r="AX855" s="6"/>
      <c r="AY855" s="6"/>
      <c r="AZ855" s="6"/>
      <c r="BA855" s="6"/>
      <c r="BB855" s="6"/>
      <c r="BC855" s="6"/>
      <c r="BD855" s="6"/>
      <c r="BE855" s="6"/>
      <c r="BF855" s="6"/>
      <c r="BG855" s="6"/>
      <c r="BH855" s="6"/>
      <c r="BI855" s="6"/>
      <c r="BJ855" s="6"/>
      <c r="BK855" s="6"/>
      <c r="BL855" s="6"/>
      <c r="BM855" s="6"/>
      <c r="BN855" s="6"/>
      <c r="BO855" s="6"/>
      <c r="BP855" s="6"/>
      <c r="BQ855" s="6"/>
    </row>
    <row r="856" spans="2:69" hidden="1" x14ac:dyDescent="0.2">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M856" s="6"/>
      <c r="AN856" s="6"/>
      <c r="AO856" s="6"/>
      <c r="AP856" s="6"/>
      <c r="AQ856" s="6"/>
      <c r="AR856" s="6"/>
      <c r="AS856" s="6"/>
      <c r="AT856" s="6"/>
      <c r="AU856" s="6"/>
      <c r="AV856" s="6"/>
      <c r="AW856" s="6"/>
      <c r="AX856" s="6"/>
      <c r="AY856" s="6"/>
      <c r="AZ856" s="6"/>
      <c r="BA856" s="6"/>
      <c r="BB856" s="6"/>
      <c r="BC856" s="6"/>
      <c r="BD856" s="6"/>
      <c r="BE856" s="6"/>
      <c r="BF856" s="6"/>
      <c r="BG856" s="6"/>
      <c r="BH856" s="6"/>
      <c r="BI856" s="6"/>
      <c r="BJ856" s="6"/>
      <c r="BK856" s="6"/>
      <c r="BL856" s="6"/>
      <c r="BM856" s="6"/>
      <c r="BN856" s="6"/>
      <c r="BO856" s="6"/>
      <c r="BP856" s="6"/>
      <c r="BQ856" s="6"/>
    </row>
    <row r="857" spans="2:69" hidden="1" x14ac:dyDescent="0.2">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M857" s="6"/>
      <c r="AN857" s="6"/>
      <c r="AO857" s="6"/>
      <c r="AP857" s="6"/>
      <c r="AQ857" s="6"/>
      <c r="AR857" s="6"/>
      <c r="AS857" s="6"/>
      <c r="AT857" s="6"/>
      <c r="AU857" s="6"/>
      <c r="AV857" s="6"/>
      <c r="AW857" s="6"/>
      <c r="AX857" s="6"/>
      <c r="AY857" s="6"/>
      <c r="AZ857" s="6"/>
      <c r="BA857" s="6"/>
      <c r="BB857" s="6"/>
      <c r="BC857" s="6"/>
      <c r="BD857" s="6"/>
      <c r="BE857" s="6"/>
      <c r="BF857" s="6"/>
      <c r="BG857" s="6"/>
      <c r="BH857" s="6"/>
      <c r="BI857" s="6"/>
      <c r="BJ857" s="6"/>
      <c r="BK857" s="6"/>
      <c r="BL857" s="6"/>
      <c r="BM857" s="6"/>
      <c r="BN857" s="6"/>
      <c r="BO857" s="6"/>
      <c r="BP857" s="6"/>
      <c r="BQ857" s="6"/>
    </row>
    <row r="858" spans="2:69" hidden="1" x14ac:dyDescent="0.2">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M858" s="6"/>
      <c r="AN858" s="6"/>
      <c r="AO858" s="6"/>
      <c r="AP858" s="6"/>
      <c r="AQ858" s="6"/>
      <c r="AR858" s="6"/>
      <c r="AS858" s="6"/>
      <c r="AT858" s="6"/>
      <c r="AU858" s="6"/>
      <c r="AV858" s="6"/>
      <c r="AW858" s="6"/>
      <c r="AX858" s="6"/>
      <c r="AY858" s="6"/>
      <c r="AZ858" s="6"/>
      <c r="BA858" s="6"/>
      <c r="BB858" s="6"/>
      <c r="BC858" s="6"/>
      <c r="BD858" s="6"/>
      <c r="BE858" s="6"/>
      <c r="BF858" s="6"/>
      <c r="BG858" s="6"/>
      <c r="BH858" s="6"/>
      <c r="BI858" s="6"/>
      <c r="BJ858" s="6"/>
      <c r="BK858" s="6"/>
      <c r="BL858" s="6"/>
      <c r="BM858" s="6"/>
      <c r="BN858" s="6"/>
      <c r="BO858" s="6"/>
      <c r="BP858" s="6"/>
      <c r="BQ858" s="6"/>
    </row>
    <row r="859" spans="2:69" hidden="1" x14ac:dyDescent="0.2">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M859" s="6"/>
      <c r="AN859" s="6"/>
      <c r="AO859" s="6"/>
      <c r="AP859" s="6"/>
      <c r="AQ859" s="6"/>
      <c r="AR859" s="6"/>
      <c r="AS859" s="6"/>
      <c r="AT859" s="6"/>
      <c r="AU859" s="6"/>
      <c r="AV859" s="6"/>
      <c r="AW859" s="6"/>
      <c r="AX859" s="6"/>
      <c r="AY859" s="6"/>
      <c r="AZ859" s="6"/>
      <c r="BA859" s="6"/>
      <c r="BB859" s="6"/>
      <c r="BC859" s="6"/>
      <c r="BD859" s="6"/>
      <c r="BE859" s="6"/>
      <c r="BF859" s="6"/>
      <c r="BG859" s="6"/>
      <c r="BH859" s="6"/>
      <c r="BI859" s="6"/>
      <c r="BJ859" s="6"/>
      <c r="BK859" s="6"/>
      <c r="BL859" s="6"/>
      <c r="BM859" s="6"/>
      <c r="BN859" s="6"/>
      <c r="BO859" s="6"/>
      <c r="BP859" s="6"/>
      <c r="BQ859" s="6"/>
    </row>
    <row r="860" spans="2:69" hidden="1" x14ac:dyDescent="0.2">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M860" s="6"/>
      <c r="AN860" s="6"/>
      <c r="AO860" s="6"/>
      <c r="AP860" s="6"/>
      <c r="AQ860" s="6"/>
      <c r="AR860" s="6"/>
      <c r="AS860" s="6"/>
      <c r="AT860" s="6"/>
      <c r="AU860" s="6"/>
      <c r="AV860" s="6"/>
      <c r="AW860" s="6"/>
      <c r="AX860" s="6"/>
      <c r="AY860" s="6"/>
      <c r="AZ860" s="6"/>
      <c r="BA860" s="6"/>
      <c r="BB860" s="6"/>
      <c r="BC860" s="6"/>
      <c r="BD860" s="6"/>
      <c r="BE860" s="6"/>
      <c r="BF860" s="6"/>
      <c r="BG860" s="6"/>
      <c r="BH860" s="6"/>
      <c r="BI860" s="6"/>
      <c r="BJ860" s="6"/>
      <c r="BK860" s="6"/>
      <c r="BL860" s="6"/>
      <c r="BM860" s="6"/>
      <c r="BN860" s="6"/>
      <c r="BO860" s="6"/>
      <c r="BP860" s="6"/>
      <c r="BQ860" s="6"/>
    </row>
    <row r="861" spans="2:69" hidden="1" x14ac:dyDescent="0.2">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M861" s="6"/>
      <c r="AN861" s="6"/>
      <c r="AO861" s="6"/>
      <c r="AP861" s="6"/>
      <c r="AQ861" s="6"/>
      <c r="AR861" s="6"/>
      <c r="AS861" s="6"/>
      <c r="AT861" s="6"/>
      <c r="AU861" s="6"/>
      <c r="AV861" s="6"/>
      <c r="AW861" s="6"/>
      <c r="AX861" s="6"/>
      <c r="AY861" s="6"/>
      <c r="AZ861" s="6"/>
      <c r="BA861" s="6"/>
      <c r="BB861" s="6"/>
      <c r="BC861" s="6"/>
      <c r="BD861" s="6"/>
      <c r="BE861" s="6"/>
      <c r="BF861" s="6"/>
      <c r="BG861" s="6"/>
      <c r="BH861" s="6"/>
      <c r="BI861" s="6"/>
      <c r="BJ861" s="6"/>
      <c r="BK861" s="6"/>
      <c r="BL861" s="6"/>
      <c r="BM861" s="6"/>
      <c r="BN861" s="6"/>
      <c r="BO861" s="6"/>
      <c r="BP861" s="6"/>
      <c r="BQ861" s="6"/>
    </row>
    <row r="862" spans="2:69" hidden="1" x14ac:dyDescent="0.2">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M862" s="6"/>
      <c r="AN862" s="6"/>
      <c r="AO862" s="6"/>
      <c r="AP862" s="6"/>
      <c r="AQ862" s="6"/>
      <c r="AR862" s="6"/>
      <c r="AS862" s="6"/>
      <c r="AT862" s="6"/>
      <c r="AU862" s="6"/>
      <c r="AV862" s="6"/>
      <c r="AW862" s="6"/>
      <c r="AX862" s="6"/>
      <c r="AY862" s="6"/>
      <c r="AZ862" s="6"/>
      <c r="BA862" s="6"/>
      <c r="BB862" s="6"/>
      <c r="BC862" s="6"/>
      <c r="BD862" s="6"/>
      <c r="BE862" s="6"/>
      <c r="BF862" s="6"/>
      <c r="BG862" s="6"/>
      <c r="BH862" s="6"/>
      <c r="BI862" s="6"/>
      <c r="BJ862" s="6"/>
      <c r="BK862" s="6"/>
      <c r="BL862" s="6"/>
      <c r="BM862" s="6"/>
      <c r="BN862" s="6"/>
      <c r="BO862" s="6"/>
      <c r="BP862" s="6"/>
      <c r="BQ862" s="6"/>
    </row>
    <row r="863" spans="2:69" hidden="1" x14ac:dyDescent="0.2">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M863" s="6"/>
      <c r="AN863" s="6"/>
      <c r="AO863" s="6"/>
      <c r="AP863" s="6"/>
      <c r="AQ863" s="6"/>
      <c r="AR863" s="6"/>
      <c r="AS863" s="6"/>
      <c r="AT863" s="6"/>
      <c r="AU863" s="6"/>
      <c r="AV863" s="6"/>
      <c r="AW863" s="6"/>
      <c r="AX863" s="6"/>
      <c r="AY863" s="6"/>
      <c r="AZ863" s="6"/>
      <c r="BA863" s="6"/>
      <c r="BB863" s="6"/>
      <c r="BC863" s="6"/>
      <c r="BD863" s="6"/>
      <c r="BE863" s="6"/>
      <c r="BF863" s="6"/>
      <c r="BG863" s="6"/>
      <c r="BH863" s="6"/>
      <c r="BI863" s="6"/>
      <c r="BJ863" s="6"/>
      <c r="BK863" s="6"/>
      <c r="BL863" s="6"/>
      <c r="BM863" s="6"/>
      <c r="BN863" s="6"/>
      <c r="BO863" s="6"/>
      <c r="BP863" s="6"/>
      <c r="BQ863" s="6"/>
    </row>
    <row r="864" spans="2:69" hidden="1" x14ac:dyDescent="0.2">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M864" s="6"/>
      <c r="AN864" s="6"/>
      <c r="AO864" s="6"/>
      <c r="AP864" s="6"/>
      <c r="AQ864" s="6"/>
      <c r="AR864" s="6"/>
      <c r="AS864" s="6"/>
      <c r="AT864" s="6"/>
      <c r="AU864" s="6"/>
      <c r="AV864" s="6"/>
      <c r="AW864" s="6"/>
      <c r="AX864" s="6"/>
      <c r="AY864" s="6"/>
      <c r="AZ864" s="6"/>
      <c r="BA864" s="6"/>
      <c r="BB864" s="6"/>
      <c r="BC864" s="6"/>
      <c r="BD864" s="6"/>
      <c r="BE864" s="6"/>
      <c r="BF864" s="6"/>
      <c r="BG864" s="6"/>
      <c r="BH864" s="6"/>
      <c r="BI864" s="6"/>
      <c r="BJ864" s="6"/>
      <c r="BK864" s="6"/>
      <c r="BL864" s="6"/>
      <c r="BM864" s="6"/>
      <c r="BN864" s="6"/>
      <c r="BO864" s="6"/>
      <c r="BP864" s="6"/>
      <c r="BQ864" s="6"/>
    </row>
    <row r="865" spans="2:69" hidden="1" x14ac:dyDescent="0.2">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M865" s="6"/>
      <c r="AN865" s="6"/>
      <c r="AO865" s="6"/>
      <c r="AP865" s="6"/>
      <c r="AQ865" s="6"/>
      <c r="AR865" s="6"/>
      <c r="AS865" s="6"/>
      <c r="AT865" s="6"/>
      <c r="AU865" s="6"/>
      <c r="AV865" s="6"/>
      <c r="AW865" s="6"/>
      <c r="AX865" s="6"/>
      <c r="AY865" s="6"/>
      <c r="AZ865" s="6"/>
      <c r="BA865" s="6"/>
      <c r="BB865" s="6"/>
      <c r="BC865" s="6"/>
      <c r="BD865" s="6"/>
      <c r="BE865" s="6"/>
      <c r="BF865" s="6"/>
      <c r="BG865" s="6"/>
      <c r="BH865" s="6"/>
      <c r="BI865" s="6"/>
      <c r="BJ865" s="6"/>
      <c r="BK865" s="6"/>
      <c r="BL865" s="6"/>
      <c r="BM865" s="6"/>
      <c r="BN865" s="6"/>
      <c r="BO865" s="6"/>
      <c r="BP865" s="6"/>
      <c r="BQ865" s="6"/>
    </row>
    <row r="866" spans="2:69" hidden="1" x14ac:dyDescent="0.2">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M866" s="6"/>
      <c r="AN866" s="6"/>
      <c r="AO866" s="6"/>
      <c r="AP866" s="6"/>
      <c r="AQ866" s="6"/>
      <c r="AR866" s="6"/>
      <c r="AS866" s="6"/>
      <c r="AT866" s="6"/>
      <c r="AU866" s="6"/>
      <c r="AV866" s="6"/>
      <c r="AW866" s="6"/>
      <c r="AX866" s="6"/>
      <c r="AY866" s="6"/>
      <c r="AZ866" s="6"/>
      <c r="BA866" s="6"/>
      <c r="BB866" s="6"/>
      <c r="BC866" s="6"/>
      <c r="BD866" s="6"/>
      <c r="BE866" s="6"/>
      <c r="BF866" s="6"/>
      <c r="BG866" s="6"/>
      <c r="BH866" s="6"/>
      <c r="BI866" s="6"/>
      <c r="BJ866" s="6"/>
      <c r="BK866" s="6"/>
      <c r="BL866" s="6"/>
      <c r="BM866" s="6"/>
      <c r="BN866" s="6"/>
      <c r="BO866" s="6"/>
      <c r="BP866" s="6"/>
      <c r="BQ866" s="6"/>
    </row>
    <row r="867" spans="2:69" hidden="1" x14ac:dyDescent="0.2">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M867" s="6"/>
      <c r="AN867" s="6"/>
      <c r="AO867" s="6"/>
      <c r="AP867" s="6"/>
      <c r="AQ867" s="6"/>
      <c r="AR867" s="6"/>
      <c r="AS867" s="6"/>
      <c r="AT867" s="6"/>
      <c r="AU867" s="6"/>
      <c r="AV867" s="6"/>
      <c r="AW867" s="6"/>
      <c r="AX867" s="6"/>
      <c r="AY867" s="6"/>
      <c r="AZ867" s="6"/>
      <c r="BA867" s="6"/>
      <c r="BB867" s="6"/>
      <c r="BC867" s="6"/>
      <c r="BD867" s="6"/>
      <c r="BE867" s="6"/>
      <c r="BF867" s="6"/>
      <c r="BG867" s="6"/>
      <c r="BH867" s="6"/>
      <c r="BI867" s="6"/>
      <c r="BJ867" s="6"/>
      <c r="BK867" s="6"/>
      <c r="BL867" s="6"/>
      <c r="BM867" s="6"/>
      <c r="BN867" s="6"/>
      <c r="BO867" s="6"/>
      <c r="BP867" s="6"/>
      <c r="BQ867" s="6"/>
    </row>
    <row r="868" spans="2:69" hidden="1" x14ac:dyDescent="0.2">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M868" s="6"/>
      <c r="AN868" s="6"/>
      <c r="AO868" s="6"/>
      <c r="AP868" s="6"/>
      <c r="AQ868" s="6"/>
      <c r="AR868" s="6"/>
      <c r="AS868" s="6"/>
      <c r="AT868" s="6"/>
      <c r="AU868" s="6"/>
      <c r="AV868" s="6"/>
      <c r="AW868" s="6"/>
      <c r="AX868" s="6"/>
      <c r="AY868" s="6"/>
      <c r="AZ868" s="6"/>
      <c r="BA868" s="6"/>
      <c r="BB868" s="6"/>
      <c r="BC868" s="6"/>
      <c r="BD868" s="6"/>
      <c r="BE868" s="6"/>
      <c r="BF868" s="6"/>
      <c r="BG868" s="6"/>
      <c r="BH868" s="6"/>
      <c r="BI868" s="6"/>
      <c r="BJ868" s="6"/>
      <c r="BK868" s="6"/>
      <c r="BL868" s="6"/>
      <c r="BM868" s="6"/>
      <c r="BN868" s="6"/>
      <c r="BO868" s="6"/>
      <c r="BP868" s="6"/>
      <c r="BQ868" s="6"/>
    </row>
    <row r="869" spans="2:69" hidden="1" x14ac:dyDescent="0.2">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M869" s="6"/>
      <c r="AN869" s="6"/>
      <c r="AO869" s="6"/>
      <c r="AP869" s="6"/>
      <c r="AQ869" s="6"/>
      <c r="AR869" s="6"/>
      <c r="AS869" s="6"/>
      <c r="AT869" s="6"/>
      <c r="AU869" s="6"/>
      <c r="AV869" s="6"/>
      <c r="AW869" s="6"/>
      <c r="AX869" s="6"/>
      <c r="AY869" s="6"/>
      <c r="AZ869" s="6"/>
      <c r="BA869" s="6"/>
      <c r="BB869" s="6"/>
      <c r="BC869" s="6"/>
      <c r="BD869" s="6"/>
      <c r="BE869" s="6"/>
      <c r="BF869" s="6"/>
      <c r="BG869" s="6"/>
      <c r="BH869" s="6"/>
      <c r="BI869" s="6"/>
      <c r="BJ869" s="6"/>
      <c r="BK869" s="6"/>
      <c r="BL869" s="6"/>
      <c r="BM869" s="6"/>
      <c r="BN869" s="6"/>
      <c r="BO869" s="6"/>
      <c r="BP869" s="6"/>
      <c r="BQ869" s="6"/>
    </row>
    <row r="870" spans="2:69" hidden="1" x14ac:dyDescent="0.2">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M870" s="6"/>
      <c r="AN870" s="6"/>
      <c r="AO870" s="6"/>
      <c r="AP870" s="6"/>
      <c r="AQ870" s="6"/>
      <c r="AR870" s="6"/>
      <c r="AS870" s="6"/>
      <c r="AT870" s="6"/>
      <c r="AU870" s="6"/>
      <c r="AV870" s="6"/>
      <c r="AW870" s="6"/>
      <c r="AX870" s="6"/>
      <c r="AY870" s="6"/>
      <c r="AZ870" s="6"/>
      <c r="BA870" s="6"/>
      <c r="BB870" s="6"/>
      <c r="BC870" s="6"/>
      <c r="BD870" s="6"/>
      <c r="BE870" s="6"/>
      <c r="BF870" s="6"/>
      <c r="BG870" s="6"/>
      <c r="BH870" s="6"/>
      <c r="BI870" s="6"/>
      <c r="BJ870" s="6"/>
      <c r="BK870" s="6"/>
      <c r="BL870" s="6"/>
      <c r="BM870" s="6"/>
      <c r="BN870" s="6"/>
      <c r="BO870" s="6"/>
      <c r="BP870" s="6"/>
      <c r="BQ870" s="6"/>
    </row>
    <row r="871" spans="2:69" hidden="1" x14ac:dyDescent="0.2">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M871" s="6"/>
      <c r="AN871" s="6"/>
      <c r="AO871" s="6"/>
      <c r="AP871" s="6"/>
      <c r="AQ871" s="6"/>
      <c r="AR871" s="6"/>
      <c r="AS871" s="6"/>
      <c r="AT871" s="6"/>
      <c r="AU871" s="6"/>
      <c r="AV871" s="6"/>
      <c r="AW871" s="6"/>
      <c r="AX871" s="6"/>
      <c r="AY871" s="6"/>
      <c r="AZ871" s="6"/>
      <c r="BA871" s="6"/>
      <c r="BB871" s="6"/>
      <c r="BC871" s="6"/>
      <c r="BD871" s="6"/>
      <c r="BE871" s="6"/>
      <c r="BF871" s="6"/>
      <c r="BG871" s="6"/>
      <c r="BH871" s="6"/>
      <c r="BI871" s="6"/>
      <c r="BJ871" s="6"/>
      <c r="BK871" s="6"/>
      <c r="BL871" s="6"/>
      <c r="BM871" s="6"/>
      <c r="BN871" s="6"/>
      <c r="BO871" s="6"/>
      <c r="BP871" s="6"/>
      <c r="BQ871" s="6"/>
    </row>
    <row r="872" spans="2:69" hidden="1" x14ac:dyDescent="0.2">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M872" s="6"/>
      <c r="AN872" s="6"/>
      <c r="AO872" s="6"/>
      <c r="AP872" s="6"/>
      <c r="AQ872" s="6"/>
      <c r="AR872" s="6"/>
      <c r="AS872" s="6"/>
      <c r="AT872" s="6"/>
      <c r="AU872" s="6"/>
      <c r="AV872" s="6"/>
      <c r="AW872" s="6"/>
      <c r="AX872" s="6"/>
      <c r="AY872" s="6"/>
      <c r="AZ872" s="6"/>
      <c r="BA872" s="6"/>
      <c r="BB872" s="6"/>
      <c r="BC872" s="6"/>
      <c r="BD872" s="6"/>
      <c r="BE872" s="6"/>
      <c r="BF872" s="6"/>
      <c r="BG872" s="6"/>
      <c r="BH872" s="6"/>
      <c r="BI872" s="6"/>
      <c r="BJ872" s="6"/>
      <c r="BK872" s="6"/>
      <c r="BL872" s="6"/>
      <c r="BM872" s="6"/>
      <c r="BN872" s="6"/>
      <c r="BO872" s="6"/>
      <c r="BP872" s="6"/>
      <c r="BQ872" s="6"/>
    </row>
    <row r="873" spans="2:69" hidden="1" x14ac:dyDescent="0.2">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M873" s="6"/>
      <c r="AN873" s="6"/>
      <c r="AO873" s="6"/>
      <c r="AP873" s="6"/>
      <c r="AQ873" s="6"/>
      <c r="AR873" s="6"/>
      <c r="AS873" s="6"/>
      <c r="AT873" s="6"/>
      <c r="AU873" s="6"/>
      <c r="AV873" s="6"/>
      <c r="AW873" s="6"/>
      <c r="AX873" s="6"/>
      <c r="AY873" s="6"/>
      <c r="AZ873" s="6"/>
      <c r="BA873" s="6"/>
      <c r="BB873" s="6"/>
      <c r="BC873" s="6"/>
      <c r="BD873" s="6"/>
      <c r="BE873" s="6"/>
      <c r="BF873" s="6"/>
      <c r="BG873" s="6"/>
      <c r="BH873" s="6"/>
      <c r="BI873" s="6"/>
      <c r="BJ873" s="6"/>
      <c r="BK873" s="6"/>
      <c r="BL873" s="6"/>
      <c r="BM873" s="6"/>
      <c r="BN873" s="6"/>
      <c r="BO873" s="6"/>
      <c r="BP873" s="6"/>
      <c r="BQ873" s="6"/>
    </row>
    <row r="874" spans="2:69" hidden="1" x14ac:dyDescent="0.2">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M874" s="6"/>
      <c r="AN874" s="6"/>
      <c r="AO874" s="6"/>
      <c r="AP874" s="6"/>
      <c r="AQ874" s="6"/>
      <c r="AR874" s="6"/>
      <c r="AS874" s="6"/>
      <c r="AT874" s="6"/>
      <c r="AU874" s="6"/>
      <c r="AV874" s="6"/>
      <c r="AW874" s="6"/>
      <c r="AX874" s="6"/>
      <c r="AY874" s="6"/>
      <c r="AZ874" s="6"/>
      <c r="BA874" s="6"/>
      <c r="BB874" s="6"/>
      <c r="BC874" s="6"/>
      <c r="BD874" s="6"/>
      <c r="BE874" s="6"/>
      <c r="BF874" s="6"/>
      <c r="BG874" s="6"/>
      <c r="BH874" s="6"/>
      <c r="BI874" s="6"/>
      <c r="BJ874" s="6"/>
      <c r="BK874" s="6"/>
      <c r="BL874" s="6"/>
      <c r="BM874" s="6"/>
      <c r="BN874" s="6"/>
      <c r="BO874" s="6"/>
      <c r="BP874" s="6"/>
      <c r="BQ874" s="6"/>
    </row>
    <row r="875" spans="2:69" hidden="1" x14ac:dyDescent="0.2">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M875" s="6"/>
      <c r="AN875" s="6"/>
      <c r="AO875" s="6"/>
      <c r="AP875" s="6"/>
      <c r="AQ875" s="6"/>
      <c r="AR875" s="6"/>
      <c r="AS875" s="6"/>
      <c r="AT875" s="6"/>
      <c r="AU875" s="6"/>
      <c r="AV875" s="6"/>
      <c r="AW875" s="6"/>
      <c r="AX875" s="6"/>
      <c r="AY875" s="6"/>
      <c r="AZ875" s="6"/>
      <c r="BA875" s="6"/>
      <c r="BB875" s="6"/>
      <c r="BC875" s="6"/>
      <c r="BD875" s="6"/>
      <c r="BE875" s="6"/>
      <c r="BF875" s="6"/>
      <c r="BG875" s="6"/>
      <c r="BH875" s="6"/>
      <c r="BI875" s="6"/>
      <c r="BJ875" s="6"/>
      <c r="BK875" s="6"/>
      <c r="BL875" s="6"/>
      <c r="BM875" s="6"/>
      <c r="BN875" s="6"/>
      <c r="BO875" s="6"/>
      <c r="BP875" s="6"/>
      <c r="BQ875" s="6"/>
    </row>
    <row r="876" spans="2:69" hidden="1" x14ac:dyDescent="0.2">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M876" s="6"/>
      <c r="AN876" s="6"/>
      <c r="AO876" s="6"/>
      <c r="AP876" s="6"/>
      <c r="AQ876" s="6"/>
      <c r="AR876" s="6"/>
      <c r="AS876" s="6"/>
      <c r="AT876" s="6"/>
      <c r="AU876" s="6"/>
      <c r="AV876" s="6"/>
      <c r="AW876" s="6"/>
      <c r="AX876" s="6"/>
      <c r="AY876" s="6"/>
      <c r="AZ876" s="6"/>
      <c r="BA876" s="6"/>
      <c r="BB876" s="6"/>
      <c r="BC876" s="6"/>
      <c r="BD876" s="6"/>
      <c r="BE876" s="6"/>
      <c r="BF876" s="6"/>
      <c r="BG876" s="6"/>
      <c r="BH876" s="6"/>
      <c r="BI876" s="6"/>
      <c r="BJ876" s="6"/>
      <c r="BK876" s="6"/>
      <c r="BL876" s="6"/>
      <c r="BM876" s="6"/>
      <c r="BN876" s="6"/>
      <c r="BO876" s="6"/>
      <c r="BP876" s="6"/>
      <c r="BQ876" s="6"/>
    </row>
    <row r="877" spans="2:69" hidden="1" x14ac:dyDescent="0.2">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M877" s="6"/>
      <c r="AN877" s="6"/>
      <c r="AO877" s="6"/>
      <c r="AP877" s="6"/>
      <c r="AQ877" s="6"/>
      <c r="AR877" s="6"/>
      <c r="AS877" s="6"/>
      <c r="AT877" s="6"/>
      <c r="AU877" s="6"/>
      <c r="AV877" s="6"/>
      <c r="AW877" s="6"/>
      <c r="AX877" s="6"/>
      <c r="AY877" s="6"/>
      <c r="AZ877" s="6"/>
      <c r="BA877" s="6"/>
      <c r="BB877" s="6"/>
      <c r="BC877" s="6"/>
      <c r="BD877" s="6"/>
      <c r="BE877" s="6"/>
      <c r="BF877" s="6"/>
      <c r="BG877" s="6"/>
      <c r="BH877" s="6"/>
      <c r="BI877" s="6"/>
      <c r="BJ877" s="6"/>
      <c r="BK877" s="6"/>
      <c r="BL877" s="6"/>
      <c r="BM877" s="6"/>
      <c r="BN877" s="6"/>
      <c r="BO877" s="6"/>
      <c r="BP877" s="6"/>
      <c r="BQ877" s="6"/>
    </row>
    <row r="878" spans="2:69" hidden="1" x14ac:dyDescent="0.2">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c r="AM878" s="6"/>
      <c r="AN878" s="6"/>
      <c r="AO878" s="6"/>
      <c r="AP878" s="6"/>
      <c r="AQ878" s="6"/>
      <c r="AR878" s="6"/>
      <c r="AS878" s="6"/>
      <c r="AT878" s="6"/>
      <c r="AU878" s="6"/>
      <c r="AV878" s="6"/>
      <c r="AW878" s="6"/>
      <c r="AX878" s="6"/>
      <c r="AY878" s="6"/>
      <c r="AZ878" s="6"/>
      <c r="BA878" s="6"/>
      <c r="BB878" s="6"/>
      <c r="BC878" s="6"/>
      <c r="BD878" s="6"/>
      <c r="BE878" s="6"/>
      <c r="BF878" s="6"/>
      <c r="BG878" s="6"/>
      <c r="BH878" s="6"/>
      <c r="BI878" s="6"/>
      <c r="BJ878" s="6"/>
      <c r="BK878" s="6"/>
      <c r="BL878" s="6"/>
      <c r="BM878" s="6"/>
      <c r="BN878" s="6"/>
      <c r="BO878" s="6"/>
      <c r="BP878" s="6"/>
      <c r="BQ878" s="6"/>
    </row>
    <row r="879" spans="2:69" hidden="1" x14ac:dyDescent="0.2">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c r="AM879" s="6"/>
      <c r="AN879" s="6"/>
      <c r="AO879" s="6"/>
      <c r="AP879" s="6"/>
      <c r="AQ879" s="6"/>
      <c r="AR879" s="6"/>
      <c r="AS879" s="6"/>
      <c r="AT879" s="6"/>
      <c r="AU879" s="6"/>
      <c r="AV879" s="6"/>
      <c r="AW879" s="6"/>
      <c r="AX879" s="6"/>
      <c r="AY879" s="6"/>
      <c r="AZ879" s="6"/>
      <c r="BA879" s="6"/>
      <c r="BB879" s="6"/>
      <c r="BC879" s="6"/>
      <c r="BD879" s="6"/>
      <c r="BE879" s="6"/>
      <c r="BF879" s="6"/>
      <c r="BG879" s="6"/>
      <c r="BH879" s="6"/>
      <c r="BI879" s="6"/>
      <c r="BJ879" s="6"/>
      <c r="BK879" s="6"/>
      <c r="BL879" s="6"/>
      <c r="BM879" s="6"/>
      <c r="BN879" s="6"/>
      <c r="BO879" s="6"/>
      <c r="BP879" s="6"/>
      <c r="BQ879" s="6"/>
    </row>
    <row r="880" spans="2:69" hidden="1" x14ac:dyDescent="0.2">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c r="AM880" s="6"/>
      <c r="AN880" s="6"/>
      <c r="AO880" s="6"/>
      <c r="AP880" s="6"/>
      <c r="AQ880" s="6"/>
      <c r="AR880" s="6"/>
      <c r="AS880" s="6"/>
      <c r="AT880" s="6"/>
      <c r="AU880" s="6"/>
      <c r="AV880" s="6"/>
      <c r="AW880" s="6"/>
      <c r="AX880" s="6"/>
      <c r="AY880" s="6"/>
      <c r="AZ880" s="6"/>
      <c r="BA880" s="6"/>
      <c r="BB880" s="6"/>
      <c r="BC880" s="6"/>
      <c r="BD880" s="6"/>
      <c r="BE880" s="6"/>
      <c r="BF880" s="6"/>
      <c r="BG880" s="6"/>
      <c r="BH880" s="6"/>
      <c r="BI880" s="6"/>
      <c r="BJ880" s="6"/>
      <c r="BK880" s="6"/>
      <c r="BL880" s="6"/>
      <c r="BM880" s="6"/>
      <c r="BN880" s="6"/>
      <c r="BO880" s="6"/>
      <c r="BP880" s="6"/>
      <c r="BQ880" s="6"/>
    </row>
    <row r="881" spans="2:69" hidden="1" x14ac:dyDescent="0.2">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c r="AM881" s="6"/>
      <c r="AN881" s="6"/>
      <c r="AO881" s="6"/>
      <c r="AP881" s="6"/>
      <c r="AQ881" s="6"/>
      <c r="AR881" s="6"/>
      <c r="AS881" s="6"/>
      <c r="AT881" s="6"/>
      <c r="AU881" s="6"/>
      <c r="AV881" s="6"/>
      <c r="AW881" s="6"/>
      <c r="AX881" s="6"/>
      <c r="AY881" s="6"/>
      <c r="AZ881" s="6"/>
      <c r="BA881" s="6"/>
      <c r="BB881" s="6"/>
      <c r="BC881" s="6"/>
      <c r="BD881" s="6"/>
      <c r="BE881" s="6"/>
      <c r="BF881" s="6"/>
      <c r="BG881" s="6"/>
      <c r="BH881" s="6"/>
      <c r="BI881" s="6"/>
      <c r="BJ881" s="6"/>
      <c r="BK881" s="6"/>
      <c r="BL881" s="6"/>
      <c r="BM881" s="6"/>
      <c r="BN881" s="6"/>
      <c r="BO881" s="6"/>
      <c r="BP881" s="6"/>
      <c r="BQ881" s="6"/>
    </row>
    <row r="882" spans="2:69" hidden="1" x14ac:dyDescent="0.2">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c r="AM882" s="6"/>
      <c r="AN882" s="6"/>
      <c r="AO882" s="6"/>
      <c r="AP882" s="6"/>
      <c r="AQ882" s="6"/>
      <c r="AR882" s="6"/>
      <c r="AS882" s="6"/>
      <c r="AT882" s="6"/>
      <c r="AU882" s="6"/>
      <c r="AV882" s="6"/>
      <c r="AW882" s="6"/>
      <c r="AX882" s="6"/>
      <c r="AY882" s="6"/>
      <c r="AZ882" s="6"/>
      <c r="BA882" s="6"/>
      <c r="BB882" s="6"/>
      <c r="BC882" s="6"/>
      <c r="BD882" s="6"/>
      <c r="BE882" s="6"/>
      <c r="BF882" s="6"/>
      <c r="BG882" s="6"/>
      <c r="BH882" s="6"/>
      <c r="BI882" s="6"/>
      <c r="BJ882" s="6"/>
      <c r="BK882" s="6"/>
      <c r="BL882" s="6"/>
      <c r="BM882" s="6"/>
      <c r="BN882" s="6"/>
      <c r="BO882" s="6"/>
      <c r="BP882" s="6"/>
      <c r="BQ882" s="6"/>
    </row>
    <row r="883" spans="2:69" hidden="1" x14ac:dyDescent="0.2">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c r="AM883" s="6"/>
      <c r="AN883" s="6"/>
      <c r="AO883" s="6"/>
      <c r="AP883" s="6"/>
      <c r="AQ883" s="6"/>
      <c r="AR883" s="6"/>
      <c r="AS883" s="6"/>
      <c r="AT883" s="6"/>
      <c r="AU883" s="6"/>
      <c r="AV883" s="6"/>
      <c r="AW883" s="6"/>
      <c r="AX883" s="6"/>
      <c r="AY883" s="6"/>
      <c r="AZ883" s="6"/>
      <c r="BA883" s="6"/>
      <c r="BB883" s="6"/>
      <c r="BC883" s="6"/>
      <c r="BD883" s="6"/>
      <c r="BE883" s="6"/>
      <c r="BF883" s="6"/>
      <c r="BG883" s="6"/>
      <c r="BH883" s="6"/>
      <c r="BI883" s="6"/>
      <c r="BJ883" s="6"/>
      <c r="BK883" s="6"/>
      <c r="BL883" s="6"/>
      <c r="BM883" s="6"/>
      <c r="BN883" s="6"/>
      <c r="BO883" s="6"/>
      <c r="BP883" s="6"/>
      <c r="BQ883" s="6"/>
    </row>
    <row r="884" spans="2:69" hidden="1" x14ac:dyDescent="0.2">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c r="AM884" s="6"/>
      <c r="AN884" s="6"/>
      <c r="AO884" s="6"/>
      <c r="AP884" s="6"/>
      <c r="AQ884" s="6"/>
      <c r="AR884" s="6"/>
      <c r="AS884" s="6"/>
      <c r="AT884" s="6"/>
      <c r="AU884" s="6"/>
      <c r="AV884" s="6"/>
      <c r="AW884" s="6"/>
      <c r="AX884" s="6"/>
      <c r="AY884" s="6"/>
      <c r="AZ884" s="6"/>
      <c r="BA884" s="6"/>
      <c r="BB884" s="6"/>
      <c r="BC884" s="6"/>
      <c r="BD884" s="6"/>
      <c r="BE884" s="6"/>
      <c r="BF884" s="6"/>
      <c r="BG884" s="6"/>
      <c r="BH884" s="6"/>
      <c r="BI884" s="6"/>
      <c r="BJ884" s="6"/>
      <c r="BK884" s="6"/>
      <c r="BL884" s="6"/>
      <c r="BM884" s="6"/>
      <c r="BN884" s="6"/>
      <c r="BO884" s="6"/>
      <c r="BP884" s="6"/>
      <c r="BQ884" s="6"/>
    </row>
    <row r="885" spans="2:69" hidden="1" x14ac:dyDescent="0.2">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M885" s="6"/>
      <c r="AN885" s="6"/>
      <c r="AO885" s="6"/>
      <c r="AP885" s="6"/>
      <c r="AQ885" s="6"/>
      <c r="AR885" s="6"/>
      <c r="AS885" s="6"/>
      <c r="AT885" s="6"/>
      <c r="AU885" s="6"/>
      <c r="AV885" s="6"/>
      <c r="AW885" s="6"/>
      <c r="AX885" s="6"/>
      <c r="AY885" s="6"/>
      <c r="AZ885" s="6"/>
      <c r="BA885" s="6"/>
      <c r="BB885" s="6"/>
      <c r="BC885" s="6"/>
      <c r="BD885" s="6"/>
      <c r="BE885" s="6"/>
      <c r="BF885" s="6"/>
      <c r="BG885" s="6"/>
      <c r="BH885" s="6"/>
      <c r="BI885" s="6"/>
      <c r="BJ885" s="6"/>
      <c r="BK885" s="6"/>
      <c r="BL885" s="6"/>
      <c r="BM885" s="6"/>
      <c r="BN885" s="6"/>
      <c r="BO885" s="6"/>
      <c r="BP885" s="6"/>
      <c r="BQ885" s="6"/>
    </row>
    <row r="886" spans="2:69" hidden="1" x14ac:dyDescent="0.2">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M886" s="6"/>
      <c r="AN886" s="6"/>
      <c r="AO886" s="6"/>
      <c r="AP886" s="6"/>
      <c r="AQ886" s="6"/>
      <c r="AR886" s="6"/>
      <c r="AS886" s="6"/>
      <c r="AT886" s="6"/>
      <c r="AU886" s="6"/>
      <c r="AV886" s="6"/>
      <c r="AW886" s="6"/>
      <c r="AX886" s="6"/>
      <c r="AY886" s="6"/>
      <c r="AZ886" s="6"/>
      <c r="BA886" s="6"/>
      <c r="BB886" s="6"/>
      <c r="BC886" s="6"/>
      <c r="BD886" s="6"/>
      <c r="BE886" s="6"/>
      <c r="BF886" s="6"/>
      <c r="BG886" s="6"/>
      <c r="BH886" s="6"/>
      <c r="BI886" s="6"/>
      <c r="BJ886" s="6"/>
      <c r="BK886" s="6"/>
      <c r="BL886" s="6"/>
      <c r="BM886" s="6"/>
      <c r="BN886" s="6"/>
      <c r="BO886" s="6"/>
      <c r="BP886" s="6"/>
      <c r="BQ886" s="6"/>
    </row>
    <row r="887" spans="2:69" hidden="1" x14ac:dyDescent="0.2">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M887" s="6"/>
      <c r="AN887" s="6"/>
      <c r="AO887" s="6"/>
      <c r="AP887" s="6"/>
      <c r="AQ887" s="6"/>
      <c r="AR887" s="6"/>
      <c r="AS887" s="6"/>
      <c r="AT887" s="6"/>
      <c r="AU887" s="6"/>
      <c r="AV887" s="6"/>
      <c r="AW887" s="6"/>
      <c r="AX887" s="6"/>
      <c r="AY887" s="6"/>
      <c r="AZ887" s="6"/>
      <c r="BA887" s="6"/>
      <c r="BB887" s="6"/>
      <c r="BC887" s="6"/>
      <c r="BD887" s="6"/>
      <c r="BE887" s="6"/>
      <c r="BF887" s="6"/>
      <c r="BG887" s="6"/>
      <c r="BH887" s="6"/>
      <c r="BI887" s="6"/>
      <c r="BJ887" s="6"/>
      <c r="BK887" s="6"/>
      <c r="BL887" s="6"/>
      <c r="BM887" s="6"/>
      <c r="BN887" s="6"/>
      <c r="BO887" s="6"/>
      <c r="BP887" s="6"/>
      <c r="BQ887" s="6"/>
    </row>
    <row r="888" spans="2:69" hidden="1" x14ac:dyDescent="0.2">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c r="AM888" s="6"/>
      <c r="AN888" s="6"/>
      <c r="AO888" s="6"/>
      <c r="AP888" s="6"/>
      <c r="AQ888" s="6"/>
      <c r="AR888" s="6"/>
      <c r="AS888" s="6"/>
      <c r="AT888" s="6"/>
      <c r="AU888" s="6"/>
      <c r="AV888" s="6"/>
      <c r="AW888" s="6"/>
      <c r="AX888" s="6"/>
      <c r="AY888" s="6"/>
      <c r="AZ888" s="6"/>
      <c r="BA888" s="6"/>
      <c r="BB888" s="6"/>
      <c r="BC888" s="6"/>
      <c r="BD888" s="6"/>
      <c r="BE888" s="6"/>
      <c r="BF888" s="6"/>
      <c r="BG888" s="6"/>
      <c r="BH888" s="6"/>
      <c r="BI888" s="6"/>
      <c r="BJ888" s="6"/>
      <c r="BK888" s="6"/>
      <c r="BL888" s="6"/>
      <c r="BM888" s="6"/>
      <c r="BN888" s="6"/>
      <c r="BO888" s="6"/>
      <c r="BP888" s="6"/>
      <c r="BQ888" s="6"/>
    </row>
    <row r="889" spans="2:69" hidden="1" x14ac:dyDescent="0.2">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c r="AM889" s="6"/>
      <c r="AN889" s="6"/>
      <c r="AO889" s="6"/>
      <c r="AP889" s="6"/>
      <c r="AQ889" s="6"/>
      <c r="AR889" s="6"/>
      <c r="AS889" s="6"/>
      <c r="AT889" s="6"/>
      <c r="AU889" s="6"/>
      <c r="AV889" s="6"/>
      <c r="AW889" s="6"/>
      <c r="AX889" s="6"/>
      <c r="AY889" s="6"/>
      <c r="AZ889" s="6"/>
      <c r="BA889" s="6"/>
      <c r="BB889" s="6"/>
      <c r="BC889" s="6"/>
      <c r="BD889" s="6"/>
      <c r="BE889" s="6"/>
      <c r="BF889" s="6"/>
      <c r="BG889" s="6"/>
      <c r="BH889" s="6"/>
      <c r="BI889" s="6"/>
      <c r="BJ889" s="6"/>
      <c r="BK889" s="6"/>
      <c r="BL889" s="6"/>
      <c r="BM889" s="6"/>
      <c r="BN889" s="6"/>
      <c r="BO889" s="6"/>
      <c r="BP889" s="6"/>
      <c r="BQ889" s="6"/>
    </row>
    <row r="890" spans="2:69" hidden="1" x14ac:dyDescent="0.2">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c r="AM890" s="6"/>
      <c r="AN890" s="6"/>
      <c r="AO890" s="6"/>
      <c r="AP890" s="6"/>
      <c r="AQ890" s="6"/>
      <c r="AR890" s="6"/>
      <c r="AS890" s="6"/>
      <c r="AT890" s="6"/>
      <c r="AU890" s="6"/>
      <c r="AV890" s="6"/>
      <c r="AW890" s="6"/>
      <c r="AX890" s="6"/>
      <c r="AY890" s="6"/>
      <c r="AZ890" s="6"/>
      <c r="BA890" s="6"/>
      <c r="BB890" s="6"/>
      <c r="BC890" s="6"/>
      <c r="BD890" s="6"/>
      <c r="BE890" s="6"/>
      <c r="BF890" s="6"/>
      <c r="BG890" s="6"/>
      <c r="BH890" s="6"/>
      <c r="BI890" s="6"/>
      <c r="BJ890" s="6"/>
      <c r="BK890" s="6"/>
      <c r="BL890" s="6"/>
      <c r="BM890" s="6"/>
      <c r="BN890" s="6"/>
      <c r="BO890" s="6"/>
      <c r="BP890" s="6"/>
      <c r="BQ890" s="6"/>
    </row>
    <row r="891" spans="2:69" hidden="1" x14ac:dyDescent="0.2">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M891" s="6"/>
      <c r="AN891" s="6"/>
      <c r="AO891" s="6"/>
      <c r="AP891" s="6"/>
      <c r="AQ891" s="6"/>
      <c r="AR891" s="6"/>
      <c r="AS891" s="6"/>
      <c r="AT891" s="6"/>
      <c r="AU891" s="6"/>
      <c r="AV891" s="6"/>
      <c r="AW891" s="6"/>
      <c r="AX891" s="6"/>
      <c r="AY891" s="6"/>
      <c r="AZ891" s="6"/>
      <c r="BA891" s="6"/>
      <c r="BB891" s="6"/>
      <c r="BC891" s="6"/>
      <c r="BD891" s="6"/>
      <c r="BE891" s="6"/>
      <c r="BF891" s="6"/>
      <c r="BG891" s="6"/>
      <c r="BH891" s="6"/>
      <c r="BI891" s="6"/>
      <c r="BJ891" s="6"/>
      <c r="BK891" s="6"/>
      <c r="BL891" s="6"/>
      <c r="BM891" s="6"/>
      <c r="BN891" s="6"/>
      <c r="BO891" s="6"/>
      <c r="BP891" s="6"/>
      <c r="BQ891" s="6"/>
    </row>
    <row r="892" spans="2:69" hidden="1" x14ac:dyDescent="0.2">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M892" s="6"/>
      <c r="AN892" s="6"/>
      <c r="AO892" s="6"/>
      <c r="AP892" s="6"/>
      <c r="AQ892" s="6"/>
      <c r="AR892" s="6"/>
      <c r="AS892" s="6"/>
      <c r="AT892" s="6"/>
      <c r="AU892" s="6"/>
      <c r="AV892" s="6"/>
      <c r="AW892" s="6"/>
      <c r="AX892" s="6"/>
      <c r="AY892" s="6"/>
      <c r="AZ892" s="6"/>
      <c r="BA892" s="6"/>
      <c r="BB892" s="6"/>
      <c r="BC892" s="6"/>
      <c r="BD892" s="6"/>
      <c r="BE892" s="6"/>
      <c r="BF892" s="6"/>
      <c r="BG892" s="6"/>
      <c r="BH892" s="6"/>
      <c r="BI892" s="6"/>
      <c r="BJ892" s="6"/>
      <c r="BK892" s="6"/>
      <c r="BL892" s="6"/>
      <c r="BM892" s="6"/>
      <c r="BN892" s="6"/>
      <c r="BO892" s="6"/>
      <c r="BP892" s="6"/>
      <c r="BQ892" s="6"/>
    </row>
    <row r="893" spans="2:69" hidden="1" x14ac:dyDescent="0.2">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M893" s="6"/>
      <c r="AN893" s="6"/>
      <c r="AO893" s="6"/>
      <c r="AP893" s="6"/>
      <c r="AQ893" s="6"/>
      <c r="AR893" s="6"/>
      <c r="AS893" s="6"/>
      <c r="AT893" s="6"/>
      <c r="AU893" s="6"/>
      <c r="AV893" s="6"/>
      <c r="AW893" s="6"/>
      <c r="AX893" s="6"/>
      <c r="AY893" s="6"/>
      <c r="AZ893" s="6"/>
      <c r="BA893" s="6"/>
      <c r="BB893" s="6"/>
      <c r="BC893" s="6"/>
      <c r="BD893" s="6"/>
      <c r="BE893" s="6"/>
      <c r="BF893" s="6"/>
      <c r="BG893" s="6"/>
      <c r="BH893" s="6"/>
      <c r="BI893" s="6"/>
      <c r="BJ893" s="6"/>
      <c r="BK893" s="6"/>
      <c r="BL893" s="6"/>
      <c r="BM893" s="6"/>
      <c r="BN893" s="6"/>
      <c r="BO893" s="6"/>
      <c r="BP893" s="6"/>
      <c r="BQ893" s="6"/>
    </row>
    <row r="894" spans="2:69" hidden="1" x14ac:dyDescent="0.2">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M894" s="6"/>
      <c r="AN894" s="6"/>
      <c r="AO894" s="6"/>
      <c r="AP894" s="6"/>
      <c r="AQ894" s="6"/>
      <c r="AR894" s="6"/>
      <c r="AS894" s="6"/>
      <c r="AT894" s="6"/>
      <c r="AU894" s="6"/>
      <c r="AV894" s="6"/>
      <c r="AW894" s="6"/>
      <c r="AX894" s="6"/>
      <c r="AY894" s="6"/>
      <c r="AZ894" s="6"/>
      <c r="BA894" s="6"/>
      <c r="BB894" s="6"/>
      <c r="BC894" s="6"/>
      <c r="BD894" s="6"/>
      <c r="BE894" s="6"/>
      <c r="BF894" s="6"/>
      <c r="BG894" s="6"/>
      <c r="BH894" s="6"/>
      <c r="BI894" s="6"/>
      <c r="BJ894" s="6"/>
      <c r="BK894" s="6"/>
      <c r="BL894" s="6"/>
      <c r="BM894" s="6"/>
      <c r="BN894" s="6"/>
      <c r="BO894" s="6"/>
      <c r="BP894" s="6"/>
      <c r="BQ894" s="6"/>
    </row>
    <row r="895" spans="2:69" hidden="1" x14ac:dyDescent="0.2">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M895" s="6"/>
      <c r="AN895" s="6"/>
      <c r="AO895" s="6"/>
      <c r="AP895" s="6"/>
      <c r="AQ895" s="6"/>
      <c r="AR895" s="6"/>
      <c r="AS895" s="6"/>
      <c r="AT895" s="6"/>
      <c r="AU895" s="6"/>
      <c r="AV895" s="6"/>
      <c r="AW895" s="6"/>
      <c r="AX895" s="6"/>
      <c r="AY895" s="6"/>
      <c r="AZ895" s="6"/>
      <c r="BA895" s="6"/>
      <c r="BB895" s="6"/>
      <c r="BC895" s="6"/>
      <c r="BD895" s="6"/>
      <c r="BE895" s="6"/>
      <c r="BF895" s="6"/>
      <c r="BG895" s="6"/>
      <c r="BH895" s="6"/>
      <c r="BI895" s="6"/>
      <c r="BJ895" s="6"/>
      <c r="BK895" s="6"/>
      <c r="BL895" s="6"/>
      <c r="BM895" s="6"/>
      <c r="BN895" s="6"/>
      <c r="BO895" s="6"/>
      <c r="BP895" s="6"/>
      <c r="BQ895" s="6"/>
    </row>
    <row r="896" spans="2:69" hidden="1" x14ac:dyDescent="0.2">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M896" s="6"/>
      <c r="AN896" s="6"/>
      <c r="AO896" s="6"/>
      <c r="AP896" s="6"/>
      <c r="AQ896" s="6"/>
      <c r="AR896" s="6"/>
      <c r="AS896" s="6"/>
      <c r="AT896" s="6"/>
      <c r="AU896" s="6"/>
      <c r="AV896" s="6"/>
      <c r="AW896" s="6"/>
      <c r="AX896" s="6"/>
      <c r="AY896" s="6"/>
      <c r="AZ896" s="6"/>
      <c r="BA896" s="6"/>
      <c r="BB896" s="6"/>
      <c r="BC896" s="6"/>
      <c r="BD896" s="6"/>
      <c r="BE896" s="6"/>
      <c r="BF896" s="6"/>
      <c r="BG896" s="6"/>
      <c r="BH896" s="6"/>
      <c r="BI896" s="6"/>
      <c r="BJ896" s="6"/>
      <c r="BK896" s="6"/>
      <c r="BL896" s="6"/>
      <c r="BM896" s="6"/>
      <c r="BN896" s="6"/>
      <c r="BO896" s="6"/>
      <c r="BP896" s="6"/>
      <c r="BQ896" s="6"/>
    </row>
    <row r="897" spans="2:69" hidden="1" x14ac:dyDescent="0.2">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M897" s="6"/>
      <c r="AN897" s="6"/>
      <c r="AO897" s="6"/>
      <c r="AP897" s="6"/>
      <c r="AQ897" s="6"/>
      <c r="AR897" s="6"/>
      <c r="AS897" s="6"/>
      <c r="AT897" s="6"/>
      <c r="AU897" s="6"/>
      <c r="AV897" s="6"/>
      <c r="AW897" s="6"/>
      <c r="AX897" s="6"/>
      <c r="AY897" s="6"/>
      <c r="AZ897" s="6"/>
      <c r="BA897" s="6"/>
      <c r="BB897" s="6"/>
      <c r="BC897" s="6"/>
      <c r="BD897" s="6"/>
      <c r="BE897" s="6"/>
      <c r="BF897" s="6"/>
      <c r="BG897" s="6"/>
      <c r="BH897" s="6"/>
      <c r="BI897" s="6"/>
      <c r="BJ897" s="6"/>
      <c r="BK897" s="6"/>
      <c r="BL897" s="6"/>
      <c r="BM897" s="6"/>
      <c r="BN897" s="6"/>
      <c r="BO897" s="6"/>
      <c r="BP897" s="6"/>
      <c r="BQ897" s="6"/>
    </row>
    <row r="898" spans="2:69" hidden="1" x14ac:dyDescent="0.2">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M898" s="6"/>
      <c r="AN898" s="6"/>
      <c r="AO898" s="6"/>
      <c r="AP898" s="6"/>
      <c r="AQ898" s="6"/>
      <c r="AR898" s="6"/>
      <c r="AS898" s="6"/>
      <c r="AT898" s="6"/>
      <c r="AU898" s="6"/>
      <c r="AV898" s="6"/>
      <c r="AW898" s="6"/>
      <c r="AX898" s="6"/>
      <c r="AY898" s="6"/>
      <c r="AZ898" s="6"/>
      <c r="BA898" s="6"/>
      <c r="BB898" s="6"/>
      <c r="BC898" s="6"/>
      <c r="BD898" s="6"/>
      <c r="BE898" s="6"/>
      <c r="BF898" s="6"/>
      <c r="BG898" s="6"/>
      <c r="BH898" s="6"/>
      <c r="BI898" s="6"/>
      <c r="BJ898" s="6"/>
      <c r="BK898" s="6"/>
      <c r="BL898" s="6"/>
      <c r="BM898" s="6"/>
      <c r="BN898" s="6"/>
      <c r="BO898" s="6"/>
      <c r="BP898" s="6"/>
      <c r="BQ898" s="6"/>
    </row>
    <row r="899" spans="2:69" hidden="1" x14ac:dyDescent="0.2">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M899" s="6"/>
      <c r="AN899" s="6"/>
      <c r="AO899" s="6"/>
      <c r="AP899" s="6"/>
      <c r="AQ899" s="6"/>
      <c r="AR899" s="6"/>
      <c r="AS899" s="6"/>
      <c r="AT899" s="6"/>
      <c r="AU899" s="6"/>
      <c r="AV899" s="6"/>
      <c r="AW899" s="6"/>
      <c r="AX899" s="6"/>
      <c r="AY899" s="6"/>
      <c r="AZ899" s="6"/>
      <c r="BA899" s="6"/>
      <c r="BB899" s="6"/>
      <c r="BC899" s="6"/>
      <c r="BD899" s="6"/>
      <c r="BE899" s="6"/>
      <c r="BF899" s="6"/>
      <c r="BG899" s="6"/>
      <c r="BH899" s="6"/>
      <c r="BI899" s="6"/>
      <c r="BJ899" s="6"/>
      <c r="BK899" s="6"/>
      <c r="BL899" s="6"/>
      <c r="BM899" s="6"/>
      <c r="BN899" s="6"/>
      <c r="BO899" s="6"/>
      <c r="BP899" s="6"/>
      <c r="BQ899" s="6"/>
    </row>
    <row r="900" spans="2:69" hidden="1" x14ac:dyDescent="0.2">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M900" s="6"/>
      <c r="AN900" s="6"/>
      <c r="AO900" s="6"/>
      <c r="AP900" s="6"/>
      <c r="AQ900" s="6"/>
      <c r="AR900" s="6"/>
      <c r="AS900" s="6"/>
      <c r="AT900" s="6"/>
      <c r="AU900" s="6"/>
      <c r="AV900" s="6"/>
      <c r="AW900" s="6"/>
      <c r="AX900" s="6"/>
      <c r="AY900" s="6"/>
      <c r="AZ900" s="6"/>
      <c r="BA900" s="6"/>
      <c r="BB900" s="6"/>
      <c r="BC900" s="6"/>
      <c r="BD900" s="6"/>
      <c r="BE900" s="6"/>
      <c r="BF900" s="6"/>
      <c r="BG900" s="6"/>
      <c r="BH900" s="6"/>
      <c r="BI900" s="6"/>
      <c r="BJ900" s="6"/>
      <c r="BK900" s="6"/>
      <c r="BL900" s="6"/>
      <c r="BM900" s="6"/>
      <c r="BN900" s="6"/>
      <c r="BO900" s="6"/>
      <c r="BP900" s="6"/>
      <c r="BQ900" s="6"/>
    </row>
    <row r="901" spans="2:69" hidden="1" x14ac:dyDescent="0.2">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M901" s="6"/>
      <c r="AN901" s="6"/>
      <c r="AO901" s="6"/>
      <c r="AP901" s="6"/>
      <c r="AQ901" s="6"/>
      <c r="AR901" s="6"/>
      <c r="AS901" s="6"/>
      <c r="AT901" s="6"/>
      <c r="AU901" s="6"/>
      <c r="AV901" s="6"/>
      <c r="AW901" s="6"/>
      <c r="AX901" s="6"/>
      <c r="AY901" s="6"/>
      <c r="AZ901" s="6"/>
      <c r="BA901" s="6"/>
      <c r="BB901" s="6"/>
      <c r="BC901" s="6"/>
      <c r="BD901" s="6"/>
      <c r="BE901" s="6"/>
      <c r="BF901" s="6"/>
      <c r="BG901" s="6"/>
      <c r="BH901" s="6"/>
      <c r="BI901" s="6"/>
      <c r="BJ901" s="6"/>
      <c r="BK901" s="6"/>
      <c r="BL901" s="6"/>
      <c r="BM901" s="6"/>
      <c r="BN901" s="6"/>
      <c r="BO901" s="6"/>
      <c r="BP901" s="6"/>
      <c r="BQ901" s="6"/>
    </row>
    <row r="902" spans="2:69" hidden="1" x14ac:dyDescent="0.2">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M902" s="6"/>
      <c r="AN902" s="6"/>
      <c r="AO902" s="6"/>
      <c r="AP902" s="6"/>
      <c r="AQ902" s="6"/>
      <c r="AR902" s="6"/>
      <c r="AS902" s="6"/>
      <c r="AT902" s="6"/>
      <c r="AU902" s="6"/>
      <c r="AV902" s="6"/>
      <c r="AW902" s="6"/>
      <c r="AX902" s="6"/>
      <c r="AY902" s="6"/>
      <c r="AZ902" s="6"/>
      <c r="BA902" s="6"/>
      <c r="BB902" s="6"/>
      <c r="BC902" s="6"/>
      <c r="BD902" s="6"/>
      <c r="BE902" s="6"/>
      <c r="BF902" s="6"/>
      <c r="BG902" s="6"/>
      <c r="BH902" s="6"/>
      <c r="BI902" s="6"/>
      <c r="BJ902" s="6"/>
      <c r="BK902" s="6"/>
      <c r="BL902" s="6"/>
      <c r="BM902" s="6"/>
      <c r="BN902" s="6"/>
      <c r="BO902" s="6"/>
      <c r="BP902" s="6"/>
      <c r="BQ902" s="6"/>
    </row>
    <row r="903" spans="2:69" hidden="1" x14ac:dyDescent="0.2">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M903" s="6"/>
      <c r="AN903" s="6"/>
      <c r="AO903" s="6"/>
      <c r="AP903" s="6"/>
      <c r="AQ903" s="6"/>
      <c r="AR903" s="6"/>
      <c r="AS903" s="6"/>
      <c r="AT903" s="6"/>
      <c r="AU903" s="6"/>
      <c r="AV903" s="6"/>
      <c r="AW903" s="6"/>
      <c r="AX903" s="6"/>
      <c r="AY903" s="6"/>
      <c r="AZ903" s="6"/>
      <c r="BA903" s="6"/>
      <c r="BB903" s="6"/>
      <c r="BC903" s="6"/>
      <c r="BD903" s="6"/>
      <c r="BE903" s="6"/>
      <c r="BF903" s="6"/>
      <c r="BG903" s="6"/>
      <c r="BH903" s="6"/>
      <c r="BI903" s="6"/>
      <c r="BJ903" s="6"/>
      <c r="BK903" s="6"/>
      <c r="BL903" s="6"/>
      <c r="BM903" s="6"/>
      <c r="BN903" s="6"/>
      <c r="BO903" s="6"/>
      <c r="BP903" s="6"/>
      <c r="BQ903" s="6"/>
    </row>
    <row r="904" spans="2:69" hidden="1" x14ac:dyDescent="0.2">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M904" s="6"/>
      <c r="AN904" s="6"/>
      <c r="AO904" s="6"/>
      <c r="AP904" s="6"/>
      <c r="AQ904" s="6"/>
      <c r="AR904" s="6"/>
      <c r="AS904" s="6"/>
      <c r="AT904" s="6"/>
      <c r="AU904" s="6"/>
      <c r="AV904" s="6"/>
      <c r="AW904" s="6"/>
      <c r="AX904" s="6"/>
      <c r="AY904" s="6"/>
      <c r="AZ904" s="6"/>
      <c r="BA904" s="6"/>
      <c r="BB904" s="6"/>
      <c r="BC904" s="6"/>
      <c r="BD904" s="6"/>
      <c r="BE904" s="6"/>
      <c r="BF904" s="6"/>
      <c r="BG904" s="6"/>
      <c r="BH904" s="6"/>
      <c r="BI904" s="6"/>
      <c r="BJ904" s="6"/>
      <c r="BK904" s="6"/>
      <c r="BL904" s="6"/>
      <c r="BM904" s="6"/>
      <c r="BN904" s="6"/>
      <c r="BO904" s="6"/>
      <c r="BP904" s="6"/>
      <c r="BQ904" s="6"/>
    </row>
    <row r="905" spans="2:69" hidden="1" x14ac:dyDescent="0.2">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M905" s="6"/>
      <c r="AN905" s="6"/>
      <c r="AO905" s="6"/>
      <c r="AP905" s="6"/>
      <c r="AQ905" s="6"/>
      <c r="AR905" s="6"/>
      <c r="AS905" s="6"/>
      <c r="AT905" s="6"/>
      <c r="AU905" s="6"/>
      <c r="AV905" s="6"/>
      <c r="AW905" s="6"/>
      <c r="AX905" s="6"/>
      <c r="AY905" s="6"/>
      <c r="AZ905" s="6"/>
      <c r="BA905" s="6"/>
      <c r="BB905" s="6"/>
      <c r="BC905" s="6"/>
      <c r="BD905" s="6"/>
      <c r="BE905" s="6"/>
      <c r="BF905" s="6"/>
      <c r="BG905" s="6"/>
      <c r="BH905" s="6"/>
      <c r="BI905" s="6"/>
      <c r="BJ905" s="6"/>
      <c r="BK905" s="6"/>
      <c r="BL905" s="6"/>
      <c r="BM905" s="6"/>
      <c r="BN905" s="6"/>
      <c r="BO905" s="6"/>
      <c r="BP905" s="6"/>
      <c r="BQ905" s="6"/>
    </row>
    <row r="906" spans="2:69" hidden="1" x14ac:dyDescent="0.2">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M906" s="6"/>
      <c r="AN906" s="6"/>
      <c r="AO906" s="6"/>
      <c r="AP906" s="6"/>
      <c r="AQ906" s="6"/>
      <c r="AR906" s="6"/>
      <c r="AS906" s="6"/>
      <c r="AT906" s="6"/>
      <c r="AU906" s="6"/>
      <c r="AV906" s="6"/>
      <c r="AW906" s="6"/>
      <c r="AX906" s="6"/>
      <c r="AY906" s="6"/>
      <c r="AZ906" s="6"/>
      <c r="BA906" s="6"/>
      <c r="BB906" s="6"/>
      <c r="BC906" s="6"/>
      <c r="BD906" s="6"/>
      <c r="BE906" s="6"/>
      <c r="BF906" s="6"/>
      <c r="BG906" s="6"/>
      <c r="BH906" s="6"/>
      <c r="BI906" s="6"/>
      <c r="BJ906" s="6"/>
      <c r="BK906" s="6"/>
      <c r="BL906" s="6"/>
      <c r="BM906" s="6"/>
      <c r="BN906" s="6"/>
      <c r="BO906" s="6"/>
      <c r="BP906" s="6"/>
      <c r="BQ906" s="6"/>
    </row>
    <row r="907" spans="2:69" hidden="1" x14ac:dyDescent="0.2">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M907" s="6"/>
      <c r="AN907" s="6"/>
      <c r="AO907" s="6"/>
      <c r="AP907" s="6"/>
      <c r="AQ907" s="6"/>
      <c r="AR907" s="6"/>
      <c r="AS907" s="6"/>
      <c r="AT907" s="6"/>
      <c r="AU907" s="6"/>
      <c r="AV907" s="6"/>
      <c r="AW907" s="6"/>
      <c r="AX907" s="6"/>
      <c r="AY907" s="6"/>
      <c r="AZ907" s="6"/>
      <c r="BA907" s="6"/>
      <c r="BB907" s="6"/>
      <c r="BC907" s="6"/>
      <c r="BD907" s="6"/>
      <c r="BE907" s="6"/>
      <c r="BF907" s="6"/>
      <c r="BG907" s="6"/>
      <c r="BH907" s="6"/>
      <c r="BI907" s="6"/>
      <c r="BJ907" s="6"/>
      <c r="BK907" s="6"/>
      <c r="BL907" s="6"/>
      <c r="BM907" s="6"/>
      <c r="BN907" s="6"/>
      <c r="BO907" s="6"/>
      <c r="BP907" s="6"/>
      <c r="BQ907" s="6"/>
    </row>
    <row r="908" spans="2:69" hidden="1" x14ac:dyDescent="0.2">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c r="AM908" s="6"/>
      <c r="AN908" s="6"/>
      <c r="AO908" s="6"/>
      <c r="AP908" s="6"/>
      <c r="AQ908" s="6"/>
      <c r="AR908" s="6"/>
      <c r="AS908" s="6"/>
      <c r="AT908" s="6"/>
      <c r="AU908" s="6"/>
      <c r="AV908" s="6"/>
      <c r="AW908" s="6"/>
      <c r="AX908" s="6"/>
      <c r="AY908" s="6"/>
      <c r="AZ908" s="6"/>
      <c r="BA908" s="6"/>
      <c r="BB908" s="6"/>
      <c r="BC908" s="6"/>
      <c r="BD908" s="6"/>
      <c r="BE908" s="6"/>
      <c r="BF908" s="6"/>
      <c r="BG908" s="6"/>
      <c r="BH908" s="6"/>
      <c r="BI908" s="6"/>
      <c r="BJ908" s="6"/>
      <c r="BK908" s="6"/>
      <c r="BL908" s="6"/>
      <c r="BM908" s="6"/>
      <c r="BN908" s="6"/>
      <c r="BO908" s="6"/>
      <c r="BP908" s="6"/>
      <c r="BQ908" s="6"/>
    </row>
    <row r="909" spans="2:69" hidden="1" x14ac:dyDescent="0.2">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c r="AM909" s="6"/>
      <c r="AN909" s="6"/>
      <c r="AO909" s="6"/>
      <c r="AP909" s="6"/>
      <c r="AQ909" s="6"/>
      <c r="AR909" s="6"/>
      <c r="AS909" s="6"/>
      <c r="AT909" s="6"/>
      <c r="AU909" s="6"/>
      <c r="AV909" s="6"/>
      <c r="AW909" s="6"/>
      <c r="AX909" s="6"/>
      <c r="AY909" s="6"/>
      <c r="AZ909" s="6"/>
      <c r="BA909" s="6"/>
      <c r="BB909" s="6"/>
      <c r="BC909" s="6"/>
      <c r="BD909" s="6"/>
      <c r="BE909" s="6"/>
      <c r="BF909" s="6"/>
      <c r="BG909" s="6"/>
      <c r="BH909" s="6"/>
      <c r="BI909" s="6"/>
      <c r="BJ909" s="6"/>
      <c r="BK909" s="6"/>
      <c r="BL909" s="6"/>
      <c r="BM909" s="6"/>
      <c r="BN909" s="6"/>
      <c r="BO909" s="6"/>
      <c r="BP909" s="6"/>
      <c r="BQ909" s="6"/>
    </row>
    <row r="910" spans="2:69" hidden="1" x14ac:dyDescent="0.2">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c r="AM910" s="6"/>
      <c r="AN910" s="6"/>
      <c r="AO910" s="6"/>
      <c r="AP910" s="6"/>
      <c r="AQ910" s="6"/>
      <c r="AR910" s="6"/>
      <c r="AS910" s="6"/>
      <c r="AT910" s="6"/>
      <c r="AU910" s="6"/>
      <c r="AV910" s="6"/>
      <c r="AW910" s="6"/>
      <c r="AX910" s="6"/>
      <c r="AY910" s="6"/>
      <c r="AZ910" s="6"/>
      <c r="BA910" s="6"/>
      <c r="BB910" s="6"/>
      <c r="BC910" s="6"/>
      <c r="BD910" s="6"/>
      <c r="BE910" s="6"/>
      <c r="BF910" s="6"/>
      <c r="BG910" s="6"/>
      <c r="BH910" s="6"/>
      <c r="BI910" s="6"/>
      <c r="BJ910" s="6"/>
      <c r="BK910" s="6"/>
      <c r="BL910" s="6"/>
      <c r="BM910" s="6"/>
      <c r="BN910" s="6"/>
      <c r="BO910" s="6"/>
      <c r="BP910" s="6"/>
      <c r="BQ910" s="6"/>
    </row>
    <row r="911" spans="2:69" hidden="1" x14ac:dyDescent="0.2">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c r="AM911" s="6"/>
      <c r="AN911" s="6"/>
      <c r="AO911" s="6"/>
      <c r="AP911" s="6"/>
      <c r="AQ911" s="6"/>
      <c r="AR911" s="6"/>
      <c r="AS911" s="6"/>
      <c r="AT911" s="6"/>
      <c r="AU911" s="6"/>
      <c r="AV911" s="6"/>
      <c r="AW911" s="6"/>
      <c r="AX911" s="6"/>
      <c r="AY911" s="6"/>
      <c r="AZ911" s="6"/>
      <c r="BA911" s="6"/>
      <c r="BB911" s="6"/>
      <c r="BC911" s="6"/>
      <c r="BD911" s="6"/>
      <c r="BE911" s="6"/>
      <c r="BF911" s="6"/>
      <c r="BG911" s="6"/>
      <c r="BH911" s="6"/>
      <c r="BI911" s="6"/>
      <c r="BJ911" s="6"/>
      <c r="BK911" s="6"/>
      <c r="BL911" s="6"/>
      <c r="BM911" s="6"/>
      <c r="BN911" s="6"/>
      <c r="BO911" s="6"/>
      <c r="BP911" s="6"/>
      <c r="BQ911" s="6"/>
    </row>
    <row r="912" spans="2:69" hidden="1" x14ac:dyDescent="0.2">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M912" s="6"/>
      <c r="AN912" s="6"/>
      <c r="AO912" s="6"/>
      <c r="AP912" s="6"/>
      <c r="AQ912" s="6"/>
      <c r="AR912" s="6"/>
      <c r="AS912" s="6"/>
      <c r="AT912" s="6"/>
      <c r="AU912" s="6"/>
      <c r="AV912" s="6"/>
      <c r="AW912" s="6"/>
      <c r="AX912" s="6"/>
      <c r="AY912" s="6"/>
      <c r="AZ912" s="6"/>
      <c r="BA912" s="6"/>
      <c r="BB912" s="6"/>
      <c r="BC912" s="6"/>
      <c r="BD912" s="6"/>
      <c r="BE912" s="6"/>
      <c r="BF912" s="6"/>
      <c r="BG912" s="6"/>
      <c r="BH912" s="6"/>
      <c r="BI912" s="6"/>
      <c r="BJ912" s="6"/>
      <c r="BK912" s="6"/>
      <c r="BL912" s="6"/>
      <c r="BM912" s="6"/>
      <c r="BN912" s="6"/>
      <c r="BO912" s="6"/>
      <c r="BP912" s="6"/>
      <c r="BQ912" s="6"/>
    </row>
    <row r="913" spans="2:69" hidden="1" x14ac:dyDescent="0.2">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M913" s="6"/>
      <c r="AN913" s="6"/>
      <c r="AO913" s="6"/>
      <c r="AP913" s="6"/>
      <c r="AQ913" s="6"/>
      <c r="AR913" s="6"/>
      <c r="AS913" s="6"/>
      <c r="AT913" s="6"/>
      <c r="AU913" s="6"/>
      <c r="AV913" s="6"/>
      <c r="AW913" s="6"/>
      <c r="AX913" s="6"/>
      <c r="AY913" s="6"/>
      <c r="AZ913" s="6"/>
      <c r="BA913" s="6"/>
      <c r="BB913" s="6"/>
      <c r="BC913" s="6"/>
      <c r="BD913" s="6"/>
      <c r="BE913" s="6"/>
      <c r="BF913" s="6"/>
      <c r="BG913" s="6"/>
      <c r="BH913" s="6"/>
      <c r="BI913" s="6"/>
      <c r="BJ913" s="6"/>
      <c r="BK913" s="6"/>
      <c r="BL913" s="6"/>
      <c r="BM913" s="6"/>
      <c r="BN913" s="6"/>
      <c r="BO913" s="6"/>
      <c r="BP913" s="6"/>
      <c r="BQ913" s="6"/>
    </row>
    <row r="914" spans="2:69" hidden="1" x14ac:dyDescent="0.2">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M914" s="6"/>
      <c r="AN914" s="6"/>
      <c r="AO914" s="6"/>
      <c r="AP914" s="6"/>
      <c r="AQ914" s="6"/>
      <c r="AR914" s="6"/>
      <c r="AS914" s="6"/>
      <c r="AT914" s="6"/>
      <c r="AU914" s="6"/>
      <c r="AV914" s="6"/>
      <c r="AW914" s="6"/>
      <c r="AX914" s="6"/>
      <c r="AY914" s="6"/>
      <c r="AZ914" s="6"/>
      <c r="BA914" s="6"/>
      <c r="BB914" s="6"/>
      <c r="BC914" s="6"/>
      <c r="BD914" s="6"/>
      <c r="BE914" s="6"/>
      <c r="BF914" s="6"/>
      <c r="BG914" s="6"/>
      <c r="BH914" s="6"/>
      <c r="BI914" s="6"/>
      <c r="BJ914" s="6"/>
      <c r="BK914" s="6"/>
      <c r="BL914" s="6"/>
      <c r="BM914" s="6"/>
      <c r="BN914" s="6"/>
      <c r="BO914" s="6"/>
      <c r="BP914" s="6"/>
      <c r="BQ914" s="6"/>
    </row>
    <row r="915" spans="2:69" hidden="1" x14ac:dyDescent="0.2">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M915" s="6"/>
      <c r="AN915" s="6"/>
      <c r="AO915" s="6"/>
      <c r="AP915" s="6"/>
      <c r="AQ915" s="6"/>
      <c r="AR915" s="6"/>
      <c r="AS915" s="6"/>
      <c r="AT915" s="6"/>
      <c r="AU915" s="6"/>
      <c r="AV915" s="6"/>
      <c r="AW915" s="6"/>
      <c r="AX915" s="6"/>
      <c r="AY915" s="6"/>
      <c r="AZ915" s="6"/>
      <c r="BA915" s="6"/>
      <c r="BB915" s="6"/>
      <c r="BC915" s="6"/>
      <c r="BD915" s="6"/>
      <c r="BE915" s="6"/>
      <c r="BF915" s="6"/>
      <c r="BG915" s="6"/>
      <c r="BH915" s="6"/>
      <c r="BI915" s="6"/>
      <c r="BJ915" s="6"/>
      <c r="BK915" s="6"/>
      <c r="BL915" s="6"/>
      <c r="BM915" s="6"/>
      <c r="BN915" s="6"/>
      <c r="BO915" s="6"/>
      <c r="BP915" s="6"/>
      <c r="BQ915" s="6"/>
    </row>
    <row r="916" spans="2:69" hidden="1" x14ac:dyDescent="0.2">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c r="AM916" s="6"/>
      <c r="AN916" s="6"/>
      <c r="AO916" s="6"/>
      <c r="AP916" s="6"/>
      <c r="AQ916" s="6"/>
      <c r="AR916" s="6"/>
      <c r="AS916" s="6"/>
      <c r="AT916" s="6"/>
      <c r="AU916" s="6"/>
      <c r="AV916" s="6"/>
      <c r="AW916" s="6"/>
      <c r="AX916" s="6"/>
      <c r="AY916" s="6"/>
      <c r="AZ916" s="6"/>
      <c r="BA916" s="6"/>
      <c r="BB916" s="6"/>
      <c r="BC916" s="6"/>
      <c r="BD916" s="6"/>
      <c r="BE916" s="6"/>
      <c r="BF916" s="6"/>
      <c r="BG916" s="6"/>
      <c r="BH916" s="6"/>
      <c r="BI916" s="6"/>
      <c r="BJ916" s="6"/>
      <c r="BK916" s="6"/>
      <c r="BL916" s="6"/>
      <c r="BM916" s="6"/>
      <c r="BN916" s="6"/>
      <c r="BO916" s="6"/>
      <c r="BP916" s="6"/>
      <c r="BQ916" s="6"/>
    </row>
    <row r="917" spans="2:69" hidden="1" x14ac:dyDescent="0.2">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c r="AM917" s="6"/>
      <c r="AN917" s="6"/>
      <c r="AO917" s="6"/>
      <c r="AP917" s="6"/>
      <c r="AQ917" s="6"/>
      <c r="AR917" s="6"/>
      <c r="AS917" s="6"/>
      <c r="AT917" s="6"/>
      <c r="AU917" s="6"/>
      <c r="AV917" s="6"/>
      <c r="AW917" s="6"/>
      <c r="AX917" s="6"/>
      <c r="AY917" s="6"/>
      <c r="AZ917" s="6"/>
      <c r="BA917" s="6"/>
      <c r="BB917" s="6"/>
      <c r="BC917" s="6"/>
      <c r="BD917" s="6"/>
      <c r="BE917" s="6"/>
      <c r="BF917" s="6"/>
      <c r="BG917" s="6"/>
      <c r="BH917" s="6"/>
      <c r="BI917" s="6"/>
      <c r="BJ917" s="6"/>
      <c r="BK917" s="6"/>
      <c r="BL917" s="6"/>
      <c r="BM917" s="6"/>
      <c r="BN917" s="6"/>
      <c r="BO917" s="6"/>
      <c r="BP917" s="6"/>
      <c r="BQ917" s="6"/>
    </row>
    <row r="918" spans="2:69" hidden="1" x14ac:dyDescent="0.2">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c r="AM918" s="6"/>
      <c r="AN918" s="6"/>
      <c r="AO918" s="6"/>
      <c r="AP918" s="6"/>
      <c r="AQ918" s="6"/>
      <c r="AR918" s="6"/>
      <c r="AS918" s="6"/>
      <c r="AT918" s="6"/>
      <c r="AU918" s="6"/>
      <c r="AV918" s="6"/>
      <c r="AW918" s="6"/>
      <c r="AX918" s="6"/>
      <c r="AY918" s="6"/>
      <c r="AZ918" s="6"/>
      <c r="BA918" s="6"/>
      <c r="BB918" s="6"/>
      <c r="BC918" s="6"/>
      <c r="BD918" s="6"/>
      <c r="BE918" s="6"/>
      <c r="BF918" s="6"/>
      <c r="BG918" s="6"/>
      <c r="BH918" s="6"/>
      <c r="BI918" s="6"/>
      <c r="BJ918" s="6"/>
      <c r="BK918" s="6"/>
      <c r="BL918" s="6"/>
      <c r="BM918" s="6"/>
      <c r="BN918" s="6"/>
      <c r="BO918" s="6"/>
      <c r="BP918" s="6"/>
      <c r="BQ918" s="6"/>
    </row>
    <row r="919" spans="2:69" hidden="1" x14ac:dyDescent="0.2">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c r="AM919" s="6"/>
      <c r="AN919" s="6"/>
      <c r="AO919" s="6"/>
      <c r="AP919" s="6"/>
      <c r="AQ919" s="6"/>
      <c r="AR919" s="6"/>
      <c r="AS919" s="6"/>
      <c r="AT919" s="6"/>
      <c r="AU919" s="6"/>
      <c r="AV919" s="6"/>
      <c r="AW919" s="6"/>
      <c r="AX919" s="6"/>
      <c r="AY919" s="6"/>
      <c r="AZ919" s="6"/>
      <c r="BA919" s="6"/>
      <c r="BB919" s="6"/>
      <c r="BC919" s="6"/>
      <c r="BD919" s="6"/>
      <c r="BE919" s="6"/>
      <c r="BF919" s="6"/>
      <c r="BG919" s="6"/>
      <c r="BH919" s="6"/>
      <c r="BI919" s="6"/>
      <c r="BJ919" s="6"/>
      <c r="BK919" s="6"/>
      <c r="BL919" s="6"/>
      <c r="BM919" s="6"/>
      <c r="BN919" s="6"/>
      <c r="BO919" s="6"/>
      <c r="BP919" s="6"/>
      <c r="BQ919" s="6"/>
    </row>
    <row r="920" spans="2:69" hidden="1" x14ac:dyDescent="0.2">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c r="AM920" s="6"/>
      <c r="AN920" s="6"/>
      <c r="AO920" s="6"/>
      <c r="AP920" s="6"/>
      <c r="AQ920" s="6"/>
      <c r="AR920" s="6"/>
      <c r="AS920" s="6"/>
      <c r="AT920" s="6"/>
      <c r="AU920" s="6"/>
      <c r="AV920" s="6"/>
      <c r="AW920" s="6"/>
      <c r="AX920" s="6"/>
      <c r="AY920" s="6"/>
      <c r="AZ920" s="6"/>
      <c r="BA920" s="6"/>
      <c r="BB920" s="6"/>
      <c r="BC920" s="6"/>
      <c r="BD920" s="6"/>
      <c r="BE920" s="6"/>
      <c r="BF920" s="6"/>
      <c r="BG920" s="6"/>
      <c r="BH920" s="6"/>
      <c r="BI920" s="6"/>
      <c r="BJ920" s="6"/>
      <c r="BK920" s="6"/>
      <c r="BL920" s="6"/>
      <c r="BM920" s="6"/>
      <c r="BN920" s="6"/>
      <c r="BO920" s="6"/>
      <c r="BP920" s="6"/>
      <c r="BQ920" s="6"/>
    </row>
    <row r="921" spans="2:69" hidden="1" x14ac:dyDescent="0.2">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c r="AM921" s="6"/>
      <c r="AN921" s="6"/>
      <c r="AO921" s="6"/>
      <c r="AP921" s="6"/>
      <c r="AQ921" s="6"/>
      <c r="AR921" s="6"/>
      <c r="AS921" s="6"/>
      <c r="AT921" s="6"/>
      <c r="AU921" s="6"/>
      <c r="AV921" s="6"/>
      <c r="AW921" s="6"/>
      <c r="AX921" s="6"/>
      <c r="AY921" s="6"/>
      <c r="AZ921" s="6"/>
      <c r="BA921" s="6"/>
      <c r="BB921" s="6"/>
      <c r="BC921" s="6"/>
      <c r="BD921" s="6"/>
      <c r="BE921" s="6"/>
      <c r="BF921" s="6"/>
      <c r="BG921" s="6"/>
      <c r="BH921" s="6"/>
      <c r="BI921" s="6"/>
      <c r="BJ921" s="6"/>
      <c r="BK921" s="6"/>
      <c r="BL921" s="6"/>
      <c r="BM921" s="6"/>
      <c r="BN921" s="6"/>
      <c r="BO921" s="6"/>
      <c r="BP921" s="6"/>
      <c r="BQ921" s="6"/>
    </row>
    <row r="922" spans="2:69" hidden="1" x14ac:dyDescent="0.2">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c r="AM922" s="6"/>
      <c r="AN922" s="6"/>
      <c r="AO922" s="6"/>
      <c r="AP922" s="6"/>
      <c r="AQ922" s="6"/>
      <c r="AR922" s="6"/>
      <c r="AS922" s="6"/>
      <c r="AT922" s="6"/>
      <c r="AU922" s="6"/>
      <c r="AV922" s="6"/>
      <c r="AW922" s="6"/>
      <c r="AX922" s="6"/>
      <c r="AY922" s="6"/>
      <c r="AZ922" s="6"/>
      <c r="BA922" s="6"/>
      <c r="BB922" s="6"/>
      <c r="BC922" s="6"/>
      <c r="BD922" s="6"/>
      <c r="BE922" s="6"/>
      <c r="BF922" s="6"/>
      <c r="BG922" s="6"/>
      <c r="BH922" s="6"/>
      <c r="BI922" s="6"/>
      <c r="BJ922" s="6"/>
      <c r="BK922" s="6"/>
      <c r="BL922" s="6"/>
      <c r="BM922" s="6"/>
      <c r="BN922" s="6"/>
      <c r="BO922" s="6"/>
      <c r="BP922" s="6"/>
      <c r="BQ922" s="6"/>
    </row>
    <row r="923" spans="2:69" hidden="1" x14ac:dyDescent="0.2">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c r="AM923" s="6"/>
      <c r="AN923" s="6"/>
      <c r="AO923" s="6"/>
      <c r="AP923" s="6"/>
      <c r="AQ923" s="6"/>
      <c r="AR923" s="6"/>
      <c r="AS923" s="6"/>
      <c r="AT923" s="6"/>
      <c r="AU923" s="6"/>
      <c r="AV923" s="6"/>
      <c r="AW923" s="6"/>
      <c r="AX923" s="6"/>
      <c r="AY923" s="6"/>
      <c r="AZ923" s="6"/>
      <c r="BA923" s="6"/>
      <c r="BB923" s="6"/>
      <c r="BC923" s="6"/>
      <c r="BD923" s="6"/>
      <c r="BE923" s="6"/>
      <c r="BF923" s="6"/>
      <c r="BG923" s="6"/>
      <c r="BH923" s="6"/>
      <c r="BI923" s="6"/>
      <c r="BJ923" s="6"/>
      <c r="BK923" s="6"/>
      <c r="BL923" s="6"/>
      <c r="BM923" s="6"/>
      <c r="BN923" s="6"/>
      <c r="BO923" s="6"/>
      <c r="BP923" s="6"/>
      <c r="BQ923" s="6"/>
    </row>
    <row r="924" spans="2:69" hidden="1" x14ac:dyDescent="0.2">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c r="AM924" s="6"/>
      <c r="AN924" s="6"/>
      <c r="AO924" s="6"/>
      <c r="AP924" s="6"/>
      <c r="AQ924" s="6"/>
      <c r="AR924" s="6"/>
      <c r="AS924" s="6"/>
      <c r="AT924" s="6"/>
      <c r="AU924" s="6"/>
      <c r="AV924" s="6"/>
      <c r="AW924" s="6"/>
      <c r="AX924" s="6"/>
      <c r="AY924" s="6"/>
      <c r="AZ924" s="6"/>
      <c r="BA924" s="6"/>
      <c r="BB924" s="6"/>
      <c r="BC924" s="6"/>
      <c r="BD924" s="6"/>
      <c r="BE924" s="6"/>
      <c r="BF924" s="6"/>
      <c r="BG924" s="6"/>
      <c r="BH924" s="6"/>
      <c r="BI924" s="6"/>
      <c r="BJ924" s="6"/>
      <c r="BK924" s="6"/>
      <c r="BL924" s="6"/>
      <c r="BM924" s="6"/>
      <c r="BN924" s="6"/>
      <c r="BO924" s="6"/>
      <c r="BP924" s="6"/>
      <c r="BQ924" s="6"/>
    </row>
    <row r="925" spans="2:69" hidden="1" x14ac:dyDescent="0.2">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c r="AM925" s="6"/>
      <c r="AN925" s="6"/>
      <c r="AO925" s="6"/>
      <c r="AP925" s="6"/>
      <c r="AQ925" s="6"/>
      <c r="AR925" s="6"/>
      <c r="AS925" s="6"/>
      <c r="AT925" s="6"/>
      <c r="AU925" s="6"/>
      <c r="AV925" s="6"/>
      <c r="AW925" s="6"/>
      <c r="AX925" s="6"/>
      <c r="AY925" s="6"/>
      <c r="AZ925" s="6"/>
      <c r="BA925" s="6"/>
      <c r="BB925" s="6"/>
      <c r="BC925" s="6"/>
      <c r="BD925" s="6"/>
      <c r="BE925" s="6"/>
      <c r="BF925" s="6"/>
      <c r="BG925" s="6"/>
      <c r="BH925" s="6"/>
      <c r="BI925" s="6"/>
      <c r="BJ925" s="6"/>
      <c r="BK925" s="6"/>
      <c r="BL925" s="6"/>
      <c r="BM925" s="6"/>
      <c r="BN925" s="6"/>
      <c r="BO925" s="6"/>
      <c r="BP925" s="6"/>
      <c r="BQ925" s="6"/>
    </row>
    <row r="926" spans="2:69" hidden="1" x14ac:dyDescent="0.2">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c r="AM926" s="6"/>
      <c r="AN926" s="6"/>
      <c r="AO926" s="6"/>
      <c r="AP926" s="6"/>
      <c r="AQ926" s="6"/>
      <c r="AR926" s="6"/>
      <c r="AS926" s="6"/>
      <c r="AT926" s="6"/>
      <c r="AU926" s="6"/>
      <c r="AV926" s="6"/>
      <c r="AW926" s="6"/>
      <c r="AX926" s="6"/>
      <c r="AY926" s="6"/>
      <c r="AZ926" s="6"/>
      <c r="BA926" s="6"/>
      <c r="BB926" s="6"/>
      <c r="BC926" s="6"/>
      <c r="BD926" s="6"/>
      <c r="BE926" s="6"/>
      <c r="BF926" s="6"/>
      <c r="BG926" s="6"/>
      <c r="BH926" s="6"/>
      <c r="BI926" s="6"/>
      <c r="BJ926" s="6"/>
      <c r="BK926" s="6"/>
      <c r="BL926" s="6"/>
      <c r="BM926" s="6"/>
      <c r="BN926" s="6"/>
      <c r="BO926" s="6"/>
      <c r="BP926" s="6"/>
      <c r="BQ926" s="6"/>
    </row>
    <row r="927" spans="2:69" hidden="1" x14ac:dyDescent="0.2">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c r="AM927" s="6"/>
      <c r="AN927" s="6"/>
      <c r="AO927" s="6"/>
      <c r="AP927" s="6"/>
      <c r="AQ927" s="6"/>
      <c r="AR927" s="6"/>
      <c r="AS927" s="6"/>
      <c r="AT927" s="6"/>
      <c r="AU927" s="6"/>
      <c r="AV927" s="6"/>
      <c r="AW927" s="6"/>
      <c r="AX927" s="6"/>
      <c r="AY927" s="6"/>
      <c r="AZ927" s="6"/>
      <c r="BA927" s="6"/>
      <c r="BB927" s="6"/>
      <c r="BC927" s="6"/>
      <c r="BD927" s="6"/>
      <c r="BE927" s="6"/>
      <c r="BF927" s="6"/>
      <c r="BG927" s="6"/>
      <c r="BH927" s="6"/>
      <c r="BI927" s="6"/>
      <c r="BJ927" s="6"/>
      <c r="BK927" s="6"/>
      <c r="BL927" s="6"/>
      <c r="BM927" s="6"/>
      <c r="BN927" s="6"/>
      <c r="BO927" s="6"/>
      <c r="BP927" s="6"/>
      <c r="BQ927" s="6"/>
    </row>
    <row r="928" spans="2:69" hidden="1" x14ac:dyDescent="0.2">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c r="AM928" s="6"/>
      <c r="AN928" s="6"/>
      <c r="AO928" s="6"/>
      <c r="AP928" s="6"/>
      <c r="AQ928" s="6"/>
      <c r="AR928" s="6"/>
      <c r="AS928" s="6"/>
      <c r="AT928" s="6"/>
      <c r="AU928" s="6"/>
      <c r="AV928" s="6"/>
      <c r="AW928" s="6"/>
      <c r="AX928" s="6"/>
      <c r="AY928" s="6"/>
      <c r="AZ928" s="6"/>
      <c r="BA928" s="6"/>
      <c r="BB928" s="6"/>
      <c r="BC928" s="6"/>
      <c r="BD928" s="6"/>
      <c r="BE928" s="6"/>
      <c r="BF928" s="6"/>
      <c r="BG928" s="6"/>
      <c r="BH928" s="6"/>
      <c r="BI928" s="6"/>
      <c r="BJ928" s="6"/>
      <c r="BK928" s="6"/>
      <c r="BL928" s="6"/>
      <c r="BM928" s="6"/>
      <c r="BN928" s="6"/>
      <c r="BO928" s="6"/>
      <c r="BP928" s="6"/>
      <c r="BQ928" s="6"/>
    </row>
    <row r="929" spans="2:69" hidden="1" x14ac:dyDescent="0.2">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c r="AM929" s="6"/>
      <c r="AN929" s="6"/>
      <c r="AO929" s="6"/>
      <c r="AP929" s="6"/>
      <c r="AQ929" s="6"/>
      <c r="AR929" s="6"/>
      <c r="AS929" s="6"/>
      <c r="AT929" s="6"/>
      <c r="AU929" s="6"/>
      <c r="AV929" s="6"/>
      <c r="AW929" s="6"/>
      <c r="AX929" s="6"/>
      <c r="AY929" s="6"/>
      <c r="AZ929" s="6"/>
      <c r="BA929" s="6"/>
      <c r="BB929" s="6"/>
      <c r="BC929" s="6"/>
      <c r="BD929" s="6"/>
      <c r="BE929" s="6"/>
      <c r="BF929" s="6"/>
      <c r="BG929" s="6"/>
      <c r="BH929" s="6"/>
      <c r="BI929" s="6"/>
      <c r="BJ929" s="6"/>
      <c r="BK929" s="6"/>
      <c r="BL929" s="6"/>
      <c r="BM929" s="6"/>
      <c r="BN929" s="6"/>
      <c r="BO929" s="6"/>
      <c r="BP929" s="6"/>
      <c r="BQ929" s="6"/>
    </row>
    <row r="930" spans="2:69" hidden="1" x14ac:dyDescent="0.2">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c r="AM930" s="6"/>
      <c r="AN930" s="6"/>
      <c r="AO930" s="6"/>
      <c r="AP930" s="6"/>
      <c r="AQ930" s="6"/>
      <c r="AR930" s="6"/>
      <c r="AS930" s="6"/>
      <c r="AT930" s="6"/>
      <c r="AU930" s="6"/>
      <c r="AV930" s="6"/>
      <c r="AW930" s="6"/>
      <c r="AX930" s="6"/>
      <c r="AY930" s="6"/>
      <c r="AZ930" s="6"/>
      <c r="BA930" s="6"/>
      <c r="BB930" s="6"/>
      <c r="BC930" s="6"/>
      <c r="BD930" s="6"/>
      <c r="BE930" s="6"/>
      <c r="BF930" s="6"/>
      <c r="BG930" s="6"/>
      <c r="BH930" s="6"/>
      <c r="BI930" s="6"/>
      <c r="BJ930" s="6"/>
      <c r="BK930" s="6"/>
      <c r="BL930" s="6"/>
      <c r="BM930" s="6"/>
      <c r="BN930" s="6"/>
      <c r="BO930" s="6"/>
      <c r="BP930" s="6"/>
      <c r="BQ930" s="6"/>
    </row>
    <row r="931" spans="2:69" hidden="1" x14ac:dyDescent="0.2">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c r="AM931" s="6"/>
      <c r="AN931" s="6"/>
      <c r="AO931" s="6"/>
      <c r="AP931" s="6"/>
      <c r="AQ931" s="6"/>
      <c r="AR931" s="6"/>
      <c r="AS931" s="6"/>
      <c r="AT931" s="6"/>
      <c r="AU931" s="6"/>
      <c r="AV931" s="6"/>
      <c r="AW931" s="6"/>
      <c r="AX931" s="6"/>
      <c r="AY931" s="6"/>
      <c r="AZ931" s="6"/>
      <c r="BA931" s="6"/>
      <c r="BB931" s="6"/>
      <c r="BC931" s="6"/>
      <c r="BD931" s="6"/>
      <c r="BE931" s="6"/>
      <c r="BF931" s="6"/>
      <c r="BG931" s="6"/>
      <c r="BH931" s="6"/>
      <c r="BI931" s="6"/>
      <c r="BJ931" s="6"/>
      <c r="BK931" s="6"/>
      <c r="BL931" s="6"/>
      <c r="BM931" s="6"/>
      <c r="BN931" s="6"/>
      <c r="BO931" s="6"/>
      <c r="BP931" s="6"/>
      <c r="BQ931" s="6"/>
    </row>
    <row r="932" spans="2:69" hidden="1" x14ac:dyDescent="0.2">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c r="AM932" s="6"/>
      <c r="AN932" s="6"/>
      <c r="AO932" s="6"/>
      <c r="AP932" s="6"/>
      <c r="AQ932" s="6"/>
      <c r="AR932" s="6"/>
      <c r="AS932" s="6"/>
      <c r="AT932" s="6"/>
      <c r="AU932" s="6"/>
      <c r="AV932" s="6"/>
      <c r="AW932" s="6"/>
      <c r="AX932" s="6"/>
      <c r="AY932" s="6"/>
      <c r="AZ932" s="6"/>
      <c r="BA932" s="6"/>
      <c r="BB932" s="6"/>
      <c r="BC932" s="6"/>
      <c r="BD932" s="6"/>
      <c r="BE932" s="6"/>
      <c r="BF932" s="6"/>
      <c r="BG932" s="6"/>
      <c r="BH932" s="6"/>
      <c r="BI932" s="6"/>
      <c r="BJ932" s="6"/>
      <c r="BK932" s="6"/>
      <c r="BL932" s="6"/>
      <c r="BM932" s="6"/>
      <c r="BN932" s="6"/>
      <c r="BO932" s="6"/>
      <c r="BP932" s="6"/>
      <c r="BQ932" s="6"/>
    </row>
    <row r="933" spans="2:69" hidden="1" x14ac:dyDescent="0.2">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c r="AM933" s="6"/>
      <c r="AN933" s="6"/>
      <c r="AO933" s="6"/>
      <c r="AP933" s="6"/>
      <c r="AQ933" s="6"/>
      <c r="AR933" s="6"/>
      <c r="AS933" s="6"/>
      <c r="AT933" s="6"/>
      <c r="AU933" s="6"/>
      <c r="AV933" s="6"/>
      <c r="AW933" s="6"/>
      <c r="AX933" s="6"/>
      <c r="AY933" s="6"/>
      <c r="AZ933" s="6"/>
      <c r="BA933" s="6"/>
      <c r="BB933" s="6"/>
      <c r="BC933" s="6"/>
      <c r="BD933" s="6"/>
      <c r="BE933" s="6"/>
      <c r="BF933" s="6"/>
      <c r="BG933" s="6"/>
      <c r="BH933" s="6"/>
      <c r="BI933" s="6"/>
      <c r="BJ933" s="6"/>
      <c r="BK933" s="6"/>
      <c r="BL933" s="6"/>
      <c r="BM933" s="6"/>
      <c r="BN933" s="6"/>
      <c r="BO933" s="6"/>
      <c r="BP933" s="6"/>
      <c r="BQ933" s="6"/>
    </row>
    <row r="934" spans="2:69" hidden="1" x14ac:dyDescent="0.2">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c r="AM934" s="6"/>
      <c r="AN934" s="6"/>
      <c r="AO934" s="6"/>
      <c r="AP934" s="6"/>
      <c r="AQ934" s="6"/>
      <c r="AR934" s="6"/>
      <c r="AS934" s="6"/>
      <c r="AT934" s="6"/>
      <c r="AU934" s="6"/>
      <c r="AV934" s="6"/>
      <c r="AW934" s="6"/>
      <c r="AX934" s="6"/>
      <c r="AY934" s="6"/>
      <c r="AZ934" s="6"/>
      <c r="BA934" s="6"/>
      <c r="BB934" s="6"/>
      <c r="BC934" s="6"/>
      <c r="BD934" s="6"/>
      <c r="BE934" s="6"/>
      <c r="BF934" s="6"/>
      <c r="BG934" s="6"/>
      <c r="BH934" s="6"/>
      <c r="BI934" s="6"/>
      <c r="BJ934" s="6"/>
      <c r="BK934" s="6"/>
      <c r="BL934" s="6"/>
      <c r="BM934" s="6"/>
      <c r="BN934" s="6"/>
      <c r="BO934" s="6"/>
      <c r="BP934" s="6"/>
      <c r="BQ934" s="6"/>
    </row>
    <row r="935" spans="2:69" hidden="1" x14ac:dyDescent="0.2">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c r="AM935" s="6"/>
      <c r="AN935" s="6"/>
      <c r="AO935" s="6"/>
      <c r="AP935" s="6"/>
      <c r="AQ935" s="6"/>
      <c r="AR935" s="6"/>
      <c r="AS935" s="6"/>
      <c r="AT935" s="6"/>
      <c r="AU935" s="6"/>
      <c r="AV935" s="6"/>
      <c r="AW935" s="6"/>
      <c r="AX935" s="6"/>
      <c r="AY935" s="6"/>
      <c r="AZ935" s="6"/>
      <c r="BA935" s="6"/>
      <c r="BB935" s="6"/>
      <c r="BC935" s="6"/>
      <c r="BD935" s="6"/>
      <c r="BE935" s="6"/>
      <c r="BF935" s="6"/>
      <c r="BG935" s="6"/>
      <c r="BH935" s="6"/>
      <c r="BI935" s="6"/>
      <c r="BJ935" s="6"/>
      <c r="BK935" s="6"/>
      <c r="BL935" s="6"/>
      <c r="BM935" s="6"/>
      <c r="BN935" s="6"/>
      <c r="BO935" s="6"/>
      <c r="BP935" s="6"/>
      <c r="BQ935" s="6"/>
    </row>
    <row r="936" spans="2:69" hidden="1" x14ac:dyDescent="0.2">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c r="AM936" s="6"/>
      <c r="AN936" s="6"/>
      <c r="AO936" s="6"/>
      <c r="AP936" s="6"/>
      <c r="AQ936" s="6"/>
      <c r="AR936" s="6"/>
      <c r="AS936" s="6"/>
      <c r="AT936" s="6"/>
      <c r="AU936" s="6"/>
      <c r="AV936" s="6"/>
      <c r="AW936" s="6"/>
      <c r="AX936" s="6"/>
      <c r="AY936" s="6"/>
      <c r="AZ936" s="6"/>
      <c r="BA936" s="6"/>
      <c r="BB936" s="6"/>
      <c r="BC936" s="6"/>
      <c r="BD936" s="6"/>
      <c r="BE936" s="6"/>
      <c r="BF936" s="6"/>
      <c r="BG936" s="6"/>
      <c r="BH936" s="6"/>
      <c r="BI936" s="6"/>
      <c r="BJ936" s="6"/>
      <c r="BK936" s="6"/>
      <c r="BL936" s="6"/>
      <c r="BM936" s="6"/>
      <c r="BN936" s="6"/>
      <c r="BO936" s="6"/>
      <c r="BP936" s="6"/>
      <c r="BQ936" s="6"/>
    </row>
    <row r="937" spans="2:69" hidden="1" x14ac:dyDescent="0.2">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M937" s="6"/>
      <c r="AN937" s="6"/>
      <c r="AO937" s="6"/>
      <c r="AP937" s="6"/>
      <c r="AQ937" s="6"/>
      <c r="AR937" s="6"/>
      <c r="AS937" s="6"/>
      <c r="AT937" s="6"/>
      <c r="AU937" s="6"/>
      <c r="AV937" s="6"/>
      <c r="AW937" s="6"/>
      <c r="AX937" s="6"/>
      <c r="AY937" s="6"/>
      <c r="AZ937" s="6"/>
      <c r="BA937" s="6"/>
      <c r="BB937" s="6"/>
      <c r="BC937" s="6"/>
      <c r="BD937" s="6"/>
      <c r="BE937" s="6"/>
      <c r="BF937" s="6"/>
      <c r="BG937" s="6"/>
      <c r="BH937" s="6"/>
      <c r="BI937" s="6"/>
      <c r="BJ937" s="6"/>
      <c r="BK937" s="6"/>
      <c r="BL937" s="6"/>
      <c r="BM937" s="6"/>
      <c r="BN937" s="6"/>
      <c r="BO937" s="6"/>
      <c r="BP937" s="6"/>
      <c r="BQ937" s="6"/>
    </row>
    <row r="938" spans="2:69" hidden="1" x14ac:dyDescent="0.2">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M938" s="6"/>
      <c r="AN938" s="6"/>
      <c r="AO938" s="6"/>
      <c r="AP938" s="6"/>
      <c r="AQ938" s="6"/>
      <c r="AR938" s="6"/>
      <c r="AS938" s="6"/>
      <c r="AT938" s="6"/>
      <c r="AU938" s="6"/>
      <c r="AV938" s="6"/>
      <c r="AW938" s="6"/>
      <c r="AX938" s="6"/>
      <c r="AY938" s="6"/>
      <c r="AZ938" s="6"/>
      <c r="BA938" s="6"/>
      <c r="BB938" s="6"/>
      <c r="BC938" s="6"/>
      <c r="BD938" s="6"/>
      <c r="BE938" s="6"/>
      <c r="BF938" s="6"/>
      <c r="BG938" s="6"/>
      <c r="BH938" s="6"/>
      <c r="BI938" s="6"/>
      <c r="BJ938" s="6"/>
      <c r="BK938" s="6"/>
      <c r="BL938" s="6"/>
      <c r="BM938" s="6"/>
      <c r="BN938" s="6"/>
      <c r="BO938" s="6"/>
      <c r="BP938" s="6"/>
      <c r="BQ938" s="6"/>
    </row>
    <row r="939" spans="2:69" hidden="1" x14ac:dyDescent="0.2">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M939" s="6"/>
      <c r="AN939" s="6"/>
      <c r="AO939" s="6"/>
      <c r="AP939" s="6"/>
      <c r="AQ939" s="6"/>
      <c r="AR939" s="6"/>
      <c r="AS939" s="6"/>
      <c r="AT939" s="6"/>
      <c r="AU939" s="6"/>
      <c r="AV939" s="6"/>
      <c r="AW939" s="6"/>
      <c r="AX939" s="6"/>
      <c r="AY939" s="6"/>
      <c r="AZ939" s="6"/>
      <c r="BA939" s="6"/>
      <c r="BB939" s="6"/>
      <c r="BC939" s="6"/>
      <c r="BD939" s="6"/>
      <c r="BE939" s="6"/>
      <c r="BF939" s="6"/>
      <c r="BG939" s="6"/>
      <c r="BH939" s="6"/>
      <c r="BI939" s="6"/>
      <c r="BJ939" s="6"/>
      <c r="BK939" s="6"/>
      <c r="BL939" s="6"/>
      <c r="BM939" s="6"/>
      <c r="BN939" s="6"/>
      <c r="BO939" s="6"/>
      <c r="BP939" s="6"/>
      <c r="BQ939" s="6"/>
    </row>
    <row r="940" spans="2:69" hidden="1" x14ac:dyDescent="0.2">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M940" s="6"/>
      <c r="AN940" s="6"/>
      <c r="AO940" s="6"/>
      <c r="AP940" s="6"/>
      <c r="AQ940" s="6"/>
      <c r="AR940" s="6"/>
      <c r="AS940" s="6"/>
      <c r="AT940" s="6"/>
      <c r="AU940" s="6"/>
      <c r="AV940" s="6"/>
      <c r="AW940" s="6"/>
      <c r="AX940" s="6"/>
      <c r="AY940" s="6"/>
      <c r="AZ940" s="6"/>
      <c r="BA940" s="6"/>
      <c r="BB940" s="6"/>
      <c r="BC940" s="6"/>
      <c r="BD940" s="6"/>
      <c r="BE940" s="6"/>
      <c r="BF940" s="6"/>
      <c r="BG940" s="6"/>
      <c r="BH940" s="6"/>
      <c r="BI940" s="6"/>
      <c r="BJ940" s="6"/>
      <c r="BK940" s="6"/>
      <c r="BL940" s="6"/>
      <c r="BM940" s="6"/>
      <c r="BN940" s="6"/>
      <c r="BO940" s="6"/>
      <c r="BP940" s="6"/>
      <c r="BQ940" s="6"/>
    </row>
    <row r="941" spans="2:69" hidden="1" x14ac:dyDescent="0.2">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c r="AM941" s="6"/>
      <c r="AN941" s="6"/>
      <c r="AO941" s="6"/>
      <c r="AP941" s="6"/>
      <c r="AQ941" s="6"/>
      <c r="AR941" s="6"/>
      <c r="AS941" s="6"/>
      <c r="AT941" s="6"/>
      <c r="AU941" s="6"/>
      <c r="AV941" s="6"/>
      <c r="AW941" s="6"/>
      <c r="AX941" s="6"/>
      <c r="AY941" s="6"/>
      <c r="AZ941" s="6"/>
      <c r="BA941" s="6"/>
      <c r="BB941" s="6"/>
      <c r="BC941" s="6"/>
      <c r="BD941" s="6"/>
      <c r="BE941" s="6"/>
      <c r="BF941" s="6"/>
      <c r="BG941" s="6"/>
      <c r="BH941" s="6"/>
      <c r="BI941" s="6"/>
      <c r="BJ941" s="6"/>
      <c r="BK941" s="6"/>
      <c r="BL941" s="6"/>
      <c r="BM941" s="6"/>
      <c r="BN941" s="6"/>
      <c r="BO941" s="6"/>
      <c r="BP941" s="6"/>
      <c r="BQ941" s="6"/>
    </row>
    <row r="942" spans="2:69" hidden="1" x14ac:dyDescent="0.2">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c r="AM942" s="6"/>
      <c r="AN942" s="6"/>
      <c r="AO942" s="6"/>
      <c r="AP942" s="6"/>
      <c r="AQ942" s="6"/>
      <c r="AR942" s="6"/>
      <c r="AS942" s="6"/>
      <c r="AT942" s="6"/>
      <c r="AU942" s="6"/>
      <c r="AV942" s="6"/>
      <c r="AW942" s="6"/>
      <c r="AX942" s="6"/>
      <c r="AY942" s="6"/>
      <c r="AZ942" s="6"/>
      <c r="BA942" s="6"/>
      <c r="BB942" s="6"/>
      <c r="BC942" s="6"/>
      <c r="BD942" s="6"/>
      <c r="BE942" s="6"/>
      <c r="BF942" s="6"/>
      <c r="BG942" s="6"/>
      <c r="BH942" s="6"/>
      <c r="BI942" s="6"/>
      <c r="BJ942" s="6"/>
      <c r="BK942" s="6"/>
      <c r="BL942" s="6"/>
      <c r="BM942" s="6"/>
      <c r="BN942" s="6"/>
      <c r="BO942" s="6"/>
      <c r="BP942" s="6"/>
      <c r="BQ942" s="6"/>
    </row>
    <row r="943" spans="2:69" hidden="1" x14ac:dyDescent="0.2">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c r="AM943" s="6"/>
      <c r="AN943" s="6"/>
      <c r="AO943" s="6"/>
      <c r="AP943" s="6"/>
      <c r="AQ943" s="6"/>
      <c r="AR943" s="6"/>
      <c r="AS943" s="6"/>
      <c r="AT943" s="6"/>
      <c r="AU943" s="6"/>
      <c r="AV943" s="6"/>
      <c r="AW943" s="6"/>
      <c r="AX943" s="6"/>
      <c r="AY943" s="6"/>
      <c r="AZ943" s="6"/>
      <c r="BA943" s="6"/>
      <c r="BB943" s="6"/>
      <c r="BC943" s="6"/>
      <c r="BD943" s="6"/>
      <c r="BE943" s="6"/>
      <c r="BF943" s="6"/>
      <c r="BG943" s="6"/>
      <c r="BH943" s="6"/>
      <c r="BI943" s="6"/>
      <c r="BJ943" s="6"/>
      <c r="BK943" s="6"/>
      <c r="BL943" s="6"/>
      <c r="BM943" s="6"/>
      <c r="BN943" s="6"/>
      <c r="BO943" s="6"/>
      <c r="BP943" s="6"/>
      <c r="BQ943" s="6"/>
    </row>
    <row r="944" spans="2:69" hidden="1" x14ac:dyDescent="0.2">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c r="AM944" s="6"/>
      <c r="AN944" s="6"/>
      <c r="AO944" s="6"/>
      <c r="AP944" s="6"/>
      <c r="AQ944" s="6"/>
      <c r="AR944" s="6"/>
      <c r="AS944" s="6"/>
      <c r="AT944" s="6"/>
      <c r="AU944" s="6"/>
      <c r="AV944" s="6"/>
      <c r="AW944" s="6"/>
      <c r="AX944" s="6"/>
      <c r="AY944" s="6"/>
      <c r="AZ944" s="6"/>
      <c r="BA944" s="6"/>
      <c r="BB944" s="6"/>
      <c r="BC944" s="6"/>
      <c r="BD944" s="6"/>
      <c r="BE944" s="6"/>
      <c r="BF944" s="6"/>
      <c r="BG944" s="6"/>
      <c r="BH944" s="6"/>
      <c r="BI944" s="6"/>
      <c r="BJ944" s="6"/>
      <c r="BK944" s="6"/>
      <c r="BL944" s="6"/>
      <c r="BM944" s="6"/>
      <c r="BN944" s="6"/>
      <c r="BO944" s="6"/>
      <c r="BP944" s="6"/>
      <c r="BQ944" s="6"/>
    </row>
    <row r="945" spans="2:69" hidden="1" x14ac:dyDescent="0.2">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c r="AM945" s="6"/>
      <c r="AN945" s="6"/>
      <c r="AO945" s="6"/>
      <c r="AP945" s="6"/>
      <c r="AQ945" s="6"/>
      <c r="AR945" s="6"/>
      <c r="AS945" s="6"/>
      <c r="AT945" s="6"/>
      <c r="AU945" s="6"/>
      <c r="AV945" s="6"/>
      <c r="AW945" s="6"/>
      <c r="AX945" s="6"/>
      <c r="AY945" s="6"/>
      <c r="AZ945" s="6"/>
      <c r="BA945" s="6"/>
      <c r="BB945" s="6"/>
      <c r="BC945" s="6"/>
      <c r="BD945" s="6"/>
      <c r="BE945" s="6"/>
      <c r="BF945" s="6"/>
      <c r="BG945" s="6"/>
      <c r="BH945" s="6"/>
      <c r="BI945" s="6"/>
      <c r="BJ945" s="6"/>
      <c r="BK945" s="6"/>
      <c r="BL945" s="6"/>
      <c r="BM945" s="6"/>
      <c r="BN945" s="6"/>
      <c r="BO945" s="6"/>
      <c r="BP945" s="6"/>
      <c r="BQ945" s="6"/>
    </row>
    <row r="946" spans="2:69" hidden="1" x14ac:dyDescent="0.2">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c r="AM946" s="6"/>
      <c r="AN946" s="6"/>
      <c r="AO946" s="6"/>
      <c r="AP946" s="6"/>
      <c r="AQ946" s="6"/>
      <c r="AR946" s="6"/>
      <c r="AS946" s="6"/>
      <c r="AT946" s="6"/>
      <c r="AU946" s="6"/>
      <c r="AV946" s="6"/>
      <c r="AW946" s="6"/>
      <c r="AX946" s="6"/>
      <c r="AY946" s="6"/>
      <c r="AZ946" s="6"/>
      <c r="BA946" s="6"/>
      <c r="BB946" s="6"/>
      <c r="BC946" s="6"/>
      <c r="BD946" s="6"/>
      <c r="BE946" s="6"/>
      <c r="BF946" s="6"/>
      <c r="BG946" s="6"/>
      <c r="BH946" s="6"/>
      <c r="BI946" s="6"/>
      <c r="BJ946" s="6"/>
      <c r="BK946" s="6"/>
      <c r="BL946" s="6"/>
      <c r="BM946" s="6"/>
      <c r="BN946" s="6"/>
      <c r="BO946" s="6"/>
      <c r="BP946" s="6"/>
      <c r="BQ946" s="6"/>
    </row>
    <row r="947" spans="2:69" hidden="1" x14ac:dyDescent="0.2">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c r="AM947" s="6"/>
      <c r="AN947" s="6"/>
      <c r="AO947" s="6"/>
      <c r="AP947" s="6"/>
      <c r="AQ947" s="6"/>
      <c r="AR947" s="6"/>
      <c r="AS947" s="6"/>
      <c r="AT947" s="6"/>
      <c r="AU947" s="6"/>
      <c r="AV947" s="6"/>
      <c r="AW947" s="6"/>
      <c r="AX947" s="6"/>
      <c r="AY947" s="6"/>
      <c r="AZ947" s="6"/>
      <c r="BA947" s="6"/>
      <c r="BB947" s="6"/>
      <c r="BC947" s="6"/>
      <c r="BD947" s="6"/>
      <c r="BE947" s="6"/>
      <c r="BF947" s="6"/>
      <c r="BG947" s="6"/>
      <c r="BH947" s="6"/>
      <c r="BI947" s="6"/>
      <c r="BJ947" s="6"/>
      <c r="BK947" s="6"/>
      <c r="BL947" s="6"/>
      <c r="BM947" s="6"/>
      <c r="BN947" s="6"/>
      <c r="BO947" s="6"/>
      <c r="BP947" s="6"/>
      <c r="BQ947" s="6"/>
    </row>
    <row r="948" spans="2:69" hidden="1" x14ac:dyDescent="0.2">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c r="AM948" s="6"/>
      <c r="AN948" s="6"/>
      <c r="AO948" s="6"/>
      <c r="AP948" s="6"/>
      <c r="AQ948" s="6"/>
      <c r="AR948" s="6"/>
      <c r="AS948" s="6"/>
      <c r="AT948" s="6"/>
      <c r="AU948" s="6"/>
      <c r="AV948" s="6"/>
      <c r="AW948" s="6"/>
      <c r="AX948" s="6"/>
      <c r="AY948" s="6"/>
      <c r="AZ948" s="6"/>
      <c r="BA948" s="6"/>
      <c r="BB948" s="6"/>
      <c r="BC948" s="6"/>
      <c r="BD948" s="6"/>
      <c r="BE948" s="6"/>
      <c r="BF948" s="6"/>
      <c r="BG948" s="6"/>
      <c r="BH948" s="6"/>
      <c r="BI948" s="6"/>
      <c r="BJ948" s="6"/>
      <c r="BK948" s="6"/>
      <c r="BL948" s="6"/>
      <c r="BM948" s="6"/>
      <c r="BN948" s="6"/>
      <c r="BO948" s="6"/>
      <c r="BP948" s="6"/>
      <c r="BQ948" s="6"/>
    </row>
    <row r="949" spans="2:69" hidden="1" x14ac:dyDescent="0.2">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c r="AM949" s="6"/>
      <c r="AN949" s="6"/>
      <c r="AO949" s="6"/>
      <c r="AP949" s="6"/>
      <c r="AQ949" s="6"/>
      <c r="AR949" s="6"/>
      <c r="AS949" s="6"/>
      <c r="AT949" s="6"/>
      <c r="AU949" s="6"/>
      <c r="AV949" s="6"/>
      <c r="AW949" s="6"/>
      <c r="AX949" s="6"/>
      <c r="AY949" s="6"/>
      <c r="AZ949" s="6"/>
      <c r="BA949" s="6"/>
      <c r="BB949" s="6"/>
      <c r="BC949" s="6"/>
      <c r="BD949" s="6"/>
      <c r="BE949" s="6"/>
      <c r="BF949" s="6"/>
      <c r="BG949" s="6"/>
      <c r="BH949" s="6"/>
      <c r="BI949" s="6"/>
      <c r="BJ949" s="6"/>
      <c r="BK949" s="6"/>
      <c r="BL949" s="6"/>
      <c r="BM949" s="6"/>
      <c r="BN949" s="6"/>
      <c r="BO949" s="6"/>
      <c r="BP949" s="6"/>
      <c r="BQ949" s="6"/>
    </row>
    <row r="950" spans="2:69" hidden="1" x14ac:dyDescent="0.2">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c r="AM950" s="6"/>
      <c r="AN950" s="6"/>
      <c r="AO950" s="6"/>
      <c r="AP950" s="6"/>
      <c r="AQ950" s="6"/>
      <c r="AR950" s="6"/>
      <c r="AS950" s="6"/>
      <c r="AT950" s="6"/>
      <c r="AU950" s="6"/>
      <c r="AV950" s="6"/>
      <c r="AW950" s="6"/>
      <c r="AX950" s="6"/>
      <c r="AY950" s="6"/>
      <c r="AZ950" s="6"/>
      <c r="BA950" s="6"/>
      <c r="BB950" s="6"/>
      <c r="BC950" s="6"/>
      <c r="BD950" s="6"/>
      <c r="BE950" s="6"/>
      <c r="BF950" s="6"/>
      <c r="BG950" s="6"/>
      <c r="BH950" s="6"/>
      <c r="BI950" s="6"/>
      <c r="BJ950" s="6"/>
      <c r="BK950" s="6"/>
      <c r="BL950" s="6"/>
      <c r="BM950" s="6"/>
      <c r="BN950" s="6"/>
      <c r="BO950" s="6"/>
      <c r="BP950" s="6"/>
      <c r="BQ950" s="6"/>
    </row>
    <row r="951" spans="2:69" hidden="1" x14ac:dyDescent="0.2">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c r="AM951" s="6"/>
      <c r="AN951" s="6"/>
      <c r="AO951" s="6"/>
      <c r="AP951" s="6"/>
      <c r="AQ951" s="6"/>
      <c r="AR951" s="6"/>
      <c r="AS951" s="6"/>
      <c r="AT951" s="6"/>
      <c r="AU951" s="6"/>
      <c r="AV951" s="6"/>
      <c r="AW951" s="6"/>
      <c r="AX951" s="6"/>
      <c r="AY951" s="6"/>
      <c r="AZ951" s="6"/>
      <c r="BA951" s="6"/>
      <c r="BB951" s="6"/>
      <c r="BC951" s="6"/>
      <c r="BD951" s="6"/>
      <c r="BE951" s="6"/>
      <c r="BF951" s="6"/>
      <c r="BG951" s="6"/>
      <c r="BH951" s="6"/>
      <c r="BI951" s="6"/>
      <c r="BJ951" s="6"/>
      <c r="BK951" s="6"/>
      <c r="BL951" s="6"/>
      <c r="BM951" s="6"/>
      <c r="BN951" s="6"/>
      <c r="BO951" s="6"/>
      <c r="BP951" s="6"/>
      <c r="BQ951" s="6"/>
    </row>
    <row r="952" spans="2:69" hidden="1" x14ac:dyDescent="0.2">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c r="AM952" s="6"/>
      <c r="AN952" s="6"/>
      <c r="AO952" s="6"/>
      <c r="AP952" s="6"/>
      <c r="AQ952" s="6"/>
      <c r="AR952" s="6"/>
      <c r="AS952" s="6"/>
      <c r="AT952" s="6"/>
      <c r="AU952" s="6"/>
      <c r="AV952" s="6"/>
      <c r="AW952" s="6"/>
      <c r="AX952" s="6"/>
      <c r="AY952" s="6"/>
      <c r="AZ952" s="6"/>
      <c r="BA952" s="6"/>
      <c r="BB952" s="6"/>
      <c r="BC952" s="6"/>
      <c r="BD952" s="6"/>
      <c r="BE952" s="6"/>
      <c r="BF952" s="6"/>
      <c r="BG952" s="6"/>
      <c r="BH952" s="6"/>
      <c r="BI952" s="6"/>
      <c r="BJ952" s="6"/>
      <c r="BK952" s="6"/>
      <c r="BL952" s="6"/>
      <c r="BM952" s="6"/>
      <c r="BN952" s="6"/>
      <c r="BO952" s="6"/>
      <c r="BP952" s="6"/>
      <c r="BQ952" s="6"/>
    </row>
    <row r="953" spans="2:69" hidden="1" x14ac:dyDescent="0.2">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c r="AM953" s="6"/>
      <c r="AN953" s="6"/>
      <c r="AO953" s="6"/>
      <c r="AP953" s="6"/>
      <c r="AQ953" s="6"/>
      <c r="AR953" s="6"/>
      <c r="AS953" s="6"/>
      <c r="AT953" s="6"/>
      <c r="AU953" s="6"/>
      <c r="AV953" s="6"/>
      <c r="AW953" s="6"/>
      <c r="AX953" s="6"/>
      <c r="AY953" s="6"/>
      <c r="AZ953" s="6"/>
      <c r="BA953" s="6"/>
      <c r="BB953" s="6"/>
      <c r="BC953" s="6"/>
      <c r="BD953" s="6"/>
      <c r="BE953" s="6"/>
      <c r="BF953" s="6"/>
      <c r="BG953" s="6"/>
      <c r="BH953" s="6"/>
      <c r="BI953" s="6"/>
      <c r="BJ953" s="6"/>
      <c r="BK953" s="6"/>
      <c r="BL953" s="6"/>
      <c r="BM953" s="6"/>
      <c r="BN953" s="6"/>
      <c r="BO953" s="6"/>
      <c r="BP953" s="6"/>
      <c r="BQ953" s="6"/>
    </row>
    <row r="954" spans="2:69" hidden="1" x14ac:dyDescent="0.2">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c r="AM954" s="6"/>
      <c r="AN954" s="6"/>
      <c r="AO954" s="6"/>
      <c r="AP954" s="6"/>
      <c r="AQ954" s="6"/>
      <c r="AR954" s="6"/>
      <c r="AS954" s="6"/>
      <c r="AT954" s="6"/>
      <c r="AU954" s="6"/>
      <c r="AV954" s="6"/>
      <c r="AW954" s="6"/>
      <c r="AX954" s="6"/>
      <c r="AY954" s="6"/>
      <c r="AZ954" s="6"/>
      <c r="BA954" s="6"/>
      <c r="BB954" s="6"/>
      <c r="BC954" s="6"/>
      <c r="BD954" s="6"/>
      <c r="BE954" s="6"/>
      <c r="BF954" s="6"/>
      <c r="BG954" s="6"/>
      <c r="BH954" s="6"/>
      <c r="BI954" s="6"/>
      <c r="BJ954" s="6"/>
      <c r="BK954" s="6"/>
      <c r="BL954" s="6"/>
      <c r="BM954" s="6"/>
      <c r="BN954" s="6"/>
      <c r="BO954" s="6"/>
      <c r="BP954" s="6"/>
      <c r="BQ954" s="6"/>
    </row>
    <row r="955" spans="2:69" hidden="1" x14ac:dyDescent="0.2">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c r="AM955" s="6"/>
      <c r="AN955" s="6"/>
      <c r="AO955" s="6"/>
      <c r="AP955" s="6"/>
      <c r="AQ955" s="6"/>
      <c r="AR955" s="6"/>
      <c r="AS955" s="6"/>
      <c r="AT955" s="6"/>
      <c r="AU955" s="6"/>
      <c r="AV955" s="6"/>
      <c r="AW955" s="6"/>
      <c r="AX955" s="6"/>
      <c r="AY955" s="6"/>
      <c r="AZ955" s="6"/>
      <c r="BA955" s="6"/>
      <c r="BB955" s="6"/>
      <c r="BC955" s="6"/>
      <c r="BD955" s="6"/>
      <c r="BE955" s="6"/>
      <c r="BF955" s="6"/>
      <c r="BG955" s="6"/>
      <c r="BH955" s="6"/>
      <c r="BI955" s="6"/>
      <c r="BJ955" s="6"/>
      <c r="BK955" s="6"/>
      <c r="BL955" s="6"/>
      <c r="BM955" s="6"/>
      <c r="BN955" s="6"/>
      <c r="BO955" s="6"/>
      <c r="BP955" s="6"/>
      <c r="BQ955" s="6"/>
    </row>
    <row r="956" spans="2:69" hidden="1" x14ac:dyDescent="0.2">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c r="AM956" s="6"/>
      <c r="AN956" s="6"/>
      <c r="AO956" s="6"/>
      <c r="AP956" s="6"/>
      <c r="AQ956" s="6"/>
      <c r="AR956" s="6"/>
      <c r="AS956" s="6"/>
      <c r="AT956" s="6"/>
      <c r="AU956" s="6"/>
      <c r="AV956" s="6"/>
      <c r="AW956" s="6"/>
      <c r="AX956" s="6"/>
      <c r="AY956" s="6"/>
      <c r="AZ956" s="6"/>
      <c r="BA956" s="6"/>
      <c r="BB956" s="6"/>
      <c r="BC956" s="6"/>
      <c r="BD956" s="6"/>
      <c r="BE956" s="6"/>
      <c r="BF956" s="6"/>
      <c r="BG956" s="6"/>
      <c r="BH956" s="6"/>
      <c r="BI956" s="6"/>
      <c r="BJ956" s="6"/>
      <c r="BK956" s="6"/>
      <c r="BL956" s="6"/>
      <c r="BM956" s="6"/>
      <c r="BN956" s="6"/>
      <c r="BO956" s="6"/>
      <c r="BP956" s="6"/>
      <c r="BQ956" s="6"/>
    </row>
    <row r="957" spans="2:69" hidden="1" x14ac:dyDescent="0.2">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c r="AM957" s="6"/>
      <c r="AN957" s="6"/>
      <c r="AO957" s="6"/>
      <c r="AP957" s="6"/>
      <c r="AQ957" s="6"/>
      <c r="AR957" s="6"/>
      <c r="AS957" s="6"/>
      <c r="AT957" s="6"/>
      <c r="AU957" s="6"/>
      <c r="AV957" s="6"/>
      <c r="AW957" s="6"/>
      <c r="AX957" s="6"/>
      <c r="AY957" s="6"/>
      <c r="AZ957" s="6"/>
      <c r="BA957" s="6"/>
      <c r="BB957" s="6"/>
      <c r="BC957" s="6"/>
      <c r="BD957" s="6"/>
      <c r="BE957" s="6"/>
      <c r="BF957" s="6"/>
      <c r="BG957" s="6"/>
      <c r="BH957" s="6"/>
      <c r="BI957" s="6"/>
      <c r="BJ957" s="6"/>
      <c r="BK957" s="6"/>
      <c r="BL957" s="6"/>
      <c r="BM957" s="6"/>
      <c r="BN957" s="6"/>
      <c r="BO957" s="6"/>
      <c r="BP957" s="6"/>
      <c r="BQ957" s="6"/>
    </row>
    <row r="958" spans="2:69" hidden="1" x14ac:dyDescent="0.2">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c r="AM958" s="6"/>
      <c r="AN958" s="6"/>
      <c r="AO958" s="6"/>
      <c r="AP958" s="6"/>
      <c r="AQ958" s="6"/>
      <c r="AR958" s="6"/>
      <c r="AS958" s="6"/>
      <c r="AT958" s="6"/>
      <c r="AU958" s="6"/>
      <c r="AV958" s="6"/>
      <c r="AW958" s="6"/>
      <c r="AX958" s="6"/>
      <c r="AY958" s="6"/>
      <c r="AZ958" s="6"/>
      <c r="BA958" s="6"/>
      <c r="BB958" s="6"/>
      <c r="BC958" s="6"/>
      <c r="BD958" s="6"/>
      <c r="BE958" s="6"/>
      <c r="BF958" s="6"/>
      <c r="BG958" s="6"/>
      <c r="BH958" s="6"/>
      <c r="BI958" s="6"/>
      <c r="BJ958" s="6"/>
      <c r="BK958" s="6"/>
      <c r="BL958" s="6"/>
      <c r="BM958" s="6"/>
      <c r="BN958" s="6"/>
      <c r="BO958" s="6"/>
      <c r="BP958" s="6"/>
      <c r="BQ958" s="6"/>
    </row>
    <row r="959" spans="2:69" hidden="1" x14ac:dyDescent="0.2">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c r="AM959" s="6"/>
      <c r="AN959" s="6"/>
      <c r="AO959" s="6"/>
      <c r="AP959" s="6"/>
      <c r="AQ959" s="6"/>
      <c r="AR959" s="6"/>
      <c r="AS959" s="6"/>
      <c r="AT959" s="6"/>
      <c r="AU959" s="6"/>
      <c r="AV959" s="6"/>
      <c r="AW959" s="6"/>
      <c r="AX959" s="6"/>
      <c r="AY959" s="6"/>
      <c r="AZ959" s="6"/>
      <c r="BA959" s="6"/>
      <c r="BB959" s="6"/>
      <c r="BC959" s="6"/>
      <c r="BD959" s="6"/>
      <c r="BE959" s="6"/>
      <c r="BF959" s="6"/>
      <c r="BG959" s="6"/>
      <c r="BH959" s="6"/>
      <c r="BI959" s="6"/>
      <c r="BJ959" s="6"/>
      <c r="BK959" s="6"/>
      <c r="BL959" s="6"/>
      <c r="BM959" s="6"/>
      <c r="BN959" s="6"/>
      <c r="BO959" s="6"/>
      <c r="BP959" s="6"/>
      <c r="BQ959" s="6"/>
    </row>
    <row r="960" spans="2:69" hidden="1" x14ac:dyDescent="0.2">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M960" s="6"/>
      <c r="AN960" s="6"/>
      <c r="AO960" s="6"/>
      <c r="AP960" s="6"/>
      <c r="AQ960" s="6"/>
      <c r="AR960" s="6"/>
      <c r="AS960" s="6"/>
      <c r="AT960" s="6"/>
      <c r="AU960" s="6"/>
      <c r="AV960" s="6"/>
      <c r="AW960" s="6"/>
      <c r="AX960" s="6"/>
      <c r="AY960" s="6"/>
      <c r="AZ960" s="6"/>
      <c r="BA960" s="6"/>
      <c r="BB960" s="6"/>
      <c r="BC960" s="6"/>
      <c r="BD960" s="6"/>
      <c r="BE960" s="6"/>
      <c r="BF960" s="6"/>
      <c r="BG960" s="6"/>
      <c r="BH960" s="6"/>
      <c r="BI960" s="6"/>
      <c r="BJ960" s="6"/>
      <c r="BK960" s="6"/>
      <c r="BL960" s="6"/>
      <c r="BM960" s="6"/>
      <c r="BN960" s="6"/>
      <c r="BO960" s="6"/>
      <c r="BP960" s="6"/>
      <c r="BQ960" s="6"/>
    </row>
    <row r="961" spans="2:69" hidden="1" x14ac:dyDescent="0.2">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M961" s="6"/>
      <c r="AN961" s="6"/>
      <c r="AO961" s="6"/>
      <c r="AP961" s="6"/>
      <c r="AQ961" s="6"/>
      <c r="AR961" s="6"/>
      <c r="AS961" s="6"/>
      <c r="AT961" s="6"/>
      <c r="AU961" s="6"/>
      <c r="AV961" s="6"/>
      <c r="AW961" s="6"/>
      <c r="AX961" s="6"/>
      <c r="AY961" s="6"/>
      <c r="AZ961" s="6"/>
      <c r="BA961" s="6"/>
      <c r="BB961" s="6"/>
      <c r="BC961" s="6"/>
      <c r="BD961" s="6"/>
      <c r="BE961" s="6"/>
      <c r="BF961" s="6"/>
      <c r="BG961" s="6"/>
      <c r="BH961" s="6"/>
      <c r="BI961" s="6"/>
      <c r="BJ961" s="6"/>
      <c r="BK961" s="6"/>
      <c r="BL961" s="6"/>
      <c r="BM961" s="6"/>
      <c r="BN961" s="6"/>
      <c r="BO961" s="6"/>
      <c r="BP961" s="6"/>
      <c r="BQ961" s="6"/>
    </row>
    <row r="962" spans="2:69" hidden="1" x14ac:dyDescent="0.2">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M962" s="6"/>
      <c r="AN962" s="6"/>
      <c r="AO962" s="6"/>
      <c r="AP962" s="6"/>
      <c r="AQ962" s="6"/>
      <c r="AR962" s="6"/>
      <c r="AS962" s="6"/>
      <c r="AT962" s="6"/>
      <c r="AU962" s="6"/>
      <c r="AV962" s="6"/>
      <c r="AW962" s="6"/>
      <c r="AX962" s="6"/>
      <c r="AY962" s="6"/>
      <c r="AZ962" s="6"/>
      <c r="BA962" s="6"/>
      <c r="BB962" s="6"/>
      <c r="BC962" s="6"/>
      <c r="BD962" s="6"/>
      <c r="BE962" s="6"/>
      <c r="BF962" s="6"/>
      <c r="BG962" s="6"/>
      <c r="BH962" s="6"/>
      <c r="BI962" s="6"/>
      <c r="BJ962" s="6"/>
      <c r="BK962" s="6"/>
      <c r="BL962" s="6"/>
      <c r="BM962" s="6"/>
      <c r="BN962" s="6"/>
      <c r="BO962" s="6"/>
      <c r="BP962" s="6"/>
      <c r="BQ962" s="6"/>
    </row>
    <row r="963" spans="2:69" hidden="1" x14ac:dyDescent="0.2">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M963" s="6"/>
      <c r="AN963" s="6"/>
      <c r="AO963" s="6"/>
      <c r="AP963" s="6"/>
      <c r="AQ963" s="6"/>
      <c r="AR963" s="6"/>
      <c r="AS963" s="6"/>
      <c r="AT963" s="6"/>
      <c r="AU963" s="6"/>
      <c r="AV963" s="6"/>
      <c r="AW963" s="6"/>
      <c r="AX963" s="6"/>
      <c r="AY963" s="6"/>
      <c r="AZ963" s="6"/>
      <c r="BA963" s="6"/>
      <c r="BB963" s="6"/>
      <c r="BC963" s="6"/>
      <c r="BD963" s="6"/>
      <c r="BE963" s="6"/>
      <c r="BF963" s="6"/>
      <c r="BG963" s="6"/>
      <c r="BH963" s="6"/>
      <c r="BI963" s="6"/>
      <c r="BJ963" s="6"/>
      <c r="BK963" s="6"/>
      <c r="BL963" s="6"/>
      <c r="BM963" s="6"/>
      <c r="BN963" s="6"/>
      <c r="BO963" s="6"/>
      <c r="BP963" s="6"/>
      <c r="BQ963" s="6"/>
    </row>
    <row r="964" spans="2:69" hidden="1" x14ac:dyDescent="0.2">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M964" s="6"/>
      <c r="AN964" s="6"/>
      <c r="AO964" s="6"/>
      <c r="AP964" s="6"/>
      <c r="AQ964" s="6"/>
      <c r="AR964" s="6"/>
      <c r="AS964" s="6"/>
      <c r="AT964" s="6"/>
      <c r="AU964" s="6"/>
      <c r="AV964" s="6"/>
      <c r="AW964" s="6"/>
      <c r="AX964" s="6"/>
      <c r="AY964" s="6"/>
      <c r="AZ964" s="6"/>
      <c r="BA964" s="6"/>
      <c r="BB964" s="6"/>
      <c r="BC964" s="6"/>
      <c r="BD964" s="6"/>
      <c r="BE964" s="6"/>
      <c r="BF964" s="6"/>
      <c r="BG964" s="6"/>
      <c r="BH964" s="6"/>
      <c r="BI964" s="6"/>
      <c r="BJ964" s="6"/>
      <c r="BK964" s="6"/>
      <c r="BL964" s="6"/>
      <c r="BM964" s="6"/>
      <c r="BN964" s="6"/>
      <c r="BO964" s="6"/>
      <c r="BP964" s="6"/>
      <c r="BQ964" s="6"/>
    </row>
    <row r="965" spans="2:69" hidden="1" x14ac:dyDescent="0.2">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M965" s="6"/>
      <c r="AN965" s="6"/>
      <c r="AO965" s="6"/>
      <c r="AP965" s="6"/>
      <c r="AQ965" s="6"/>
      <c r="AR965" s="6"/>
      <c r="AS965" s="6"/>
      <c r="AT965" s="6"/>
      <c r="AU965" s="6"/>
      <c r="AV965" s="6"/>
      <c r="AW965" s="6"/>
      <c r="AX965" s="6"/>
      <c r="AY965" s="6"/>
      <c r="AZ965" s="6"/>
      <c r="BA965" s="6"/>
      <c r="BB965" s="6"/>
      <c r="BC965" s="6"/>
      <c r="BD965" s="6"/>
      <c r="BE965" s="6"/>
      <c r="BF965" s="6"/>
      <c r="BG965" s="6"/>
      <c r="BH965" s="6"/>
      <c r="BI965" s="6"/>
      <c r="BJ965" s="6"/>
      <c r="BK965" s="6"/>
      <c r="BL965" s="6"/>
      <c r="BM965" s="6"/>
      <c r="BN965" s="6"/>
      <c r="BO965" s="6"/>
      <c r="BP965" s="6"/>
      <c r="BQ965" s="6"/>
    </row>
    <row r="966" spans="2:69" hidden="1" x14ac:dyDescent="0.2">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c r="AM966" s="6"/>
      <c r="AN966" s="6"/>
      <c r="AO966" s="6"/>
      <c r="AP966" s="6"/>
      <c r="AQ966" s="6"/>
      <c r="AR966" s="6"/>
      <c r="AS966" s="6"/>
      <c r="AT966" s="6"/>
      <c r="AU966" s="6"/>
      <c r="AV966" s="6"/>
      <c r="AW966" s="6"/>
      <c r="AX966" s="6"/>
      <c r="AY966" s="6"/>
      <c r="AZ966" s="6"/>
      <c r="BA966" s="6"/>
      <c r="BB966" s="6"/>
      <c r="BC966" s="6"/>
      <c r="BD966" s="6"/>
      <c r="BE966" s="6"/>
      <c r="BF966" s="6"/>
      <c r="BG966" s="6"/>
      <c r="BH966" s="6"/>
      <c r="BI966" s="6"/>
      <c r="BJ966" s="6"/>
      <c r="BK966" s="6"/>
      <c r="BL966" s="6"/>
      <c r="BM966" s="6"/>
      <c r="BN966" s="6"/>
      <c r="BO966" s="6"/>
      <c r="BP966" s="6"/>
      <c r="BQ966" s="6"/>
    </row>
    <row r="967" spans="2:69" hidden="1" x14ac:dyDescent="0.2">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c r="AM967" s="6"/>
      <c r="AN967" s="6"/>
      <c r="AO967" s="6"/>
      <c r="AP967" s="6"/>
      <c r="AQ967" s="6"/>
      <c r="AR967" s="6"/>
      <c r="AS967" s="6"/>
      <c r="AT967" s="6"/>
      <c r="AU967" s="6"/>
      <c r="AV967" s="6"/>
      <c r="AW967" s="6"/>
      <c r="AX967" s="6"/>
      <c r="AY967" s="6"/>
      <c r="AZ967" s="6"/>
      <c r="BA967" s="6"/>
      <c r="BB967" s="6"/>
      <c r="BC967" s="6"/>
      <c r="BD967" s="6"/>
      <c r="BE967" s="6"/>
      <c r="BF967" s="6"/>
      <c r="BG967" s="6"/>
      <c r="BH967" s="6"/>
      <c r="BI967" s="6"/>
      <c r="BJ967" s="6"/>
      <c r="BK967" s="6"/>
      <c r="BL967" s="6"/>
      <c r="BM967" s="6"/>
      <c r="BN967" s="6"/>
      <c r="BO967" s="6"/>
      <c r="BP967" s="6"/>
      <c r="BQ967" s="6"/>
    </row>
    <row r="968" spans="2:69" hidden="1" x14ac:dyDescent="0.2">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M968" s="6"/>
      <c r="AN968" s="6"/>
      <c r="AO968" s="6"/>
      <c r="AP968" s="6"/>
      <c r="AQ968" s="6"/>
      <c r="AR968" s="6"/>
      <c r="AS968" s="6"/>
      <c r="AT968" s="6"/>
      <c r="AU968" s="6"/>
      <c r="AV968" s="6"/>
      <c r="AW968" s="6"/>
      <c r="AX968" s="6"/>
      <c r="AY968" s="6"/>
      <c r="AZ968" s="6"/>
      <c r="BA968" s="6"/>
      <c r="BB968" s="6"/>
      <c r="BC968" s="6"/>
      <c r="BD968" s="6"/>
      <c r="BE968" s="6"/>
      <c r="BF968" s="6"/>
      <c r="BG968" s="6"/>
      <c r="BH968" s="6"/>
      <c r="BI968" s="6"/>
      <c r="BJ968" s="6"/>
      <c r="BK968" s="6"/>
      <c r="BL968" s="6"/>
      <c r="BM968" s="6"/>
      <c r="BN968" s="6"/>
      <c r="BO968" s="6"/>
      <c r="BP968" s="6"/>
      <c r="BQ968" s="6"/>
    </row>
    <row r="969" spans="2:69" hidden="1" x14ac:dyDescent="0.2">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M969" s="6"/>
      <c r="AN969" s="6"/>
      <c r="AO969" s="6"/>
      <c r="AP969" s="6"/>
      <c r="AQ969" s="6"/>
      <c r="AR969" s="6"/>
      <c r="AS969" s="6"/>
      <c r="AT969" s="6"/>
      <c r="AU969" s="6"/>
      <c r="AV969" s="6"/>
      <c r="AW969" s="6"/>
      <c r="AX969" s="6"/>
      <c r="AY969" s="6"/>
      <c r="AZ969" s="6"/>
      <c r="BA969" s="6"/>
      <c r="BB969" s="6"/>
      <c r="BC969" s="6"/>
      <c r="BD969" s="6"/>
      <c r="BE969" s="6"/>
      <c r="BF969" s="6"/>
      <c r="BG969" s="6"/>
      <c r="BH969" s="6"/>
      <c r="BI969" s="6"/>
      <c r="BJ969" s="6"/>
      <c r="BK969" s="6"/>
      <c r="BL969" s="6"/>
      <c r="BM969" s="6"/>
      <c r="BN969" s="6"/>
      <c r="BO969" s="6"/>
      <c r="BP969" s="6"/>
      <c r="BQ969" s="6"/>
    </row>
    <row r="970" spans="2:69" hidden="1" x14ac:dyDescent="0.2">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M970" s="6"/>
      <c r="AN970" s="6"/>
      <c r="AO970" s="6"/>
      <c r="AP970" s="6"/>
      <c r="AQ970" s="6"/>
      <c r="AR970" s="6"/>
      <c r="AS970" s="6"/>
      <c r="AT970" s="6"/>
      <c r="AU970" s="6"/>
      <c r="AV970" s="6"/>
      <c r="AW970" s="6"/>
      <c r="AX970" s="6"/>
      <c r="AY970" s="6"/>
      <c r="AZ970" s="6"/>
      <c r="BA970" s="6"/>
      <c r="BB970" s="6"/>
      <c r="BC970" s="6"/>
      <c r="BD970" s="6"/>
      <c r="BE970" s="6"/>
      <c r="BF970" s="6"/>
      <c r="BG970" s="6"/>
      <c r="BH970" s="6"/>
      <c r="BI970" s="6"/>
      <c r="BJ970" s="6"/>
      <c r="BK970" s="6"/>
      <c r="BL970" s="6"/>
      <c r="BM970" s="6"/>
      <c r="BN970" s="6"/>
      <c r="BO970" s="6"/>
      <c r="BP970" s="6"/>
      <c r="BQ970" s="6"/>
    </row>
    <row r="971" spans="2:69" hidden="1" x14ac:dyDescent="0.2">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M971" s="6"/>
      <c r="AN971" s="6"/>
      <c r="AO971" s="6"/>
      <c r="AP971" s="6"/>
      <c r="AQ971" s="6"/>
      <c r="AR971" s="6"/>
      <c r="AS971" s="6"/>
      <c r="AT971" s="6"/>
      <c r="AU971" s="6"/>
      <c r="AV971" s="6"/>
      <c r="AW971" s="6"/>
      <c r="AX971" s="6"/>
      <c r="AY971" s="6"/>
      <c r="AZ971" s="6"/>
      <c r="BA971" s="6"/>
      <c r="BB971" s="6"/>
      <c r="BC971" s="6"/>
      <c r="BD971" s="6"/>
      <c r="BE971" s="6"/>
      <c r="BF971" s="6"/>
      <c r="BG971" s="6"/>
      <c r="BH971" s="6"/>
      <c r="BI971" s="6"/>
      <c r="BJ971" s="6"/>
      <c r="BK971" s="6"/>
      <c r="BL971" s="6"/>
      <c r="BM971" s="6"/>
      <c r="BN971" s="6"/>
      <c r="BO971" s="6"/>
      <c r="BP971" s="6"/>
      <c r="BQ971" s="6"/>
    </row>
    <row r="972" spans="2:69" hidden="1" x14ac:dyDescent="0.2">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M972" s="6"/>
      <c r="AN972" s="6"/>
      <c r="AO972" s="6"/>
      <c r="AP972" s="6"/>
      <c r="AQ972" s="6"/>
      <c r="AR972" s="6"/>
      <c r="AS972" s="6"/>
      <c r="AT972" s="6"/>
      <c r="AU972" s="6"/>
      <c r="AV972" s="6"/>
      <c r="AW972" s="6"/>
      <c r="AX972" s="6"/>
      <c r="AY972" s="6"/>
      <c r="AZ972" s="6"/>
      <c r="BA972" s="6"/>
      <c r="BB972" s="6"/>
      <c r="BC972" s="6"/>
      <c r="BD972" s="6"/>
      <c r="BE972" s="6"/>
      <c r="BF972" s="6"/>
      <c r="BG972" s="6"/>
      <c r="BH972" s="6"/>
      <c r="BI972" s="6"/>
      <c r="BJ972" s="6"/>
      <c r="BK972" s="6"/>
      <c r="BL972" s="6"/>
      <c r="BM972" s="6"/>
      <c r="BN972" s="6"/>
      <c r="BO972" s="6"/>
      <c r="BP972" s="6"/>
      <c r="BQ972" s="6"/>
    </row>
    <row r="973" spans="2:69" hidden="1" x14ac:dyDescent="0.2">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M973" s="6"/>
      <c r="AN973" s="6"/>
      <c r="AO973" s="6"/>
      <c r="AP973" s="6"/>
      <c r="AQ973" s="6"/>
      <c r="AR973" s="6"/>
      <c r="AS973" s="6"/>
      <c r="AT973" s="6"/>
      <c r="AU973" s="6"/>
      <c r="AV973" s="6"/>
      <c r="AW973" s="6"/>
      <c r="AX973" s="6"/>
      <c r="AY973" s="6"/>
      <c r="AZ973" s="6"/>
      <c r="BA973" s="6"/>
      <c r="BB973" s="6"/>
      <c r="BC973" s="6"/>
      <c r="BD973" s="6"/>
      <c r="BE973" s="6"/>
      <c r="BF973" s="6"/>
      <c r="BG973" s="6"/>
      <c r="BH973" s="6"/>
      <c r="BI973" s="6"/>
      <c r="BJ973" s="6"/>
      <c r="BK973" s="6"/>
      <c r="BL973" s="6"/>
      <c r="BM973" s="6"/>
      <c r="BN973" s="6"/>
      <c r="BO973" s="6"/>
      <c r="BP973" s="6"/>
      <c r="BQ973" s="6"/>
    </row>
    <row r="974" spans="2:69" hidden="1" x14ac:dyDescent="0.2">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c r="AM974" s="6"/>
      <c r="AN974" s="6"/>
      <c r="AO974" s="6"/>
      <c r="AP974" s="6"/>
      <c r="AQ974" s="6"/>
      <c r="AR974" s="6"/>
      <c r="AS974" s="6"/>
      <c r="AT974" s="6"/>
      <c r="AU974" s="6"/>
      <c r="AV974" s="6"/>
      <c r="AW974" s="6"/>
      <c r="AX974" s="6"/>
      <c r="AY974" s="6"/>
      <c r="AZ974" s="6"/>
      <c r="BA974" s="6"/>
      <c r="BB974" s="6"/>
      <c r="BC974" s="6"/>
      <c r="BD974" s="6"/>
      <c r="BE974" s="6"/>
      <c r="BF974" s="6"/>
      <c r="BG974" s="6"/>
      <c r="BH974" s="6"/>
      <c r="BI974" s="6"/>
      <c r="BJ974" s="6"/>
      <c r="BK974" s="6"/>
      <c r="BL974" s="6"/>
      <c r="BM974" s="6"/>
      <c r="BN974" s="6"/>
      <c r="BO974" s="6"/>
      <c r="BP974" s="6"/>
      <c r="BQ974" s="6"/>
    </row>
    <row r="975" spans="2:69" hidden="1" x14ac:dyDescent="0.2">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c r="AM975" s="6"/>
      <c r="AN975" s="6"/>
      <c r="AO975" s="6"/>
      <c r="AP975" s="6"/>
      <c r="AQ975" s="6"/>
      <c r="AR975" s="6"/>
      <c r="AS975" s="6"/>
      <c r="AT975" s="6"/>
      <c r="AU975" s="6"/>
      <c r="AV975" s="6"/>
      <c r="AW975" s="6"/>
      <c r="AX975" s="6"/>
      <c r="AY975" s="6"/>
      <c r="AZ975" s="6"/>
      <c r="BA975" s="6"/>
      <c r="BB975" s="6"/>
      <c r="BC975" s="6"/>
      <c r="BD975" s="6"/>
      <c r="BE975" s="6"/>
      <c r="BF975" s="6"/>
      <c r="BG975" s="6"/>
      <c r="BH975" s="6"/>
      <c r="BI975" s="6"/>
      <c r="BJ975" s="6"/>
      <c r="BK975" s="6"/>
      <c r="BL975" s="6"/>
      <c r="BM975" s="6"/>
      <c r="BN975" s="6"/>
      <c r="BO975" s="6"/>
      <c r="BP975" s="6"/>
      <c r="BQ975" s="6"/>
    </row>
    <row r="976" spans="2:69" hidden="1" x14ac:dyDescent="0.2">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c r="AM976" s="6"/>
      <c r="AN976" s="6"/>
      <c r="AO976" s="6"/>
      <c r="AP976" s="6"/>
      <c r="AQ976" s="6"/>
      <c r="AR976" s="6"/>
      <c r="AS976" s="6"/>
      <c r="AT976" s="6"/>
      <c r="AU976" s="6"/>
      <c r="AV976" s="6"/>
      <c r="AW976" s="6"/>
      <c r="AX976" s="6"/>
      <c r="AY976" s="6"/>
      <c r="AZ976" s="6"/>
      <c r="BA976" s="6"/>
      <c r="BB976" s="6"/>
      <c r="BC976" s="6"/>
      <c r="BD976" s="6"/>
      <c r="BE976" s="6"/>
      <c r="BF976" s="6"/>
      <c r="BG976" s="6"/>
      <c r="BH976" s="6"/>
      <c r="BI976" s="6"/>
      <c r="BJ976" s="6"/>
      <c r="BK976" s="6"/>
      <c r="BL976" s="6"/>
      <c r="BM976" s="6"/>
      <c r="BN976" s="6"/>
      <c r="BO976" s="6"/>
      <c r="BP976" s="6"/>
      <c r="BQ976" s="6"/>
    </row>
    <row r="977" spans="2:69" hidden="1" x14ac:dyDescent="0.2">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c r="AM977" s="6"/>
      <c r="AN977" s="6"/>
      <c r="AO977" s="6"/>
      <c r="AP977" s="6"/>
      <c r="AQ977" s="6"/>
      <c r="AR977" s="6"/>
      <c r="AS977" s="6"/>
      <c r="AT977" s="6"/>
      <c r="AU977" s="6"/>
      <c r="AV977" s="6"/>
      <c r="AW977" s="6"/>
      <c r="AX977" s="6"/>
      <c r="AY977" s="6"/>
      <c r="AZ977" s="6"/>
      <c r="BA977" s="6"/>
      <c r="BB977" s="6"/>
      <c r="BC977" s="6"/>
      <c r="BD977" s="6"/>
      <c r="BE977" s="6"/>
      <c r="BF977" s="6"/>
      <c r="BG977" s="6"/>
      <c r="BH977" s="6"/>
      <c r="BI977" s="6"/>
      <c r="BJ977" s="6"/>
      <c r="BK977" s="6"/>
      <c r="BL977" s="6"/>
      <c r="BM977" s="6"/>
      <c r="BN977" s="6"/>
      <c r="BO977" s="6"/>
      <c r="BP977" s="6"/>
      <c r="BQ977" s="6"/>
    </row>
    <row r="978" spans="2:69" hidden="1" x14ac:dyDescent="0.2">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c r="AM978" s="6"/>
      <c r="AN978" s="6"/>
      <c r="AO978" s="6"/>
      <c r="AP978" s="6"/>
      <c r="AQ978" s="6"/>
      <c r="AR978" s="6"/>
      <c r="AS978" s="6"/>
      <c r="AT978" s="6"/>
      <c r="AU978" s="6"/>
      <c r="AV978" s="6"/>
      <c r="AW978" s="6"/>
      <c r="AX978" s="6"/>
      <c r="AY978" s="6"/>
      <c r="AZ978" s="6"/>
      <c r="BA978" s="6"/>
      <c r="BB978" s="6"/>
      <c r="BC978" s="6"/>
      <c r="BD978" s="6"/>
      <c r="BE978" s="6"/>
      <c r="BF978" s="6"/>
      <c r="BG978" s="6"/>
      <c r="BH978" s="6"/>
      <c r="BI978" s="6"/>
      <c r="BJ978" s="6"/>
      <c r="BK978" s="6"/>
      <c r="BL978" s="6"/>
      <c r="BM978" s="6"/>
      <c r="BN978" s="6"/>
      <c r="BO978" s="6"/>
      <c r="BP978" s="6"/>
      <c r="BQ978" s="6"/>
    </row>
    <row r="979" spans="2:69" hidden="1" x14ac:dyDescent="0.2">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c r="AM979" s="6"/>
      <c r="AN979" s="6"/>
      <c r="AO979" s="6"/>
      <c r="AP979" s="6"/>
      <c r="AQ979" s="6"/>
      <c r="AR979" s="6"/>
      <c r="AS979" s="6"/>
      <c r="AT979" s="6"/>
      <c r="AU979" s="6"/>
      <c r="AV979" s="6"/>
      <c r="AW979" s="6"/>
      <c r="AX979" s="6"/>
      <c r="AY979" s="6"/>
      <c r="AZ979" s="6"/>
      <c r="BA979" s="6"/>
      <c r="BB979" s="6"/>
      <c r="BC979" s="6"/>
      <c r="BD979" s="6"/>
      <c r="BE979" s="6"/>
      <c r="BF979" s="6"/>
      <c r="BG979" s="6"/>
      <c r="BH979" s="6"/>
      <c r="BI979" s="6"/>
      <c r="BJ979" s="6"/>
      <c r="BK979" s="6"/>
      <c r="BL979" s="6"/>
      <c r="BM979" s="6"/>
      <c r="BN979" s="6"/>
      <c r="BO979" s="6"/>
      <c r="BP979" s="6"/>
      <c r="BQ979" s="6"/>
    </row>
    <row r="980" spans="2:69" hidden="1" x14ac:dyDescent="0.2">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c r="AM980" s="6"/>
      <c r="AN980" s="6"/>
      <c r="AO980" s="6"/>
      <c r="AP980" s="6"/>
      <c r="AQ980" s="6"/>
      <c r="AR980" s="6"/>
      <c r="AS980" s="6"/>
      <c r="AT980" s="6"/>
      <c r="AU980" s="6"/>
      <c r="AV980" s="6"/>
      <c r="AW980" s="6"/>
      <c r="AX980" s="6"/>
      <c r="AY980" s="6"/>
      <c r="AZ980" s="6"/>
      <c r="BA980" s="6"/>
      <c r="BB980" s="6"/>
      <c r="BC980" s="6"/>
      <c r="BD980" s="6"/>
      <c r="BE980" s="6"/>
      <c r="BF980" s="6"/>
      <c r="BG980" s="6"/>
      <c r="BH980" s="6"/>
      <c r="BI980" s="6"/>
      <c r="BJ980" s="6"/>
      <c r="BK980" s="6"/>
      <c r="BL980" s="6"/>
      <c r="BM980" s="6"/>
      <c r="BN980" s="6"/>
      <c r="BO980" s="6"/>
      <c r="BP980" s="6"/>
      <c r="BQ980" s="6"/>
    </row>
    <row r="981" spans="2:69" hidden="1" x14ac:dyDescent="0.2">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c r="AM981" s="6"/>
      <c r="AN981" s="6"/>
      <c r="AO981" s="6"/>
      <c r="AP981" s="6"/>
      <c r="AQ981" s="6"/>
      <c r="AR981" s="6"/>
      <c r="AS981" s="6"/>
      <c r="AT981" s="6"/>
      <c r="AU981" s="6"/>
      <c r="AV981" s="6"/>
      <c r="AW981" s="6"/>
      <c r="AX981" s="6"/>
      <c r="AY981" s="6"/>
      <c r="AZ981" s="6"/>
      <c r="BA981" s="6"/>
      <c r="BB981" s="6"/>
      <c r="BC981" s="6"/>
      <c r="BD981" s="6"/>
      <c r="BE981" s="6"/>
      <c r="BF981" s="6"/>
      <c r="BG981" s="6"/>
      <c r="BH981" s="6"/>
      <c r="BI981" s="6"/>
      <c r="BJ981" s="6"/>
      <c r="BK981" s="6"/>
      <c r="BL981" s="6"/>
      <c r="BM981" s="6"/>
      <c r="BN981" s="6"/>
      <c r="BO981" s="6"/>
      <c r="BP981" s="6"/>
      <c r="BQ981" s="6"/>
    </row>
    <row r="982" spans="2:69" hidden="1" x14ac:dyDescent="0.2">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c r="AM982" s="6"/>
      <c r="AN982" s="6"/>
      <c r="AO982" s="6"/>
      <c r="AP982" s="6"/>
      <c r="AQ982" s="6"/>
      <c r="AR982" s="6"/>
      <c r="AS982" s="6"/>
      <c r="AT982" s="6"/>
      <c r="AU982" s="6"/>
      <c r="AV982" s="6"/>
      <c r="AW982" s="6"/>
      <c r="AX982" s="6"/>
      <c r="AY982" s="6"/>
      <c r="AZ982" s="6"/>
      <c r="BA982" s="6"/>
      <c r="BB982" s="6"/>
      <c r="BC982" s="6"/>
      <c r="BD982" s="6"/>
      <c r="BE982" s="6"/>
      <c r="BF982" s="6"/>
      <c r="BG982" s="6"/>
      <c r="BH982" s="6"/>
      <c r="BI982" s="6"/>
      <c r="BJ982" s="6"/>
      <c r="BK982" s="6"/>
      <c r="BL982" s="6"/>
      <c r="BM982" s="6"/>
      <c r="BN982" s="6"/>
      <c r="BO982" s="6"/>
      <c r="BP982" s="6"/>
      <c r="BQ982" s="6"/>
    </row>
    <row r="983" spans="2:69" hidden="1" x14ac:dyDescent="0.2">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c r="AM983" s="6"/>
      <c r="AN983" s="6"/>
      <c r="AO983" s="6"/>
      <c r="AP983" s="6"/>
      <c r="AQ983" s="6"/>
      <c r="AR983" s="6"/>
      <c r="AS983" s="6"/>
      <c r="AT983" s="6"/>
      <c r="AU983" s="6"/>
      <c r="AV983" s="6"/>
      <c r="AW983" s="6"/>
      <c r="AX983" s="6"/>
      <c r="AY983" s="6"/>
      <c r="AZ983" s="6"/>
      <c r="BA983" s="6"/>
      <c r="BB983" s="6"/>
      <c r="BC983" s="6"/>
      <c r="BD983" s="6"/>
      <c r="BE983" s="6"/>
      <c r="BF983" s="6"/>
      <c r="BG983" s="6"/>
      <c r="BH983" s="6"/>
      <c r="BI983" s="6"/>
      <c r="BJ983" s="6"/>
      <c r="BK983" s="6"/>
      <c r="BL983" s="6"/>
      <c r="BM983" s="6"/>
      <c r="BN983" s="6"/>
      <c r="BO983" s="6"/>
      <c r="BP983" s="6"/>
      <c r="BQ983" s="6"/>
    </row>
    <row r="984" spans="2:69" hidden="1" x14ac:dyDescent="0.2">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c r="AM984" s="6"/>
      <c r="AN984" s="6"/>
      <c r="AO984" s="6"/>
      <c r="AP984" s="6"/>
      <c r="AQ984" s="6"/>
      <c r="AR984" s="6"/>
      <c r="AS984" s="6"/>
      <c r="AT984" s="6"/>
      <c r="AU984" s="6"/>
      <c r="AV984" s="6"/>
      <c r="AW984" s="6"/>
      <c r="AX984" s="6"/>
      <c r="AY984" s="6"/>
      <c r="AZ984" s="6"/>
      <c r="BA984" s="6"/>
      <c r="BB984" s="6"/>
      <c r="BC984" s="6"/>
      <c r="BD984" s="6"/>
      <c r="BE984" s="6"/>
      <c r="BF984" s="6"/>
      <c r="BG984" s="6"/>
      <c r="BH984" s="6"/>
      <c r="BI984" s="6"/>
      <c r="BJ984" s="6"/>
      <c r="BK984" s="6"/>
      <c r="BL984" s="6"/>
      <c r="BM984" s="6"/>
      <c r="BN984" s="6"/>
      <c r="BO984" s="6"/>
      <c r="BP984" s="6"/>
      <c r="BQ984" s="6"/>
    </row>
    <row r="985" spans="2:69" hidden="1" x14ac:dyDescent="0.2">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c r="AM985" s="6"/>
      <c r="AN985" s="6"/>
      <c r="AO985" s="6"/>
      <c r="AP985" s="6"/>
      <c r="AQ985" s="6"/>
      <c r="AR985" s="6"/>
      <c r="AS985" s="6"/>
      <c r="AT985" s="6"/>
      <c r="AU985" s="6"/>
      <c r="AV985" s="6"/>
      <c r="AW985" s="6"/>
      <c r="AX985" s="6"/>
      <c r="AY985" s="6"/>
      <c r="AZ985" s="6"/>
      <c r="BA985" s="6"/>
      <c r="BB985" s="6"/>
      <c r="BC985" s="6"/>
      <c r="BD985" s="6"/>
      <c r="BE985" s="6"/>
      <c r="BF985" s="6"/>
      <c r="BG985" s="6"/>
      <c r="BH985" s="6"/>
      <c r="BI985" s="6"/>
      <c r="BJ985" s="6"/>
      <c r="BK985" s="6"/>
      <c r="BL985" s="6"/>
      <c r="BM985" s="6"/>
      <c r="BN985" s="6"/>
      <c r="BO985" s="6"/>
      <c r="BP985" s="6"/>
      <c r="BQ985" s="6"/>
    </row>
    <row r="986" spans="2:69" hidden="1" x14ac:dyDescent="0.2">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c r="AM986" s="6"/>
      <c r="AN986" s="6"/>
      <c r="AO986" s="6"/>
      <c r="AP986" s="6"/>
      <c r="AQ986" s="6"/>
      <c r="AR986" s="6"/>
      <c r="AS986" s="6"/>
      <c r="AT986" s="6"/>
      <c r="AU986" s="6"/>
      <c r="AV986" s="6"/>
      <c r="AW986" s="6"/>
      <c r="AX986" s="6"/>
      <c r="AY986" s="6"/>
      <c r="AZ986" s="6"/>
      <c r="BA986" s="6"/>
      <c r="BB986" s="6"/>
      <c r="BC986" s="6"/>
      <c r="BD986" s="6"/>
      <c r="BE986" s="6"/>
      <c r="BF986" s="6"/>
      <c r="BG986" s="6"/>
      <c r="BH986" s="6"/>
      <c r="BI986" s="6"/>
      <c r="BJ986" s="6"/>
      <c r="BK986" s="6"/>
      <c r="BL986" s="6"/>
      <c r="BM986" s="6"/>
      <c r="BN986" s="6"/>
      <c r="BO986" s="6"/>
      <c r="BP986" s="6"/>
      <c r="BQ986" s="6"/>
    </row>
    <row r="987" spans="2:69" hidden="1" x14ac:dyDescent="0.2">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c r="AM987" s="6"/>
      <c r="AN987" s="6"/>
      <c r="AO987" s="6"/>
      <c r="AP987" s="6"/>
      <c r="AQ987" s="6"/>
      <c r="AR987" s="6"/>
      <c r="AS987" s="6"/>
      <c r="AT987" s="6"/>
      <c r="AU987" s="6"/>
      <c r="AV987" s="6"/>
      <c r="AW987" s="6"/>
      <c r="AX987" s="6"/>
      <c r="AY987" s="6"/>
      <c r="AZ987" s="6"/>
      <c r="BA987" s="6"/>
      <c r="BB987" s="6"/>
      <c r="BC987" s="6"/>
      <c r="BD987" s="6"/>
      <c r="BE987" s="6"/>
      <c r="BF987" s="6"/>
      <c r="BG987" s="6"/>
      <c r="BH987" s="6"/>
      <c r="BI987" s="6"/>
      <c r="BJ987" s="6"/>
      <c r="BK987" s="6"/>
      <c r="BL987" s="6"/>
      <c r="BM987" s="6"/>
      <c r="BN987" s="6"/>
      <c r="BO987" s="6"/>
      <c r="BP987" s="6"/>
      <c r="BQ987" s="6"/>
    </row>
    <row r="988" spans="2:69" hidden="1" x14ac:dyDescent="0.2">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c r="AM988" s="6"/>
      <c r="AN988" s="6"/>
      <c r="AO988" s="6"/>
      <c r="AP988" s="6"/>
      <c r="AQ988" s="6"/>
      <c r="AR988" s="6"/>
      <c r="AS988" s="6"/>
      <c r="AT988" s="6"/>
      <c r="AU988" s="6"/>
      <c r="AV988" s="6"/>
      <c r="AW988" s="6"/>
      <c r="AX988" s="6"/>
      <c r="AY988" s="6"/>
      <c r="AZ988" s="6"/>
      <c r="BA988" s="6"/>
      <c r="BB988" s="6"/>
      <c r="BC988" s="6"/>
      <c r="BD988" s="6"/>
      <c r="BE988" s="6"/>
      <c r="BF988" s="6"/>
      <c r="BG988" s="6"/>
      <c r="BH988" s="6"/>
      <c r="BI988" s="6"/>
      <c r="BJ988" s="6"/>
      <c r="BK988" s="6"/>
      <c r="BL988" s="6"/>
      <c r="BM988" s="6"/>
      <c r="BN988" s="6"/>
      <c r="BO988" s="6"/>
      <c r="BP988" s="6"/>
      <c r="BQ988" s="6"/>
    </row>
    <row r="989" spans="2:69" hidden="1" x14ac:dyDescent="0.2">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c r="AM989" s="6"/>
      <c r="AN989" s="6"/>
      <c r="AO989" s="6"/>
      <c r="AP989" s="6"/>
      <c r="AQ989" s="6"/>
      <c r="AR989" s="6"/>
      <c r="AS989" s="6"/>
      <c r="AT989" s="6"/>
      <c r="AU989" s="6"/>
      <c r="AV989" s="6"/>
      <c r="AW989" s="6"/>
      <c r="AX989" s="6"/>
      <c r="AY989" s="6"/>
      <c r="AZ989" s="6"/>
      <c r="BA989" s="6"/>
      <c r="BB989" s="6"/>
      <c r="BC989" s="6"/>
      <c r="BD989" s="6"/>
      <c r="BE989" s="6"/>
      <c r="BF989" s="6"/>
      <c r="BG989" s="6"/>
      <c r="BH989" s="6"/>
      <c r="BI989" s="6"/>
      <c r="BJ989" s="6"/>
      <c r="BK989" s="6"/>
      <c r="BL989" s="6"/>
      <c r="BM989" s="6"/>
      <c r="BN989" s="6"/>
      <c r="BO989" s="6"/>
      <c r="BP989" s="6"/>
      <c r="BQ989" s="6"/>
    </row>
    <row r="990" spans="2:69" hidden="1" x14ac:dyDescent="0.2">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c r="AM990" s="6"/>
      <c r="AN990" s="6"/>
      <c r="AO990" s="6"/>
      <c r="AP990" s="6"/>
      <c r="AQ990" s="6"/>
      <c r="AR990" s="6"/>
      <c r="AS990" s="6"/>
      <c r="AT990" s="6"/>
      <c r="AU990" s="6"/>
      <c r="AV990" s="6"/>
      <c r="AW990" s="6"/>
      <c r="AX990" s="6"/>
      <c r="AY990" s="6"/>
      <c r="AZ990" s="6"/>
      <c r="BA990" s="6"/>
      <c r="BB990" s="6"/>
      <c r="BC990" s="6"/>
      <c r="BD990" s="6"/>
      <c r="BE990" s="6"/>
      <c r="BF990" s="6"/>
      <c r="BG990" s="6"/>
      <c r="BH990" s="6"/>
      <c r="BI990" s="6"/>
      <c r="BJ990" s="6"/>
      <c r="BK990" s="6"/>
      <c r="BL990" s="6"/>
      <c r="BM990" s="6"/>
      <c r="BN990" s="6"/>
      <c r="BO990" s="6"/>
      <c r="BP990" s="6"/>
      <c r="BQ990" s="6"/>
    </row>
    <row r="991" spans="2:69" hidden="1" x14ac:dyDescent="0.2">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c r="AM991" s="6"/>
      <c r="AN991" s="6"/>
      <c r="AO991" s="6"/>
      <c r="AP991" s="6"/>
      <c r="AQ991" s="6"/>
      <c r="AR991" s="6"/>
      <c r="AS991" s="6"/>
      <c r="AT991" s="6"/>
      <c r="AU991" s="6"/>
      <c r="AV991" s="6"/>
      <c r="AW991" s="6"/>
      <c r="AX991" s="6"/>
      <c r="AY991" s="6"/>
      <c r="AZ991" s="6"/>
      <c r="BA991" s="6"/>
      <c r="BB991" s="6"/>
      <c r="BC991" s="6"/>
      <c r="BD991" s="6"/>
      <c r="BE991" s="6"/>
      <c r="BF991" s="6"/>
      <c r="BG991" s="6"/>
      <c r="BH991" s="6"/>
      <c r="BI991" s="6"/>
      <c r="BJ991" s="6"/>
      <c r="BK991" s="6"/>
      <c r="BL991" s="6"/>
      <c r="BM991" s="6"/>
      <c r="BN991" s="6"/>
      <c r="BO991" s="6"/>
      <c r="BP991" s="6"/>
      <c r="BQ991" s="6"/>
    </row>
    <row r="992" spans="2:69" hidden="1" x14ac:dyDescent="0.2">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c r="AM992" s="6"/>
      <c r="AN992" s="6"/>
      <c r="AO992" s="6"/>
      <c r="AP992" s="6"/>
      <c r="AQ992" s="6"/>
      <c r="AR992" s="6"/>
      <c r="AS992" s="6"/>
      <c r="AT992" s="6"/>
      <c r="AU992" s="6"/>
      <c r="AV992" s="6"/>
      <c r="AW992" s="6"/>
      <c r="AX992" s="6"/>
      <c r="AY992" s="6"/>
      <c r="AZ992" s="6"/>
      <c r="BA992" s="6"/>
      <c r="BB992" s="6"/>
      <c r="BC992" s="6"/>
      <c r="BD992" s="6"/>
      <c r="BE992" s="6"/>
      <c r="BF992" s="6"/>
      <c r="BG992" s="6"/>
      <c r="BH992" s="6"/>
      <c r="BI992" s="6"/>
      <c r="BJ992" s="6"/>
      <c r="BK992" s="6"/>
      <c r="BL992" s="6"/>
      <c r="BM992" s="6"/>
      <c r="BN992" s="6"/>
      <c r="BO992" s="6"/>
      <c r="BP992" s="6"/>
      <c r="BQ992" s="6"/>
    </row>
    <row r="993" spans="2:69" hidden="1" x14ac:dyDescent="0.2">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M993" s="6"/>
      <c r="AN993" s="6"/>
      <c r="AO993" s="6"/>
      <c r="AP993" s="6"/>
      <c r="AQ993" s="6"/>
      <c r="AR993" s="6"/>
      <c r="AS993" s="6"/>
      <c r="AT993" s="6"/>
      <c r="AU993" s="6"/>
      <c r="AV993" s="6"/>
      <c r="AW993" s="6"/>
      <c r="AX993" s="6"/>
      <c r="AY993" s="6"/>
      <c r="AZ993" s="6"/>
      <c r="BA993" s="6"/>
      <c r="BB993" s="6"/>
      <c r="BC993" s="6"/>
      <c r="BD993" s="6"/>
      <c r="BE993" s="6"/>
      <c r="BF993" s="6"/>
      <c r="BG993" s="6"/>
      <c r="BH993" s="6"/>
      <c r="BI993" s="6"/>
      <c r="BJ993" s="6"/>
      <c r="BK993" s="6"/>
      <c r="BL993" s="6"/>
      <c r="BM993" s="6"/>
      <c r="BN993" s="6"/>
      <c r="BO993" s="6"/>
      <c r="BP993" s="6"/>
      <c r="BQ993" s="6"/>
    </row>
    <row r="994" spans="2:69" hidden="1" x14ac:dyDescent="0.2">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M994" s="6"/>
      <c r="AN994" s="6"/>
      <c r="AO994" s="6"/>
      <c r="AP994" s="6"/>
      <c r="AQ994" s="6"/>
      <c r="AR994" s="6"/>
      <c r="AS994" s="6"/>
      <c r="AT994" s="6"/>
      <c r="AU994" s="6"/>
      <c r="AV994" s="6"/>
      <c r="AW994" s="6"/>
      <c r="AX994" s="6"/>
      <c r="AY994" s="6"/>
      <c r="AZ994" s="6"/>
      <c r="BA994" s="6"/>
      <c r="BB994" s="6"/>
      <c r="BC994" s="6"/>
      <c r="BD994" s="6"/>
      <c r="BE994" s="6"/>
      <c r="BF994" s="6"/>
      <c r="BG994" s="6"/>
      <c r="BH994" s="6"/>
      <c r="BI994" s="6"/>
      <c r="BJ994" s="6"/>
      <c r="BK994" s="6"/>
      <c r="BL994" s="6"/>
      <c r="BM994" s="6"/>
      <c r="BN994" s="6"/>
      <c r="BO994" s="6"/>
      <c r="BP994" s="6"/>
      <c r="BQ994" s="6"/>
    </row>
    <row r="995" spans="2:69" hidden="1" x14ac:dyDescent="0.2">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M995" s="6"/>
      <c r="AN995" s="6"/>
      <c r="AO995" s="6"/>
      <c r="AP995" s="6"/>
      <c r="AQ995" s="6"/>
      <c r="AR995" s="6"/>
      <c r="AS995" s="6"/>
      <c r="AT995" s="6"/>
      <c r="AU995" s="6"/>
      <c r="AV995" s="6"/>
      <c r="AW995" s="6"/>
      <c r="AX995" s="6"/>
      <c r="AY995" s="6"/>
      <c r="AZ995" s="6"/>
      <c r="BA995" s="6"/>
      <c r="BB995" s="6"/>
      <c r="BC995" s="6"/>
      <c r="BD995" s="6"/>
      <c r="BE995" s="6"/>
      <c r="BF995" s="6"/>
      <c r="BG995" s="6"/>
      <c r="BH995" s="6"/>
      <c r="BI995" s="6"/>
      <c r="BJ995" s="6"/>
      <c r="BK995" s="6"/>
      <c r="BL995" s="6"/>
      <c r="BM995" s="6"/>
      <c r="BN995" s="6"/>
      <c r="BO995" s="6"/>
      <c r="BP995" s="6"/>
      <c r="BQ995" s="6"/>
    </row>
    <row r="996" spans="2:69" hidden="1" x14ac:dyDescent="0.2">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M996" s="6"/>
      <c r="AN996" s="6"/>
      <c r="AO996" s="6"/>
      <c r="AP996" s="6"/>
      <c r="AQ996" s="6"/>
      <c r="AR996" s="6"/>
      <c r="AS996" s="6"/>
      <c r="AT996" s="6"/>
      <c r="AU996" s="6"/>
      <c r="AV996" s="6"/>
      <c r="AW996" s="6"/>
      <c r="AX996" s="6"/>
      <c r="AY996" s="6"/>
      <c r="AZ996" s="6"/>
      <c r="BA996" s="6"/>
      <c r="BB996" s="6"/>
      <c r="BC996" s="6"/>
      <c r="BD996" s="6"/>
      <c r="BE996" s="6"/>
      <c r="BF996" s="6"/>
      <c r="BG996" s="6"/>
      <c r="BH996" s="6"/>
      <c r="BI996" s="6"/>
      <c r="BJ996" s="6"/>
      <c r="BK996" s="6"/>
      <c r="BL996" s="6"/>
      <c r="BM996" s="6"/>
      <c r="BN996" s="6"/>
      <c r="BO996" s="6"/>
      <c r="BP996" s="6"/>
      <c r="BQ996" s="6"/>
    </row>
    <row r="997" spans="2:69" hidden="1" x14ac:dyDescent="0.2">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M997" s="6"/>
      <c r="AN997" s="6"/>
      <c r="AO997" s="6"/>
      <c r="AP997" s="6"/>
      <c r="AQ997" s="6"/>
      <c r="AR997" s="6"/>
      <c r="AS997" s="6"/>
      <c r="AT997" s="6"/>
      <c r="AU997" s="6"/>
      <c r="AV997" s="6"/>
      <c r="AW997" s="6"/>
      <c r="AX997" s="6"/>
      <c r="AY997" s="6"/>
      <c r="AZ997" s="6"/>
      <c r="BA997" s="6"/>
      <c r="BB997" s="6"/>
      <c r="BC997" s="6"/>
      <c r="BD997" s="6"/>
      <c r="BE997" s="6"/>
      <c r="BF997" s="6"/>
      <c r="BG997" s="6"/>
      <c r="BH997" s="6"/>
      <c r="BI997" s="6"/>
      <c r="BJ997" s="6"/>
      <c r="BK997" s="6"/>
      <c r="BL997" s="6"/>
      <c r="BM997" s="6"/>
      <c r="BN997" s="6"/>
      <c r="BO997" s="6"/>
      <c r="BP997" s="6"/>
      <c r="BQ997" s="6"/>
    </row>
    <row r="998" spans="2:69" hidden="1" x14ac:dyDescent="0.2">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M998" s="6"/>
      <c r="AN998" s="6"/>
      <c r="AO998" s="6"/>
      <c r="AP998" s="6"/>
      <c r="AQ998" s="6"/>
      <c r="AR998" s="6"/>
      <c r="AS998" s="6"/>
      <c r="AT998" s="6"/>
      <c r="AU998" s="6"/>
      <c r="AV998" s="6"/>
      <c r="AW998" s="6"/>
      <c r="AX998" s="6"/>
      <c r="AY998" s="6"/>
      <c r="AZ998" s="6"/>
      <c r="BA998" s="6"/>
      <c r="BB998" s="6"/>
      <c r="BC998" s="6"/>
      <c r="BD998" s="6"/>
      <c r="BE998" s="6"/>
      <c r="BF998" s="6"/>
      <c r="BG998" s="6"/>
      <c r="BH998" s="6"/>
      <c r="BI998" s="6"/>
      <c r="BJ998" s="6"/>
      <c r="BK998" s="6"/>
      <c r="BL998" s="6"/>
      <c r="BM998" s="6"/>
      <c r="BN998" s="6"/>
      <c r="BO998" s="6"/>
      <c r="BP998" s="6"/>
      <c r="BQ998" s="6"/>
    </row>
    <row r="999" spans="2:69" hidden="1" x14ac:dyDescent="0.2">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c r="AM999" s="6"/>
      <c r="AN999" s="6"/>
      <c r="AO999" s="6"/>
      <c r="AP999" s="6"/>
      <c r="AQ999" s="6"/>
      <c r="AR999" s="6"/>
      <c r="AS999" s="6"/>
      <c r="AT999" s="6"/>
      <c r="AU999" s="6"/>
      <c r="AV999" s="6"/>
      <c r="AW999" s="6"/>
      <c r="AX999" s="6"/>
      <c r="AY999" s="6"/>
      <c r="AZ999" s="6"/>
      <c r="BA999" s="6"/>
      <c r="BB999" s="6"/>
      <c r="BC999" s="6"/>
      <c r="BD999" s="6"/>
      <c r="BE999" s="6"/>
      <c r="BF999" s="6"/>
      <c r="BG999" s="6"/>
      <c r="BH999" s="6"/>
      <c r="BI999" s="6"/>
      <c r="BJ999" s="6"/>
      <c r="BK999" s="6"/>
      <c r="BL999" s="6"/>
      <c r="BM999" s="6"/>
      <c r="BN999" s="6"/>
      <c r="BO999" s="6"/>
      <c r="BP999" s="6"/>
      <c r="BQ999" s="6"/>
    </row>
    <row r="1000" spans="2:69" hidden="1" x14ac:dyDescent="0.2">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M1000" s="6"/>
      <c r="AN1000" s="6"/>
      <c r="AO1000" s="6"/>
      <c r="AP1000" s="6"/>
      <c r="AQ1000" s="6"/>
      <c r="AR1000" s="6"/>
      <c r="AS1000" s="6"/>
      <c r="AT1000" s="6"/>
      <c r="AU1000" s="6"/>
      <c r="AV1000" s="6"/>
      <c r="AW1000" s="6"/>
      <c r="AX1000" s="6"/>
      <c r="AY1000" s="6"/>
      <c r="AZ1000" s="6"/>
      <c r="BA1000" s="6"/>
      <c r="BB1000" s="6"/>
      <c r="BC1000" s="6"/>
      <c r="BD1000" s="6"/>
      <c r="BE1000" s="6"/>
      <c r="BF1000" s="6"/>
      <c r="BG1000" s="6"/>
      <c r="BH1000" s="6"/>
      <c r="BI1000" s="6"/>
      <c r="BJ1000" s="6"/>
      <c r="BK1000" s="6"/>
      <c r="BL1000" s="6"/>
      <c r="BM1000" s="6"/>
      <c r="BN1000" s="6"/>
      <c r="BO1000" s="6"/>
      <c r="BP1000" s="6"/>
      <c r="BQ1000" s="6"/>
    </row>
    <row r="1001" spans="2:69" hidden="1" x14ac:dyDescent="0.2">
      <c r="B1001" s="13"/>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M1001" s="6"/>
      <c r="AN1001" s="6"/>
      <c r="AO1001" s="6"/>
      <c r="AP1001" s="6"/>
      <c r="AQ1001" s="6"/>
      <c r="AR1001" s="6"/>
      <c r="AS1001" s="6"/>
      <c r="AT1001" s="6"/>
      <c r="AU1001" s="6"/>
      <c r="AV1001" s="6"/>
      <c r="AW1001" s="6"/>
      <c r="AX1001" s="6"/>
      <c r="AY1001" s="6"/>
      <c r="AZ1001" s="6"/>
      <c r="BA1001" s="6"/>
      <c r="BB1001" s="6"/>
      <c r="BC1001" s="6"/>
      <c r="BD1001" s="6"/>
      <c r="BE1001" s="6"/>
      <c r="BF1001" s="6"/>
      <c r="BG1001" s="6"/>
      <c r="BH1001" s="6"/>
      <c r="BI1001" s="6"/>
      <c r="BJ1001" s="6"/>
      <c r="BK1001" s="6"/>
      <c r="BL1001" s="6"/>
      <c r="BM1001" s="6"/>
      <c r="BN1001" s="6"/>
      <c r="BO1001" s="6"/>
      <c r="BP1001" s="6"/>
      <c r="BQ1001" s="6"/>
    </row>
    <row r="1002" spans="2:69" hidden="1" x14ac:dyDescent="0.2">
      <c r="B1002" s="13"/>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M1002" s="6"/>
      <c r="AN1002" s="6"/>
      <c r="AO1002" s="6"/>
      <c r="AP1002" s="6"/>
      <c r="AQ1002" s="6"/>
      <c r="AR1002" s="6"/>
      <c r="AS1002" s="6"/>
      <c r="AT1002" s="6"/>
      <c r="AU1002" s="6"/>
      <c r="AV1002" s="6"/>
      <c r="AW1002" s="6"/>
      <c r="AX1002" s="6"/>
      <c r="AY1002" s="6"/>
      <c r="AZ1002" s="6"/>
      <c r="BA1002" s="6"/>
      <c r="BB1002" s="6"/>
      <c r="BC1002" s="6"/>
      <c r="BD1002" s="6"/>
      <c r="BE1002" s="6"/>
      <c r="BF1002" s="6"/>
      <c r="BG1002" s="6"/>
      <c r="BH1002" s="6"/>
      <c r="BI1002" s="6"/>
      <c r="BJ1002" s="6"/>
      <c r="BK1002" s="6"/>
      <c r="BL1002" s="6"/>
      <c r="BM1002" s="6"/>
      <c r="BN1002" s="6"/>
      <c r="BO1002" s="6"/>
      <c r="BP1002" s="6"/>
      <c r="BQ1002" s="6"/>
    </row>
    <row r="1003" spans="2:69" hidden="1" x14ac:dyDescent="0.2">
      <c r="B1003" s="13"/>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M1003" s="6"/>
      <c r="AN1003" s="6"/>
      <c r="AO1003" s="6"/>
      <c r="AP1003" s="6"/>
      <c r="AQ1003" s="6"/>
      <c r="AR1003" s="6"/>
      <c r="AS1003" s="6"/>
      <c r="AT1003" s="6"/>
      <c r="AU1003" s="6"/>
      <c r="AV1003" s="6"/>
      <c r="AW1003" s="6"/>
      <c r="AX1003" s="6"/>
      <c r="AY1003" s="6"/>
      <c r="AZ1003" s="6"/>
      <c r="BA1003" s="6"/>
      <c r="BB1003" s="6"/>
      <c r="BC1003" s="6"/>
      <c r="BD1003" s="6"/>
      <c r="BE1003" s="6"/>
      <c r="BF1003" s="6"/>
      <c r="BG1003" s="6"/>
      <c r="BH1003" s="6"/>
      <c r="BI1003" s="6"/>
      <c r="BJ1003" s="6"/>
      <c r="BK1003" s="6"/>
      <c r="BL1003" s="6"/>
      <c r="BM1003" s="6"/>
      <c r="BN1003" s="6"/>
      <c r="BO1003" s="6"/>
      <c r="BP1003" s="6"/>
      <c r="BQ1003" s="6"/>
    </row>
    <row r="1004" spans="2:69" hidden="1" x14ac:dyDescent="0.2">
      <c r="B1004" s="13"/>
      <c r="C1004" s="13"/>
      <c r="D1004" s="13"/>
      <c r="E1004" s="13"/>
      <c r="F1004" s="13"/>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M1004" s="6"/>
      <c r="AN1004" s="6"/>
      <c r="AO1004" s="6"/>
      <c r="AP1004" s="6"/>
      <c r="AQ1004" s="6"/>
      <c r="AR1004" s="6"/>
      <c r="AS1004" s="6"/>
      <c r="AT1004" s="6"/>
      <c r="AU1004" s="6"/>
      <c r="AV1004" s="6"/>
      <c r="AW1004" s="6"/>
      <c r="AX1004" s="6"/>
      <c r="AY1004" s="6"/>
      <c r="AZ1004" s="6"/>
      <c r="BA1004" s="6"/>
      <c r="BB1004" s="6"/>
      <c r="BC1004" s="6"/>
      <c r="BD1004" s="6"/>
      <c r="BE1004" s="6"/>
      <c r="BF1004" s="6"/>
      <c r="BG1004" s="6"/>
      <c r="BH1004" s="6"/>
      <c r="BI1004" s="6"/>
      <c r="BJ1004" s="6"/>
      <c r="BK1004" s="6"/>
      <c r="BL1004" s="6"/>
      <c r="BM1004" s="6"/>
      <c r="BN1004" s="6"/>
      <c r="BO1004" s="6"/>
      <c r="BP1004" s="6"/>
      <c r="BQ1004" s="6"/>
    </row>
    <row r="1005" spans="2:69" hidden="1" x14ac:dyDescent="0.2">
      <c r="B1005" s="13"/>
      <c r="C1005" s="13"/>
      <c r="D1005" s="13"/>
      <c r="E1005" s="13"/>
      <c r="F1005" s="13"/>
      <c r="G1005" s="13"/>
      <c r="H1005" s="13"/>
      <c r="I1005" s="13"/>
      <c r="J1005" s="13"/>
      <c r="K1005" s="13"/>
      <c r="L1005" s="13"/>
      <c r="M1005" s="13"/>
      <c r="N1005" s="13"/>
      <c r="O1005" s="13"/>
      <c r="P1005" s="13"/>
      <c r="Q1005" s="13"/>
      <c r="R1005" s="13"/>
      <c r="S1005" s="13"/>
      <c r="T1005" s="13"/>
      <c r="U1005" s="13"/>
      <c r="V1005" s="13"/>
      <c r="W1005" s="13"/>
      <c r="X1005" s="13"/>
      <c r="Y1005" s="13"/>
      <c r="Z1005" s="13"/>
      <c r="AA1005" s="13"/>
      <c r="AB1005" s="13"/>
      <c r="AM1005" s="6"/>
      <c r="AN1005" s="6"/>
      <c r="AO1005" s="6"/>
      <c r="AP1005" s="6"/>
      <c r="AQ1005" s="6"/>
      <c r="AR1005" s="6"/>
      <c r="AS1005" s="6"/>
      <c r="AT1005" s="6"/>
      <c r="AU1005" s="6"/>
      <c r="AV1005" s="6"/>
      <c r="AW1005" s="6"/>
      <c r="AX1005" s="6"/>
      <c r="AY1005" s="6"/>
      <c r="AZ1005" s="6"/>
      <c r="BA1005" s="6"/>
      <c r="BB1005" s="6"/>
      <c r="BC1005" s="6"/>
      <c r="BD1005" s="6"/>
      <c r="BE1005" s="6"/>
      <c r="BF1005" s="6"/>
      <c r="BG1005" s="6"/>
      <c r="BH1005" s="6"/>
      <c r="BI1005" s="6"/>
      <c r="BJ1005" s="6"/>
      <c r="BK1005" s="6"/>
      <c r="BL1005" s="6"/>
      <c r="BM1005" s="6"/>
      <c r="BN1005" s="6"/>
      <c r="BO1005" s="6"/>
      <c r="BP1005" s="6"/>
      <c r="BQ1005" s="6"/>
    </row>
    <row r="1006" spans="2:69" hidden="1" x14ac:dyDescent="0.2">
      <c r="B1006" s="13"/>
      <c r="C1006" s="13"/>
      <c r="D1006" s="13"/>
      <c r="E1006" s="13"/>
      <c r="F1006" s="13"/>
      <c r="G1006" s="13"/>
      <c r="H1006" s="13"/>
      <c r="I1006" s="13"/>
      <c r="J1006" s="13"/>
      <c r="K1006" s="13"/>
      <c r="L1006" s="13"/>
      <c r="M1006" s="13"/>
      <c r="N1006" s="13"/>
      <c r="O1006" s="13"/>
      <c r="P1006" s="13"/>
      <c r="Q1006" s="13"/>
      <c r="R1006" s="13"/>
      <c r="S1006" s="13"/>
      <c r="T1006" s="13"/>
      <c r="U1006" s="13"/>
      <c r="V1006" s="13"/>
      <c r="W1006" s="13"/>
      <c r="X1006" s="13"/>
      <c r="Y1006" s="13"/>
      <c r="Z1006" s="13"/>
      <c r="AA1006" s="13"/>
      <c r="AB1006" s="13"/>
      <c r="AM1006" s="6"/>
      <c r="AN1006" s="6"/>
      <c r="AO1006" s="6"/>
      <c r="AP1006" s="6"/>
      <c r="AQ1006" s="6"/>
      <c r="AR1006" s="6"/>
      <c r="AS1006" s="6"/>
      <c r="AT1006" s="6"/>
      <c r="AU1006" s="6"/>
      <c r="AV1006" s="6"/>
      <c r="AW1006" s="6"/>
      <c r="AX1006" s="6"/>
      <c r="AY1006" s="6"/>
      <c r="AZ1006" s="6"/>
      <c r="BA1006" s="6"/>
      <c r="BB1006" s="6"/>
      <c r="BC1006" s="6"/>
      <c r="BD1006" s="6"/>
      <c r="BE1006" s="6"/>
      <c r="BF1006" s="6"/>
      <c r="BG1006" s="6"/>
      <c r="BH1006" s="6"/>
      <c r="BI1006" s="6"/>
      <c r="BJ1006" s="6"/>
      <c r="BK1006" s="6"/>
      <c r="BL1006" s="6"/>
      <c r="BM1006" s="6"/>
      <c r="BN1006" s="6"/>
      <c r="BO1006" s="6"/>
      <c r="BP1006" s="6"/>
      <c r="BQ1006" s="6"/>
    </row>
    <row r="1007" spans="2:69" hidden="1" x14ac:dyDescent="0.2">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M1007" s="6"/>
      <c r="AN1007" s="6"/>
      <c r="AO1007" s="6"/>
      <c r="AP1007" s="6"/>
      <c r="AQ1007" s="6"/>
      <c r="AR1007" s="6"/>
      <c r="AS1007" s="6"/>
      <c r="AT1007" s="6"/>
      <c r="AU1007" s="6"/>
      <c r="AV1007" s="6"/>
      <c r="AW1007" s="6"/>
      <c r="AX1007" s="6"/>
      <c r="AY1007" s="6"/>
      <c r="AZ1007" s="6"/>
      <c r="BA1007" s="6"/>
      <c r="BB1007" s="6"/>
      <c r="BC1007" s="6"/>
      <c r="BD1007" s="6"/>
      <c r="BE1007" s="6"/>
      <c r="BF1007" s="6"/>
      <c r="BG1007" s="6"/>
      <c r="BH1007" s="6"/>
      <c r="BI1007" s="6"/>
      <c r="BJ1007" s="6"/>
      <c r="BK1007" s="6"/>
      <c r="BL1007" s="6"/>
      <c r="BM1007" s="6"/>
      <c r="BN1007" s="6"/>
      <c r="BO1007" s="6"/>
      <c r="BP1007" s="6"/>
      <c r="BQ1007" s="6"/>
    </row>
    <row r="1008" spans="2:69" hidden="1" x14ac:dyDescent="0.2">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M1008" s="6"/>
      <c r="AN1008" s="6"/>
      <c r="AO1008" s="6"/>
      <c r="AP1008" s="6"/>
      <c r="AQ1008" s="6"/>
      <c r="AR1008" s="6"/>
      <c r="AS1008" s="6"/>
      <c r="AT1008" s="6"/>
      <c r="AU1008" s="6"/>
      <c r="AV1008" s="6"/>
      <c r="AW1008" s="6"/>
      <c r="AX1008" s="6"/>
      <c r="AY1008" s="6"/>
      <c r="AZ1008" s="6"/>
      <c r="BA1008" s="6"/>
      <c r="BB1008" s="6"/>
      <c r="BC1008" s="6"/>
      <c r="BD1008" s="6"/>
      <c r="BE1008" s="6"/>
      <c r="BF1008" s="6"/>
      <c r="BG1008" s="6"/>
      <c r="BH1008" s="6"/>
      <c r="BI1008" s="6"/>
      <c r="BJ1008" s="6"/>
      <c r="BK1008" s="6"/>
      <c r="BL1008" s="6"/>
      <c r="BM1008" s="6"/>
      <c r="BN1008" s="6"/>
      <c r="BO1008" s="6"/>
      <c r="BP1008" s="6"/>
      <c r="BQ1008" s="6"/>
    </row>
    <row r="1009" spans="2:69" hidden="1" x14ac:dyDescent="0.2">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M1009" s="6"/>
      <c r="AN1009" s="6"/>
      <c r="AO1009" s="6"/>
      <c r="AP1009" s="6"/>
      <c r="AQ1009" s="6"/>
      <c r="AR1009" s="6"/>
      <c r="AS1009" s="6"/>
      <c r="AT1009" s="6"/>
      <c r="AU1009" s="6"/>
      <c r="AV1009" s="6"/>
      <c r="AW1009" s="6"/>
      <c r="AX1009" s="6"/>
      <c r="AY1009" s="6"/>
      <c r="AZ1009" s="6"/>
      <c r="BA1009" s="6"/>
      <c r="BB1009" s="6"/>
      <c r="BC1009" s="6"/>
      <c r="BD1009" s="6"/>
      <c r="BE1009" s="6"/>
      <c r="BF1009" s="6"/>
      <c r="BG1009" s="6"/>
      <c r="BH1009" s="6"/>
      <c r="BI1009" s="6"/>
      <c r="BJ1009" s="6"/>
      <c r="BK1009" s="6"/>
      <c r="BL1009" s="6"/>
      <c r="BM1009" s="6"/>
      <c r="BN1009" s="6"/>
      <c r="BO1009" s="6"/>
      <c r="BP1009" s="6"/>
      <c r="BQ1009" s="6"/>
    </row>
    <row r="1010" spans="2:69" hidden="1" x14ac:dyDescent="0.2">
      <c r="B1010" s="13"/>
      <c r="C1010" s="13"/>
      <c r="D1010" s="13"/>
      <c r="E1010" s="13"/>
      <c r="F1010" s="13"/>
      <c r="G1010" s="13"/>
      <c r="H1010" s="13"/>
      <c r="I1010" s="13"/>
      <c r="J1010" s="13"/>
      <c r="K1010" s="13"/>
      <c r="L1010" s="13"/>
      <c r="M1010" s="13"/>
      <c r="N1010" s="13"/>
      <c r="O1010" s="13"/>
      <c r="P1010" s="13"/>
      <c r="Q1010" s="13"/>
      <c r="R1010" s="13"/>
      <c r="S1010" s="13"/>
      <c r="T1010" s="13"/>
      <c r="U1010" s="13"/>
      <c r="V1010" s="13"/>
      <c r="W1010" s="13"/>
      <c r="X1010" s="13"/>
      <c r="Y1010" s="13"/>
      <c r="Z1010" s="13"/>
      <c r="AA1010" s="13"/>
      <c r="AB1010" s="13"/>
      <c r="AM1010" s="6"/>
      <c r="AN1010" s="6"/>
      <c r="AO1010" s="6"/>
      <c r="AP1010" s="6"/>
      <c r="AQ1010" s="6"/>
      <c r="AR1010" s="6"/>
      <c r="AS1010" s="6"/>
      <c r="AT1010" s="6"/>
      <c r="AU1010" s="6"/>
      <c r="AV1010" s="6"/>
      <c r="AW1010" s="6"/>
      <c r="AX1010" s="6"/>
      <c r="AY1010" s="6"/>
      <c r="AZ1010" s="6"/>
      <c r="BA1010" s="6"/>
      <c r="BB1010" s="6"/>
      <c r="BC1010" s="6"/>
      <c r="BD1010" s="6"/>
      <c r="BE1010" s="6"/>
      <c r="BF1010" s="6"/>
      <c r="BG1010" s="6"/>
      <c r="BH1010" s="6"/>
      <c r="BI1010" s="6"/>
      <c r="BJ1010" s="6"/>
      <c r="BK1010" s="6"/>
      <c r="BL1010" s="6"/>
      <c r="BM1010" s="6"/>
      <c r="BN1010" s="6"/>
      <c r="BO1010" s="6"/>
      <c r="BP1010" s="6"/>
      <c r="BQ1010" s="6"/>
    </row>
    <row r="1011" spans="2:69" hidden="1" x14ac:dyDescent="0.2">
      <c r="B1011" s="13"/>
      <c r="C1011" s="13"/>
      <c r="D1011" s="13"/>
      <c r="E1011" s="13"/>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M1011" s="6"/>
      <c r="AN1011" s="6"/>
      <c r="AO1011" s="6"/>
      <c r="AP1011" s="6"/>
      <c r="AQ1011" s="6"/>
      <c r="AR1011" s="6"/>
      <c r="AS1011" s="6"/>
      <c r="AT1011" s="6"/>
      <c r="AU1011" s="6"/>
      <c r="AV1011" s="6"/>
      <c r="AW1011" s="6"/>
      <c r="AX1011" s="6"/>
      <c r="AY1011" s="6"/>
      <c r="AZ1011" s="6"/>
      <c r="BA1011" s="6"/>
      <c r="BB1011" s="6"/>
      <c r="BC1011" s="6"/>
      <c r="BD1011" s="6"/>
      <c r="BE1011" s="6"/>
      <c r="BF1011" s="6"/>
      <c r="BG1011" s="6"/>
      <c r="BH1011" s="6"/>
      <c r="BI1011" s="6"/>
      <c r="BJ1011" s="6"/>
      <c r="BK1011" s="6"/>
      <c r="BL1011" s="6"/>
      <c r="BM1011" s="6"/>
      <c r="BN1011" s="6"/>
      <c r="BO1011" s="6"/>
      <c r="BP1011" s="6"/>
      <c r="BQ1011" s="6"/>
    </row>
    <row r="1012" spans="2:69" hidden="1" x14ac:dyDescent="0.2">
      <c r="B1012" s="13"/>
      <c r="C1012" s="13"/>
      <c r="D1012" s="13"/>
      <c r="E1012" s="13"/>
      <c r="F1012" s="13"/>
      <c r="G1012" s="13"/>
      <c r="H1012" s="13"/>
      <c r="I1012" s="13"/>
      <c r="J1012" s="13"/>
      <c r="K1012" s="13"/>
      <c r="L1012" s="13"/>
      <c r="M1012" s="13"/>
      <c r="N1012" s="13"/>
      <c r="O1012" s="13"/>
      <c r="P1012" s="13"/>
      <c r="Q1012" s="13"/>
      <c r="R1012" s="13"/>
      <c r="S1012" s="13"/>
      <c r="T1012" s="13"/>
      <c r="U1012" s="13"/>
      <c r="V1012" s="13"/>
      <c r="W1012" s="13"/>
      <c r="X1012" s="13"/>
      <c r="Y1012" s="13"/>
      <c r="Z1012" s="13"/>
      <c r="AA1012" s="13"/>
      <c r="AB1012" s="13"/>
      <c r="AM1012" s="6"/>
      <c r="AN1012" s="6"/>
      <c r="AO1012" s="6"/>
      <c r="AP1012" s="6"/>
      <c r="AQ1012" s="6"/>
      <c r="AR1012" s="6"/>
      <c r="AS1012" s="6"/>
      <c r="AT1012" s="6"/>
      <c r="AU1012" s="6"/>
      <c r="AV1012" s="6"/>
      <c r="AW1012" s="6"/>
      <c r="AX1012" s="6"/>
      <c r="AY1012" s="6"/>
      <c r="AZ1012" s="6"/>
      <c r="BA1012" s="6"/>
      <c r="BB1012" s="6"/>
      <c r="BC1012" s="6"/>
      <c r="BD1012" s="6"/>
      <c r="BE1012" s="6"/>
      <c r="BF1012" s="6"/>
      <c r="BG1012" s="6"/>
      <c r="BH1012" s="6"/>
      <c r="BI1012" s="6"/>
      <c r="BJ1012" s="6"/>
      <c r="BK1012" s="6"/>
      <c r="BL1012" s="6"/>
      <c r="BM1012" s="6"/>
      <c r="BN1012" s="6"/>
      <c r="BO1012" s="6"/>
      <c r="BP1012" s="6"/>
      <c r="BQ1012" s="6"/>
    </row>
    <row r="1013" spans="2:69" hidden="1" x14ac:dyDescent="0.2">
      <c r="B1013" s="13"/>
      <c r="C1013" s="13"/>
      <c r="D1013" s="13"/>
      <c r="E1013" s="13"/>
      <c r="F1013" s="13"/>
      <c r="G1013" s="13"/>
      <c r="H1013" s="13"/>
      <c r="I1013" s="13"/>
      <c r="J1013" s="13"/>
      <c r="K1013" s="13"/>
      <c r="L1013" s="13"/>
      <c r="M1013" s="13"/>
      <c r="N1013" s="13"/>
      <c r="O1013" s="13"/>
      <c r="P1013" s="13"/>
      <c r="Q1013" s="13"/>
      <c r="R1013" s="13"/>
      <c r="S1013" s="13"/>
      <c r="T1013" s="13"/>
      <c r="U1013" s="13"/>
      <c r="V1013" s="13"/>
      <c r="W1013" s="13"/>
      <c r="X1013" s="13"/>
      <c r="Y1013" s="13"/>
      <c r="Z1013" s="13"/>
      <c r="AA1013" s="13"/>
      <c r="AB1013" s="13"/>
      <c r="AM1013" s="6"/>
      <c r="AN1013" s="6"/>
      <c r="AO1013" s="6"/>
      <c r="AP1013" s="6"/>
      <c r="AQ1013" s="6"/>
      <c r="AR1013" s="6"/>
      <c r="AS1013" s="6"/>
      <c r="AT1013" s="6"/>
      <c r="AU1013" s="6"/>
      <c r="AV1013" s="6"/>
      <c r="AW1013" s="6"/>
      <c r="AX1013" s="6"/>
      <c r="AY1013" s="6"/>
      <c r="AZ1013" s="6"/>
      <c r="BA1013" s="6"/>
      <c r="BB1013" s="6"/>
      <c r="BC1013" s="6"/>
      <c r="BD1013" s="6"/>
      <c r="BE1013" s="6"/>
      <c r="BF1013" s="6"/>
      <c r="BG1013" s="6"/>
      <c r="BH1013" s="6"/>
      <c r="BI1013" s="6"/>
      <c r="BJ1013" s="6"/>
      <c r="BK1013" s="6"/>
      <c r="BL1013" s="6"/>
      <c r="BM1013" s="6"/>
      <c r="BN1013" s="6"/>
      <c r="BO1013" s="6"/>
      <c r="BP1013" s="6"/>
      <c r="BQ1013" s="6"/>
    </row>
    <row r="1014" spans="2:69" hidden="1" x14ac:dyDescent="0.2">
      <c r="B1014" s="13"/>
      <c r="C1014" s="13"/>
      <c r="D1014" s="13"/>
      <c r="E1014" s="13"/>
      <c r="F1014" s="13"/>
      <c r="G1014" s="13"/>
      <c r="H1014" s="13"/>
      <c r="I1014" s="13"/>
      <c r="J1014" s="13"/>
      <c r="K1014" s="13"/>
      <c r="L1014" s="13"/>
      <c r="M1014" s="13"/>
      <c r="N1014" s="13"/>
      <c r="O1014" s="13"/>
      <c r="P1014" s="13"/>
      <c r="Q1014" s="13"/>
      <c r="R1014" s="13"/>
      <c r="S1014" s="13"/>
      <c r="T1014" s="13"/>
      <c r="U1014" s="13"/>
      <c r="V1014" s="13"/>
      <c r="W1014" s="13"/>
      <c r="X1014" s="13"/>
      <c r="Y1014" s="13"/>
      <c r="Z1014" s="13"/>
      <c r="AA1014" s="13"/>
      <c r="AB1014" s="13"/>
      <c r="AM1014" s="6"/>
      <c r="AN1014" s="6"/>
      <c r="AO1014" s="6"/>
      <c r="AP1014" s="6"/>
      <c r="AQ1014" s="6"/>
      <c r="AR1014" s="6"/>
      <c r="AS1014" s="6"/>
      <c r="AT1014" s="6"/>
      <c r="AU1014" s="6"/>
      <c r="AV1014" s="6"/>
      <c r="AW1014" s="6"/>
      <c r="AX1014" s="6"/>
      <c r="AY1014" s="6"/>
      <c r="AZ1014" s="6"/>
      <c r="BA1014" s="6"/>
      <c r="BB1014" s="6"/>
      <c r="BC1014" s="6"/>
      <c r="BD1014" s="6"/>
      <c r="BE1014" s="6"/>
      <c r="BF1014" s="6"/>
      <c r="BG1014" s="6"/>
      <c r="BH1014" s="6"/>
      <c r="BI1014" s="6"/>
      <c r="BJ1014" s="6"/>
      <c r="BK1014" s="6"/>
      <c r="BL1014" s="6"/>
      <c r="BM1014" s="6"/>
      <c r="BN1014" s="6"/>
      <c r="BO1014" s="6"/>
      <c r="BP1014" s="6"/>
      <c r="BQ1014" s="6"/>
    </row>
    <row r="1015" spans="2:69" hidden="1" x14ac:dyDescent="0.2">
      <c r="B1015" s="13"/>
      <c r="C1015" s="13"/>
      <c r="D1015" s="13"/>
      <c r="E1015" s="13"/>
      <c r="F1015" s="13"/>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M1015" s="6"/>
      <c r="AN1015" s="6"/>
      <c r="AO1015" s="6"/>
      <c r="AP1015" s="6"/>
      <c r="AQ1015" s="6"/>
      <c r="AR1015" s="6"/>
      <c r="AS1015" s="6"/>
      <c r="AT1015" s="6"/>
      <c r="AU1015" s="6"/>
      <c r="AV1015" s="6"/>
      <c r="AW1015" s="6"/>
      <c r="AX1015" s="6"/>
      <c r="AY1015" s="6"/>
      <c r="AZ1015" s="6"/>
      <c r="BA1015" s="6"/>
      <c r="BB1015" s="6"/>
      <c r="BC1015" s="6"/>
      <c r="BD1015" s="6"/>
      <c r="BE1015" s="6"/>
      <c r="BF1015" s="6"/>
      <c r="BG1015" s="6"/>
      <c r="BH1015" s="6"/>
      <c r="BI1015" s="6"/>
      <c r="BJ1015" s="6"/>
      <c r="BK1015" s="6"/>
      <c r="BL1015" s="6"/>
      <c r="BM1015" s="6"/>
      <c r="BN1015" s="6"/>
      <c r="BO1015" s="6"/>
      <c r="BP1015" s="6"/>
      <c r="BQ1015" s="6"/>
    </row>
    <row r="1016" spans="2:69" hidden="1" x14ac:dyDescent="0.2">
      <c r="B1016" s="13"/>
      <c r="C1016" s="13"/>
      <c r="D1016" s="13"/>
      <c r="E1016" s="13"/>
      <c r="F1016" s="13"/>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M1016" s="6"/>
      <c r="AN1016" s="6"/>
      <c r="AO1016" s="6"/>
      <c r="AP1016" s="6"/>
      <c r="AQ1016" s="6"/>
      <c r="AR1016" s="6"/>
      <c r="AS1016" s="6"/>
      <c r="AT1016" s="6"/>
      <c r="AU1016" s="6"/>
      <c r="AV1016" s="6"/>
      <c r="AW1016" s="6"/>
      <c r="AX1016" s="6"/>
      <c r="AY1016" s="6"/>
      <c r="AZ1016" s="6"/>
      <c r="BA1016" s="6"/>
      <c r="BB1016" s="6"/>
      <c r="BC1016" s="6"/>
      <c r="BD1016" s="6"/>
      <c r="BE1016" s="6"/>
      <c r="BF1016" s="6"/>
      <c r="BG1016" s="6"/>
      <c r="BH1016" s="6"/>
      <c r="BI1016" s="6"/>
      <c r="BJ1016" s="6"/>
      <c r="BK1016" s="6"/>
      <c r="BL1016" s="6"/>
      <c r="BM1016" s="6"/>
      <c r="BN1016" s="6"/>
      <c r="BO1016" s="6"/>
      <c r="BP1016" s="6"/>
      <c r="BQ1016" s="6"/>
    </row>
    <row r="1017" spans="2:69" hidden="1" x14ac:dyDescent="0.2">
      <c r="B1017" s="13"/>
      <c r="C1017" s="13"/>
      <c r="D1017" s="13"/>
      <c r="E1017" s="13"/>
      <c r="F1017" s="13"/>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M1017" s="6"/>
      <c r="AN1017" s="6"/>
      <c r="AO1017" s="6"/>
      <c r="AP1017" s="6"/>
      <c r="AQ1017" s="6"/>
      <c r="AR1017" s="6"/>
      <c r="AS1017" s="6"/>
      <c r="AT1017" s="6"/>
      <c r="AU1017" s="6"/>
      <c r="AV1017" s="6"/>
      <c r="AW1017" s="6"/>
      <c r="AX1017" s="6"/>
      <c r="AY1017" s="6"/>
      <c r="AZ1017" s="6"/>
      <c r="BA1017" s="6"/>
      <c r="BB1017" s="6"/>
      <c r="BC1017" s="6"/>
      <c r="BD1017" s="6"/>
      <c r="BE1017" s="6"/>
      <c r="BF1017" s="6"/>
      <c r="BG1017" s="6"/>
      <c r="BH1017" s="6"/>
      <c r="BI1017" s="6"/>
      <c r="BJ1017" s="6"/>
      <c r="BK1017" s="6"/>
      <c r="BL1017" s="6"/>
      <c r="BM1017" s="6"/>
      <c r="BN1017" s="6"/>
      <c r="BO1017" s="6"/>
      <c r="BP1017" s="6"/>
      <c r="BQ1017" s="6"/>
    </row>
    <row r="1018" spans="2:69" hidden="1" x14ac:dyDescent="0.2">
      <c r="B1018" s="13"/>
      <c r="C1018" s="13"/>
      <c r="D1018" s="13"/>
      <c r="E1018" s="13"/>
      <c r="F1018" s="13"/>
      <c r="G1018" s="13"/>
      <c r="H1018" s="13"/>
      <c r="I1018" s="13"/>
      <c r="J1018" s="13"/>
      <c r="K1018" s="13"/>
      <c r="L1018" s="13"/>
      <c r="M1018" s="13"/>
      <c r="N1018" s="13"/>
      <c r="O1018" s="13"/>
      <c r="P1018" s="13"/>
      <c r="Q1018" s="13"/>
      <c r="R1018" s="13"/>
      <c r="S1018" s="13"/>
      <c r="T1018" s="13"/>
      <c r="U1018" s="13"/>
      <c r="V1018" s="13"/>
      <c r="W1018" s="13"/>
      <c r="X1018" s="13"/>
      <c r="Y1018" s="13"/>
      <c r="Z1018" s="13"/>
      <c r="AA1018" s="13"/>
      <c r="AB1018" s="13"/>
      <c r="AM1018" s="6"/>
      <c r="AN1018" s="6"/>
      <c r="AO1018" s="6"/>
      <c r="AP1018" s="6"/>
      <c r="AQ1018" s="6"/>
      <c r="AR1018" s="6"/>
      <c r="AS1018" s="6"/>
      <c r="AT1018" s="6"/>
      <c r="AU1018" s="6"/>
      <c r="AV1018" s="6"/>
      <c r="AW1018" s="6"/>
      <c r="AX1018" s="6"/>
      <c r="AY1018" s="6"/>
      <c r="AZ1018" s="6"/>
      <c r="BA1018" s="6"/>
      <c r="BB1018" s="6"/>
      <c r="BC1018" s="6"/>
      <c r="BD1018" s="6"/>
      <c r="BE1018" s="6"/>
      <c r="BF1018" s="6"/>
      <c r="BG1018" s="6"/>
      <c r="BH1018" s="6"/>
      <c r="BI1018" s="6"/>
      <c r="BJ1018" s="6"/>
      <c r="BK1018" s="6"/>
      <c r="BL1018" s="6"/>
      <c r="BM1018" s="6"/>
      <c r="BN1018" s="6"/>
      <c r="BO1018" s="6"/>
      <c r="BP1018" s="6"/>
      <c r="BQ1018" s="6"/>
    </row>
    <row r="1019" spans="2:69" hidden="1" x14ac:dyDescent="0.2">
      <c r="B1019" s="13"/>
      <c r="C1019" s="13"/>
      <c r="D1019" s="13"/>
      <c r="E1019" s="13"/>
      <c r="F1019" s="13"/>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M1019" s="6"/>
      <c r="AN1019" s="6"/>
      <c r="AO1019" s="6"/>
      <c r="AP1019" s="6"/>
      <c r="AQ1019" s="6"/>
      <c r="AR1019" s="6"/>
      <c r="AS1019" s="6"/>
      <c r="AT1019" s="6"/>
      <c r="AU1019" s="6"/>
      <c r="AV1019" s="6"/>
      <c r="AW1019" s="6"/>
      <c r="AX1019" s="6"/>
      <c r="AY1019" s="6"/>
      <c r="AZ1019" s="6"/>
      <c r="BA1019" s="6"/>
      <c r="BB1019" s="6"/>
      <c r="BC1019" s="6"/>
      <c r="BD1019" s="6"/>
      <c r="BE1019" s="6"/>
      <c r="BF1019" s="6"/>
      <c r="BG1019" s="6"/>
      <c r="BH1019" s="6"/>
      <c r="BI1019" s="6"/>
      <c r="BJ1019" s="6"/>
      <c r="BK1019" s="6"/>
      <c r="BL1019" s="6"/>
      <c r="BM1019" s="6"/>
      <c r="BN1019" s="6"/>
      <c r="BO1019" s="6"/>
      <c r="BP1019" s="6"/>
      <c r="BQ1019" s="6"/>
    </row>
    <row r="1020" spans="2:69" hidden="1" x14ac:dyDescent="0.2">
      <c r="B1020" s="13"/>
      <c r="C1020" s="13"/>
      <c r="D1020" s="13"/>
      <c r="E1020" s="13"/>
      <c r="F1020" s="13"/>
      <c r="G1020" s="13"/>
      <c r="H1020" s="13"/>
      <c r="I1020" s="13"/>
      <c r="J1020" s="13"/>
      <c r="K1020" s="13"/>
      <c r="L1020" s="13"/>
      <c r="M1020" s="13"/>
      <c r="N1020" s="13"/>
      <c r="O1020" s="13"/>
      <c r="P1020" s="13"/>
      <c r="Q1020" s="13"/>
      <c r="R1020" s="13"/>
      <c r="S1020" s="13"/>
      <c r="T1020" s="13"/>
      <c r="U1020" s="13"/>
      <c r="V1020" s="13"/>
      <c r="W1020" s="13"/>
      <c r="X1020" s="13"/>
      <c r="Y1020" s="13"/>
      <c r="Z1020" s="13"/>
      <c r="AA1020" s="13"/>
      <c r="AB1020" s="13"/>
      <c r="AM1020" s="6"/>
      <c r="AN1020" s="6"/>
      <c r="AO1020" s="6"/>
      <c r="AP1020" s="6"/>
      <c r="AQ1020" s="6"/>
      <c r="AR1020" s="6"/>
      <c r="AS1020" s="6"/>
      <c r="AT1020" s="6"/>
      <c r="AU1020" s="6"/>
      <c r="AV1020" s="6"/>
      <c r="AW1020" s="6"/>
      <c r="AX1020" s="6"/>
      <c r="AY1020" s="6"/>
      <c r="AZ1020" s="6"/>
      <c r="BA1020" s="6"/>
      <c r="BB1020" s="6"/>
      <c r="BC1020" s="6"/>
      <c r="BD1020" s="6"/>
      <c r="BE1020" s="6"/>
      <c r="BF1020" s="6"/>
      <c r="BG1020" s="6"/>
      <c r="BH1020" s="6"/>
      <c r="BI1020" s="6"/>
      <c r="BJ1020" s="6"/>
      <c r="BK1020" s="6"/>
      <c r="BL1020" s="6"/>
      <c r="BM1020" s="6"/>
      <c r="BN1020" s="6"/>
      <c r="BO1020" s="6"/>
      <c r="BP1020" s="6"/>
      <c r="BQ1020" s="6"/>
    </row>
    <row r="1021" spans="2:69" hidden="1" x14ac:dyDescent="0.2">
      <c r="B1021" s="13"/>
      <c r="C1021" s="13"/>
      <c r="D1021" s="13"/>
      <c r="E1021" s="13"/>
      <c r="F1021" s="13"/>
      <c r="G1021" s="13"/>
      <c r="H1021" s="13"/>
      <c r="I1021" s="13"/>
      <c r="J1021" s="13"/>
      <c r="K1021" s="13"/>
      <c r="L1021" s="13"/>
      <c r="M1021" s="13"/>
      <c r="N1021" s="13"/>
      <c r="O1021" s="13"/>
      <c r="P1021" s="13"/>
      <c r="Q1021" s="13"/>
      <c r="R1021" s="13"/>
      <c r="S1021" s="13"/>
      <c r="T1021" s="13"/>
      <c r="U1021" s="13"/>
      <c r="V1021" s="13"/>
      <c r="W1021" s="13"/>
      <c r="X1021" s="13"/>
      <c r="Y1021" s="13"/>
      <c r="Z1021" s="13"/>
      <c r="AA1021" s="13"/>
      <c r="AB1021" s="13"/>
      <c r="AM1021" s="6"/>
      <c r="AN1021" s="6"/>
      <c r="AO1021" s="6"/>
      <c r="AP1021" s="6"/>
      <c r="AQ1021" s="6"/>
      <c r="AR1021" s="6"/>
      <c r="AS1021" s="6"/>
      <c r="AT1021" s="6"/>
      <c r="AU1021" s="6"/>
      <c r="AV1021" s="6"/>
      <c r="AW1021" s="6"/>
      <c r="AX1021" s="6"/>
      <c r="AY1021" s="6"/>
      <c r="AZ1021" s="6"/>
      <c r="BA1021" s="6"/>
      <c r="BB1021" s="6"/>
      <c r="BC1021" s="6"/>
      <c r="BD1021" s="6"/>
      <c r="BE1021" s="6"/>
      <c r="BF1021" s="6"/>
      <c r="BG1021" s="6"/>
      <c r="BH1021" s="6"/>
      <c r="BI1021" s="6"/>
      <c r="BJ1021" s="6"/>
      <c r="BK1021" s="6"/>
      <c r="BL1021" s="6"/>
      <c r="BM1021" s="6"/>
      <c r="BN1021" s="6"/>
      <c r="BO1021" s="6"/>
      <c r="BP1021" s="6"/>
      <c r="BQ1021" s="6"/>
    </row>
    <row r="1022" spans="2:69" hidden="1" x14ac:dyDescent="0.2">
      <c r="B1022" s="13"/>
      <c r="C1022" s="13"/>
      <c r="D1022" s="13"/>
      <c r="E1022" s="13"/>
      <c r="F1022" s="13"/>
      <c r="G1022" s="13"/>
      <c r="H1022" s="13"/>
      <c r="I1022" s="13"/>
      <c r="J1022" s="13"/>
      <c r="K1022" s="13"/>
      <c r="L1022" s="13"/>
      <c r="M1022" s="13"/>
      <c r="N1022" s="13"/>
      <c r="O1022" s="13"/>
      <c r="P1022" s="13"/>
      <c r="Q1022" s="13"/>
      <c r="R1022" s="13"/>
      <c r="S1022" s="13"/>
      <c r="T1022" s="13"/>
      <c r="U1022" s="13"/>
      <c r="V1022" s="13"/>
      <c r="W1022" s="13"/>
      <c r="X1022" s="13"/>
      <c r="Y1022" s="13"/>
      <c r="Z1022" s="13"/>
      <c r="AA1022" s="13"/>
      <c r="AB1022" s="13"/>
      <c r="AM1022" s="6"/>
      <c r="AN1022" s="6"/>
      <c r="AO1022" s="6"/>
      <c r="AP1022" s="6"/>
      <c r="AQ1022" s="6"/>
      <c r="AR1022" s="6"/>
      <c r="AS1022" s="6"/>
      <c r="AT1022" s="6"/>
      <c r="AU1022" s="6"/>
      <c r="AV1022" s="6"/>
      <c r="AW1022" s="6"/>
      <c r="AX1022" s="6"/>
      <c r="AY1022" s="6"/>
      <c r="AZ1022" s="6"/>
      <c r="BA1022" s="6"/>
      <c r="BB1022" s="6"/>
      <c r="BC1022" s="6"/>
      <c r="BD1022" s="6"/>
      <c r="BE1022" s="6"/>
      <c r="BF1022" s="6"/>
      <c r="BG1022" s="6"/>
      <c r="BH1022" s="6"/>
      <c r="BI1022" s="6"/>
      <c r="BJ1022" s="6"/>
      <c r="BK1022" s="6"/>
      <c r="BL1022" s="6"/>
      <c r="BM1022" s="6"/>
      <c r="BN1022" s="6"/>
      <c r="BO1022" s="6"/>
      <c r="BP1022" s="6"/>
      <c r="BQ1022" s="6"/>
    </row>
    <row r="1023" spans="2:69" hidden="1" x14ac:dyDescent="0.2">
      <c r="B1023" s="13"/>
      <c r="C1023" s="13"/>
      <c r="D1023" s="13"/>
      <c r="E1023" s="13"/>
      <c r="F1023" s="13"/>
      <c r="G1023" s="13"/>
      <c r="H1023" s="13"/>
      <c r="I1023" s="13"/>
      <c r="J1023" s="13"/>
      <c r="K1023" s="13"/>
      <c r="L1023" s="13"/>
      <c r="M1023" s="13"/>
      <c r="N1023" s="13"/>
      <c r="O1023" s="13"/>
      <c r="P1023" s="13"/>
      <c r="Q1023" s="13"/>
      <c r="R1023" s="13"/>
      <c r="S1023" s="13"/>
      <c r="T1023" s="13"/>
      <c r="U1023" s="13"/>
      <c r="V1023" s="13"/>
      <c r="W1023" s="13"/>
      <c r="X1023" s="13"/>
      <c r="Y1023" s="13"/>
      <c r="Z1023" s="13"/>
      <c r="AA1023" s="13"/>
      <c r="AB1023" s="13"/>
      <c r="AM1023" s="6"/>
      <c r="AN1023" s="6"/>
      <c r="AO1023" s="6"/>
      <c r="AP1023" s="6"/>
      <c r="AQ1023" s="6"/>
      <c r="AR1023" s="6"/>
      <c r="AS1023" s="6"/>
      <c r="AT1023" s="6"/>
      <c r="AU1023" s="6"/>
      <c r="AV1023" s="6"/>
      <c r="AW1023" s="6"/>
      <c r="AX1023" s="6"/>
      <c r="AY1023" s="6"/>
      <c r="AZ1023" s="6"/>
      <c r="BA1023" s="6"/>
      <c r="BB1023" s="6"/>
      <c r="BC1023" s="6"/>
      <c r="BD1023" s="6"/>
      <c r="BE1023" s="6"/>
      <c r="BF1023" s="6"/>
      <c r="BG1023" s="6"/>
      <c r="BH1023" s="6"/>
      <c r="BI1023" s="6"/>
      <c r="BJ1023" s="6"/>
      <c r="BK1023" s="6"/>
      <c r="BL1023" s="6"/>
      <c r="BM1023" s="6"/>
      <c r="BN1023" s="6"/>
      <c r="BO1023" s="6"/>
      <c r="BP1023" s="6"/>
      <c r="BQ1023" s="6"/>
    </row>
    <row r="1024" spans="2:69" hidden="1" x14ac:dyDescent="0.2">
      <c r="B1024" s="13"/>
      <c r="C1024" s="13"/>
      <c r="D1024" s="13"/>
      <c r="E1024" s="13"/>
      <c r="F1024" s="13"/>
      <c r="G1024" s="13"/>
      <c r="H1024" s="13"/>
      <c r="I1024" s="13"/>
      <c r="J1024" s="13"/>
      <c r="K1024" s="13"/>
      <c r="L1024" s="13"/>
      <c r="M1024" s="13"/>
      <c r="N1024" s="13"/>
      <c r="O1024" s="13"/>
      <c r="P1024" s="13"/>
      <c r="Q1024" s="13"/>
      <c r="R1024" s="13"/>
      <c r="S1024" s="13"/>
      <c r="T1024" s="13"/>
      <c r="U1024" s="13"/>
      <c r="V1024" s="13"/>
      <c r="W1024" s="13"/>
      <c r="X1024" s="13"/>
      <c r="Y1024" s="13"/>
      <c r="Z1024" s="13"/>
      <c r="AA1024" s="13"/>
      <c r="AB1024" s="13"/>
      <c r="AM1024" s="6"/>
      <c r="AN1024" s="6"/>
      <c r="AO1024" s="6"/>
      <c r="AP1024" s="6"/>
      <c r="AQ1024" s="6"/>
      <c r="AR1024" s="6"/>
      <c r="AS1024" s="6"/>
      <c r="AT1024" s="6"/>
      <c r="AU1024" s="6"/>
      <c r="AV1024" s="6"/>
      <c r="AW1024" s="6"/>
      <c r="AX1024" s="6"/>
      <c r="AY1024" s="6"/>
      <c r="AZ1024" s="6"/>
      <c r="BA1024" s="6"/>
      <c r="BB1024" s="6"/>
      <c r="BC1024" s="6"/>
      <c r="BD1024" s="6"/>
      <c r="BE1024" s="6"/>
      <c r="BF1024" s="6"/>
      <c r="BG1024" s="6"/>
      <c r="BH1024" s="6"/>
      <c r="BI1024" s="6"/>
      <c r="BJ1024" s="6"/>
      <c r="BK1024" s="6"/>
      <c r="BL1024" s="6"/>
      <c r="BM1024" s="6"/>
      <c r="BN1024" s="6"/>
      <c r="BO1024" s="6"/>
      <c r="BP1024" s="6"/>
      <c r="BQ1024" s="6"/>
    </row>
    <row r="1025" spans="2:69" hidden="1" x14ac:dyDescent="0.2">
      <c r="B1025" s="13"/>
      <c r="C1025" s="13"/>
      <c r="D1025" s="13"/>
      <c r="E1025" s="13"/>
      <c r="F1025" s="13"/>
      <c r="G1025" s="13"/>
      <c r="H1025" s="13"/>
      <c r="I1025" s="13"/>
      <c r="J1025" s="13"/>
      <c r="K1025" s="13"/>
      <c r="L1025" s="13"/>
      <c r="M1025" s="13"/>
      <c r="N1025" s="13"/>
      <c r="O1025" s="13"/>
      <c r="P1025" s="13"/>
      <c r="Q1025" s="13"/>
      <c r="R1025" s="13"/>
      <c r="S1025" s="13"/>
      <c r="T1025" s="13"/>
      <c r="U1025" s="13"/>
      <c r="V1025" s="13"/>
      <c r="W1025" s="13"/>
      <c r="X1025" s="13"/>
      <c r="Y1025" s="13"/>
      <c r="Z1025" s="13"/>
      <c r="AA1025" s="13"/>
      <c r="AB1025" s="13"/>
      <c r="AM1025" s="6"/>
      <c r="AN1025" s="6"/>
      <c r="AO1025" s="6"/>
      <c r="AP1025" s="6"/>
      <c r="AQ1025" s="6"/>
      <c r="AR1025" s="6"/>
      <c r="AS1025" s="6"/>
      <c r="AT1025" s="6"/>
      <c r="AU1025" s="6"/>
      <c r="AV1025" s="6"/>
      <c r="AW1025" s="6"/>
      <c r="AX1025" s="6"/>
      <c r="AY1025" s="6"/>
      <c r="AZ1025" s="6"/>
      <c r="BA1025" s="6"/>
      <c r="BB1025" s="6"/>
      <c r="BC1025" s="6"/>
      <c r="BD1025" s="6"/>
      <c r="BE1025" s="6"/>
      <c r="BF1025" s="6"/>
      <c r="BG1025" s="6"/>
      <c r="BH1025" s="6"/>
      <c r="BI1025" s="6"/>
      <c r="BJ1025" s="6"/>
      <c r="BK1025" s="6"/>
      <c r="BL1025" s="6"/>
      <c r="BM1025" s="6"/>
      <c r="BN1025" s="6"/>
      <c r="BO1025" s="6"/>
      <c r="BP1025" s="6"/>
      <c r="BQ1025" s="6"/>
    </row>
    <row r="1026" spans="2:69" hidden="1" x14ac:dyDescent="0.2">
      <c r="B1026" s="13"/>
      <c r="C1026" s="13"/>
      <c r="D1026" s="13"/>
      <c r="E1026" s="13"/>
      <c r="F1026" s="13"/>
      <c r="G1026" s="13"/>
      <c r="H1026" s="13"/>
      <c r="I1026" s="13"/>
      <c r="J1026" s="13"/>
      <c r="K1026" s="13"/>
      <c r="L1026" s="13"/>
      <c r="M1026" s="13"/>
      <c r="N1026" s="13"/>
      <c r="O1026" s="13"/>
      <c r="P1026" s="13"/>
      <c r="Q1026" s="13"/>
      <c r="R1026" s="13"/>
      <c r="S1026" s="13"/>
      <c r="T1026" s="13"/>
      <c r="U1026" s="13"/>
      <c r="V1026" s="13"/>
      <c r="W1026" s="13"/>
      <c r="X1026" s="13"/>
      <c r="Y1026" s="13"/>
      <c r="Z1026" s="13"/>
      <c r="AA1026" s="13"/>
      <c r="AB1026" s="13"/>
      <c r="AM1026" s="6"/>
      <c r="AN1026" s="6"/>
      <c r="AO1026" s="6"/>
      <c r="AP1026" s="6"/>
      <c r="AQ1026" s="6"/>
      <c r="AR1026" s="6"/>
      <c r="AS1026" s="6"/>
      <c r="AT1026" s="6"/>
      <c r="AU1026" s="6"/>
      <c r="AV1026" s="6"/>
      <c r="AW1026" s="6"/>
      <c r="AX1026" s="6"/>
      <c r="AY1026" s="6"/>
      <c r="AZ1026" s="6"/>
      <c r="BA1026" s="6"/>
      <c r="BB1026" s="6"/>
      <c r="BC1026" s="6"/>
      <c r="BD1026" s="6"/>
      <c r="BE1026" s="6"/>
      <c r="BF1026" s="6"/>
      <c r="BG1026" s="6"/>
      <c r="BH1026" s="6"/>
      <c r="BI1026" s="6"/>
      <c r="BJ1026" s="6"/>
      <c r="BK1026" s="6"/>
      <c r="BL1026" s="6"/>
      <c r="BM1026" s="6"/>
      <c r="BN1026" s="6"/>
      <c r="BO1026" s="6"/>
      <c r="BP1026" s="6"/>
      <c r="BQ1026" s="6"/>
    </row>
    <row r="1027" spans="2:69" hidden="1" x14ac:dyDescent="0.2">
      <c r="B1027" s="13"/>
      <c r="C1027" s="13"/>
      <c r="D1027" s="13"/>
      <c r="E1027" s="13"/>
      <c r="F1027" s="13"/>
      <c r="G1027" s="13"/>
      <c r="H1027" s="13"/>
      <c r="I1027" s="13"/>
      <c r="J1027" s="13"/>
      <c r="K1027" s="13"/>
      <c r="L1027" s="13"/>
      <c r="M1027" s="13"/>
      <c r="N1027" s="13"/>
      <c r="O1027" s="13"/>
      <c r="P1027" s="13"/>
      <c r="Q1027" s="13"/>
      <c r="R1027" s="13"/>
      <c r="S1027" s="13"/>
      <c r="T1027" s="13"/>
      <c r="U1027" s="13"/>
      <c r="V1027" s="13"/>
      <c r="W1027" s="13"/>
      <c r="X1027" s="13"/>
      <c r="Y1027" s="13"/>
      <c r="Z1027" s="13"/>
      <c r="AA1027" s="13"/>
      <c r="AB1027" s="13"/>
      <c r="AM1027" s="6"/>
      <c r="AN1027" s="6"/>
      <c r="AO1027" s="6"/>
      <c r="AP1027" s="6"/>
      <c r="AQ1027" s="6"/>
      <c r="AR1027" s="6"/>
      <c r="AS1027" s="6"/>
      <c r="AT1027" s="6"/>
      <c r="AU1027" s="6"/>
      <c r="AV1027" s="6"/>
      <c r="AW1027" s="6"/>
      <c r="AX1027" s="6"/>
      <c r="AY1027" s="6"/>
      <c r="AZ1027" s="6"/>
      <c r="BA1027" s="6"/>
      <c r="BB1027" s="6"/>
      <c r="BC1027" s="6"/>
      <c r="BD1027" s="6"/>
      <c r="BE1027" s="6"/>
      <c r="BF1027" s="6"/>
      <c r="BG1027" s="6"/>
      <c r="BH1027" s="6"/>
      <c r="BI1027" s="6"/>
      <c r="BJ1027" s="6"/>
      <c r="BK1027" s="6"/>
      <c r="BL1027" s="6"/>
      <c r="BM1027" s="6"/>
      <c r="BN1027" s="6"/>
      <c r="BO1027" s="6"/>
      <c r="BP1027" s="6"/>
      <c r="BQ1027" s="6"/>
    </row>
    <row r="1028" spans="2:69" hidden="1" x14ac:dyDescent="0.2">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Y1028" s="13"/>
      <c r="Z1028" s="13"/>
      <c r="AA1028" s="13"/>
      <c r="AB1028" s="13"/>
      <c r="AM1028" s="6"/>
      <c r="AN1028" s="6"/>
      <c r="AO1028" s="6"/>
      <c r="AP1028" s="6"/>
      <c r="AQ1028" s="6"/>
      <c r="AR1028" s="6"/>
      <c r="AS1028" s="6"/>
      <c r="AT1028" s="6"/>
      <c r="AU1028" s="6"/>
      <c r="AV1028" s="6"/>
      <c r="AW1028" s="6"/>
      <c r="AX1028" s="6"/>
      <c r="AY1028" s="6"/>
      <c r="AZ1028" s="6"/>
      <c r="BA1028" s="6"/>
      <c r="BB1028" s="6"/>
      <c r="BC1028" s="6"/>
      <c r="BD1028" s="6"/>
      <c r="BE1028" s="6"/>
      <c r="BF1028" s="6"/>
      <c r="BG1028" s="6"/>
      <c r="BH1028" s="6"/>
      <c r="BI1028" s="6"/>
      <c r="BJ1028" s="6"/>
      <c r="BK1028" s="6"/>
      <c r="BL1028" s="6"/>
      <c r="BM1028" s="6"/>
      <c r="BN1028" s="6"/>
      <c r="BO1028" s="6"/>
      <c r="BP1028" s="6"/>
      <c r="BQ1028" s="6"/>
    </row>
    <row r="1029" spans="2:69" hidden="1" x14ac:dyDescent="0.2">
      <c r="B1029" s="13"/>
      <c r="C1029" s="13"/>
      <c r="D1029" s="13"/>
      <c r="E1029" s="13"/>
      <c r="F1029" s="13"/>
      <c r="G1029" s="13"/>
      <c r="H1029" s="13"/>
      <c r="I1029" s="13"/>
      <c r="J1029" s="13"/>
      <c r="K1029" s="13"/>
      <c r="L1029" s="13"/>
      <c r="M1029" s="13"/>
      <c r="N1029" s="13"/>
      <c r="O1029" s="13"/>
      <c r="P1029" s="13"/>
      <c r="Q1029" s="13"/>
      <c r="R1029" s="13"/>
      <c r="S1029" s="13"/>
      <c r="T1029" s="13"/>
      <c r="U1029" s="13"/>
      <c r="V1029" s="13"/>
      <c r="W1029" s="13"/>
      <c r="X1029" s="13"/>
      <c r="Y1029" s="13"/>
      <c r="Z1029" s="13"/>
      <c r="AA1029" s="13"/>
      <c r="AB1029" s="13"/>
      <c r="AM1029" s="6"/>
      <c r="AN1029" s="6"/>
      <c r="AO1029" s="6"/>
      <c r="AP1029" s="6"/>
      <c r="AQ1029" s="6"/>
      <c r="AR1029" s="6"/>
      <c r="AS1029" s="6"/>
      <c r="AT1029" s="6"/>
      <c r="AU1029" s="6"/>
      <c r="AV1029" s="6"/>
      <c r="AW1029" s="6"/>
      <c r="AX1029" s="6"/>
      <c r="AY1029" s="6"/>
      <c r="AZ1029" s="6"/>
      <c r="BA1029" s="6"/>
      <c r="BB1029" s="6"/>
      <c r="BC1029" s="6"/>
      <c r="BD1029" s="6"/>
      <c r="BE1029" s="6"/>
      <c r="BF1029" s="6"/>
      <c r="BG1029" s="6"/>
      <c r="BH1029" s="6"/>
      <c r="BI1029" s="6"/>
      <c r="BJ1029" s="6"/>
      <c r="BK1029" s="6"/>
      <c r="BL1029" s="6"/>
      <c r="BM1029" s="6"/>
      <c r="BN1029" s="6"/>
      <c r="BO1029" s="6"/>
      <c r="BP1029" s="6"/>
      <c r="BQ1029" s="6"/>
    </row>
    <row r="1030" spans="2:69" hidden="1" x14ac:dyDescent="0.2">
      <c r="B1030" s="13"/>
      <c r="C1030" s="13"/>
      <c r="D1030" s="13"/>
      <c r="E1030" s="13"/>
      <c r="F1030" s="13"/>
      <c r="G1030" s="13"/>
      <c r="H1030" s="13"/>
      <c r="I1030" s="13"/>
      <c r="J1030" s="13"/>
      <c r="K1030" s="13"/>
      <c r="L1030" s="13"/>
      <c r="M1030" s="13"/>
      <c r="N1030" s="13"/>
      <c r="O1030" s="13"/>
      <c r="P1030" s="13"/>
      <c r="Q1030" s="13"/>
      <c r="R1030" s="13"/>
      <c r="S1030" s="13"/>
      <c r="T1030" s="13"/>
      <c r="U1030" s="13"/>
      <c r="V1030" s="13"/>
      <c r="W1030" s="13"/>
      <c r="X1030" s="13"/>
      <c r="Y1030" s="13"/>
      <c r="Z1030" s="13"/>
      <c r="AA1030" s="13"/>
      <c r="AB1030" s="13"/>
      <c r="AM1030" s="6"/>
      <c r="AN1030" s="6"/>
      <c r="AO1030" s="6"/>
      <c r="AP1030" s="6"/>
      <c r="AQ1030" s="6"/>
      <c r="AR1030" s="6"/>
      <c r="AS1030" s="6"/>
      <c r="AT1030" s="6"/>
      <c r="AU1030" s="6"/>
      <c r="AV1030" s="6"/>
      <c r="AW1030" s="6"/>
      <c r="AX1030" s="6"/>
      <c r="AY1030" s="6"/>
      <c r="AZ1030" s="6"/>
      <c r="BA1030" s="6"/>
      <c r="BB1030" s="6"/>
      <c r="BC1030" s="6"/>
      <c r="BD1030" s="6"/>
      <c r="BE1030" s="6"/>
      <c r="BF1030" s="6"/>
      <c r="BG1030" s="6"/>
      <c r="BH1030" s="6"/>
      <c r="BI1030" s="6"/>
      <c r="BJ1030" s="6"/>
      <c r="BK1030" s="6"/>
      <c r="BL1030" s="6"/>
      <c r="BM1030" s="6"/>
      <c r="BN1030" s="6"/>
      <c r="BO1030" s="6"/>
      <c r="BP1030" s="6"/>
      <c r="BQ1030" s="6"/>
    </row>
    <row r="1031" spans="2:69" hidden="1" x14ac:dyDescent="0.2">
      <c r="B1031" s="13"/>
      <c r="C1031" s="13"/>
      <c r="D1031" s="13"/>
      <c r="E1031" s="13"/>
      <c r="F1031" s="13"/>
      <c r="G1031" s="13"/>
      <c r="H1031" s="13"/>
      <c r="I1031" s="13"/>
      <c r="J1031" s="13"/>
      <c r="K1031" s="13"/>
      <c r="L1031" s="13"/>
      <c r="M1031" s="13"/>
      <c r="N1031" s="13"/>
      <c r="O1031" s="13"/>
      <c r="P1031" s="13"/>
      <c r="Q1031" s="13"/>
      <c r="R1031" s="13"/>
      <c r="S1031" s="13"/>
      <c r="T1031" s="13"/>
      <c r="U1031" s="13"/>
      <c r="V1031" s="13"/>
      <c r="W1031" s="13"/>
      <c r="X1031" s="13"/>
      <c r="Y1031" s="13"/>
      <c r="Z1031" s="13"/>
      <c r="AA1031" s="13"/>
      <c r="AB1031" s="13"/>
      <c r="AM1031" s="6"/>
      <c r="AN1031" s="6"/>
      <c r="AO1031" s="6"/>
      <c r="AP1031" s="6"/>
      <c r="AQ1031" s="6"/>
      <c r="AR1031" s="6"/>
      <c r="AS1031" s="6"/>
      <c r="AT1031" s="6"/>
      <c r="AU1031" s="6"/>
      <c r="AV1031" s="6"/>
      <c r="AW1031" s="6"/>
      <c r="AX1031" s="6"/>
      <c r="AY1031" s="6"/>
      <c r="AZ1031" s="6"/>
      <c r="BA1031" s="6"/>
      <c r="BB1031" s="6"/>
      <c r="BC1031" s="6"/>
      <c r="BD1031" s="6"/>
      <c r="BE1031" s="6"/>
      <c r="BF1031" s="6"/>
      <c r="BG1031" s="6"/>
      <c r="BH1031" s="6"/>
      <c r="BI1031" s="6"/>
      <c r="BJ1031" s="6"/>
      <c r="BK1031" s="6"/>
      <c r="BL1031" s="6"/>
      <c r="BM1031" s="6"/>
      <c r="BN1031" s="6"/>
      <c r="BO1031" s="6"/>
      <c r="BP1031" s="6"/>
      <c r="BQ1031" s="6"/>
    </row>
    <row r="1032" spans="2:69" hidden="1" x14ac:dyDescent="0.2">
      <c r="B1032" s="13"/>
      <c r="C1032" s="13"/>
      <c r="D1032" s="13"/>
      <c r="E1032" s="13"/>
      <c r="F1032" s="13"/>
      <c r="G1032" s="13"/>
      <c r="H1032" s="13"/>
      <c r="I1032" s="13"/>
      <c r="J1032" s="13"/>
      <c r="K1032" s="13"/>
      <c r="L1032" s="13"/>
      <c r="M1032" s="13"/>
      <c r="N1032" s="13"/>
      <c r="O1032" s="13"/>
      <c r="P1032" s="13"/>
      <c r="Q1032" s="13"/>
      <c r="R1032" s="13"/>
      <c r="S1032" s="13"/>
      <c r="T1032" s="13"/>
      <c r="U1032" s="13"/>
      <c r="V1032" s="13"/>
      <c r="W1032" s="13"/>
      <c r="X1032" s="13"/>
      <c r="Y1032" s="13"/>
      <c r="Z1032" s="13"/>
      <c r="AA1032" s="13"/>
      <c r="AB1032" s="13"/>
      <c r="AM1032" s="6"/>
      <c r="AN1032" s="6"/>
      <c r="AO1032" s="6"/>
      <c r="AP1032" s="6"/>
      <c r="AQ1032" s="6"/>
      <c r="AR1032" s="6"/>
      <c r="AS1032" s="6"/>
      <c r="AT1032" s="6"/>
      <c r="AU1032" s="6"/>
      <c r="AV1032" s="6"/>
      <c r="AW1032" s="6"/>
      <c r="AX1032" s="6"/>
      <c r="AY1032" s="6"/>
      <c r="AZ1032" s="6"/>
      <c r="BA1032" s="6"/>
      <c r="BB1032" s="6"/>
      <c r="BC1032" s="6"/>
      <c r="BD1032" s="6"/>
      <c r="BE1032" s="6"/>
      <c r="BF1032" s="6"/>
      <c r="BG1032" s="6"/>
      <c r="BH1032" s="6"/>
      <c r="BI1032" s="6"/>
      <c r="BJ1032" s="6"/>
      <c r="BK1032" s="6"/>
      <c r="BL1032" s="6"/>
      <c r="BM1032" s="6"/>
      <c r="BN1032" s="6"/>
      <c r="BO1032" s="6"/>
      <c r="BP1032" s="6"/>
      <c r="BQ1032" s="6"/>
    </row>
    <row r="1033" spans="2:69" hidden="1" x14ac:dyDescent="0.2">
      <c r="B1033" s="13"/>
      <c r="C1033" s="13"/>
      <c r="D1033" s="13"/>
      <c r="E1033" s="13"/>
      <c r="F1033" s="13"/>
      <c r="G1033" s="13"/>
      <c r="H1033" s="13"/>
      <c r="I1033" s="13"/>
      <c r="J1033" s="13"/>
      <c r="K1033" s="13"/>
      <c r="L1033" s="13"/>
      <c r="M1033" s="13"/>
      <c r="N1033" s="13"/>
      <c r="O1033" s="13"/>
      <c r="P1033" s="13"/>
      <c r="Q1033" s="13"/>
      <c r="R1033" s="13"/>
      <c r="S1033" s="13"/>
      <c r="T1033" s="13"/>
      <c r="U1033" s="13"/>
      <c r="V1033" s="13"/>
      <c r="W1033" s="13"/>
      <c r="X1033" s="13"/>
      <c r="Y1033" s="13"/>
      <c r="Z1033" s="13"/>
      <c r="AA1033" s="13"/>
      <c r="AB1033" s="13"/>
      <c r="AM1033" s="6"/>
      <c r="AN1033" s="6"/>
      <c r="AO1033" s="6"/>
      <c r="AP1033" s="6"/>
      <c r="AQ1033" s="6"/>
      <c r="AR1033" s="6"/>
      <c r="AS1033" s="6"/>
      <c r="AT1033" s="6"/>
      <c r="AU1033" s="6"/>
      <c r="AV1033" s="6"/>
      <c r="AW1033" s="6"/>
      <c r="AX1033" s="6"/>
      <c r="AY1033" s="6"/>
      <c r="AZ1033" s="6"/>
      <c r="BA1033" s="6"/>
      <c r="BB1033" s="6"/>
      <c r="BC1033" s="6"/>
      <c r="BD1033" s="6"/>
      <c r="BE1033" s="6"/>
      <c r="BF1033" s="6"/>
      <c r="BG1033" s="6"/>
      <c r="BH1033" s="6"/>
      <c r="BI1033" s="6"/>
      <c r="BJ1033" s="6"/>
      <c r="BK1033" s="6"/>
      <c r="BL1033" s="6"/>
      <c r="BM1033" s="6"/>
      <c r="BN1033" s="6"/>
      <c r="BO1033" s="6"/>
      <c r="BP1033" s="6"/>
      <c r="BQ1033" s="6"/>
    </row>
    <row r="1034" spans="2:69" hidden="1" x14ac:dyDescent="0.2">
      <c r="B1034" s="13"/>
      <c r="C1034" s="13"/>
      <c r="D1034" s="13"/>
      <c r="E1034" s="13"/>
      <c r="F1034" s="13"/>
      <c r="G1034" s="13"/>
      <c r="H1034" s="13"/>
      <c r="I1034" s="13"/>
      <c r="J1034" s="13"/>
      <c r="K1034" s="13"/>
      <c r="L1034" s="13"/>
      <c r="M1034" s="13"/>
      <c r="N1034" s="13"/>
      <c r="O1034" s="13"/>
      <c r="P1034" s="13"/>
      <c r="Q1034" s="13"/>
      <c r="R1034" s="13"/>
      <c r="S1034" s="13"/>
      <c r="T1034" s="13"/>
      <c r="U1034" s="13"/>
      <c r="V1034" s="13"/>
      <c r="W1034" s="13"/>
      <c r="X1034" s="13"/>
      <c r="Y1034" s="13"/>
      <c r="Z1034" s="13"/>
      <c r="AA1034" s="13"/>
      <c r="AB1034" s="13"/>
      <c r="AM1034" s="6"/>
      <c r="AN1034" s="6"/>
      <c r="AO1034" s="6"/>
      <c r="AP1034" s="6"/>
      <c r="AQ1034" s="6"/>
      <c r="AR1034" s="6"/>
      <c r="AS1034" s="6"/>
      <c r="AT1034" s="6"/>
      <c r="AU1034" s="6"/>
      <c r="AV1034" s="6"/>
      <c r="AW1034" s="6"/>
      <c r="AX1034" s="6"/>
      <c r="AY1034" s="6"/>
      <c r="AZ1034" s="6"/>
      <c r="BA1034" s="6"/>
      <c r="BB1034" s="6"/>
      <c r="BC1034" s="6"/>
      <c r="BD1034" s="6"/>
      <c r="BE1034" s="6"/>
      <c r="BF1034" s="6"/>
      <c r="BG1034" s="6"/>
      <c r="BH1034" s="6"/>
      <c r="BI1034" s="6"/>
      <c r="BJ1034" s="6"/>
      <c r="BK1034" s="6"/>
      <c r="BL1034" s="6"/>
      <c r="BM1034" s="6"/>
      <c r="BN1034" s="6"/>
      <c r="BO1034" s="6"/>
      <c r="BP1034" s="6"/>
      <c r="BQ1034" s="6"/>
    </row>
    <row r="1035" spans="2:69" hidden="1" x14ac:dyDescent="0.2">
      <c r="B1035" s="13"/>
      <c r="C1035" s="13"/>
      <c r="D1035" s="13"/>
      <c r="E1035" s="13"/>
      <c r="F1035" s="13"/>
      <c r="G1035" s="13"/>
      <c r="H1035" s="13"/>
      <c r="I1035" s="13"/>
      <c r="J1035" s="13"/>
      <c r="K1035" s="13"/>
      <c r="L1035" s="13"/>
      <c r="M1035" s="13"/>
      <c r="N1035" s="13"/>
      <c r="O1035" s="13"/>
      <c r="P1035" s="13"/>
      <c r="Q1035" s="13"/>
      <c r="R1035" s="13"/>
      <c r="S1035" s="13"/>
      <c r="T1035" s="13"/>
      <c r="U1035" s="13"/>
      <c r="V1035" s="13"/>
      <c r="W1035" s="13"/>
      <c r="X1035" s="13"/>
      <c r="Y1035" s="13"/>
      <c r="Z1035" s="13"/>
      <c r="AA1035" s="13"/>
      <c r="AB1035" s="13"/>
      <c r="AM1035" s="6"/>
      <c r="AN1035" s="6"/>
      <c r="AO1035" s="6"/>
      <c r="AP1035" s="6"/>
      <c r="AQ1035" s="6"/>
      <c r="AR1035" s="6"/>
      <c r="AS1035" s="6"/>
      <c r="AT1035" s="6"/>
      <c r="AU1035" s="6"/>
      <c r="AV1035" s="6"/>
      <c r="AW1035" s="6"/>
      <c r="AX1035" s="6"/>
      <c r="AY1035" s="6"/>
      <c r="AZ1035" s="6"/>
      <c r="BA1035" s="6"/>
      <c r="BB1035" s="6"/>
      <c r="BC1035" s="6"/>
      <c r="BD1035" s="6"/>
      <c r="BE1035" s="6"/>
      <c r="BF1035" s="6"/>
      <c r="BG1035" s="6"/>
      <c r="BH1035" s="6"/>
      <c r="BI1035" s="6"/>
      <c r="BJ1035" s="6"/>
      <c r="BK1035" s="6"/>
      <c r="BL1035" s="6"/>
      <c r="BM1035" s="6"/>
      <c r="BN1035" s="6"/>
      <c r="BO1035" s="6"/>
      <c r="BP1035" s="6"/>
      <c r="BQ1035" s="6"/>
    </row>
    <row r="1036" spans="2:69" hidden="1" x14ac:dyDescent="0.2">
      <c r="B1036" s="13"/>
      <c r="C1036" s="13"/>
      <c r="D1036" s="13"/>
      <c r="E1036" s="13"/>
      <c r="F1036" s="13"/>
      <c r="G1036" s="13"/>
      <c r="H1036" s="13"/>
      <c r="I1036" s="13"/>
      <c r="J1036" s="13"/>
      <c r="K1036" s="13"/>
      <c r="L1036" s="13"/>
      <c r="M1036" s="13"/>
      <c r="N1036" s="13"/>
      <c r="O1036" s="13"/>
      <c r="P1036" s="13"/>
      <c r="Q1036" s="13"/>
      <c r="R1036" s="13"/>
      <c r="S1036" s="13"/>
      <c r="T1036" s="13"/>
      <c r="U1036" s="13"/>
      <c r="V1036" s="13"/>
      <c r="W1036" s="13"/>
      <c r="X1036" s="13"/>
      <c r="Y1036" s="13"/>
      <c r="Z1036" s="13"/>
      <c r="AA1036" s="13"/>
      <c r="AB1036" s="13"/>
      <c r="AM1036" s="6"/>
      <c r="AN1036" s="6"/>
      <c r="AO1036" s="6"/>
      <c r="AP1036" s="6"/>
      <c r="AQ1036" s="6"/>
      <c r="AR1036" s="6"/>
      <c r="AS1036" s="6"/>
      <c r="AT1036" s="6"/>
      <c r="AU1036" s="6"/>
      <c r="AV1036" s="6"/>
      <c r="AW1036" s="6"/>
      <c r="AX1036" s="6"/>
      <c r="AY1036" s="6"/>
      <c r="AZ1036" s="6"/>
      <c r="BA1036" s="6"/>
      <c r="BB1036" s="6"/>
      <c r="BC1036" s="6"/>
      <c r="BD1036" s="6"/>
      <c r="BE1036" s="6"/>
      <c r="BF1036" s="6"/>
      <c r="BG1036" s="6"/>
      <c r="BH1036" s="6"/>
      <c r="BI1036" s="6"/>
      <c r="BJ1036" s="6"/>
      <c r="BK1036" s="6"/>
      <c r="BL1036" s="6"/>
      <c r="BM1036" s="6"/>
      <c r="BN1036" s="6"/>
      <c r="BO1036" s="6"/>
      <c r="BP1036" s="6"/>
      <c r="BQ1036" s="6"/>
    </row>
    <row r="1037" spans="2:69" hidden="1" x14ac:dyDescent="0.2">
      <c r="B1037" s="13"/>
      <c r="C1037" s="13"/>
      <c r="D1037" s="13"/>
      <c r="E1037" s="13"/>
      <c r="F1037" s="13"/>
      <c r="G1037" s="13"/>
      <c r="H1037" s="13"/>
      <c r="I1037" s="13"/>
      <c r="J1037" s="13"/>
      <c r="K1037" s="13"/>
      <c r="L1037" s="13"/>
      <c r="M1037" s="13"/>
      <c r="N1037" s="13"/>
      <c r="O1037" s="13"/>
      <c r="P1037" s="13"/>
      <c r="Q1037" s="13"/>
      <c r="R1037" s="13"/>
      <c r="S1037" s="13"/>
      <c r="T1037" s="13"/>
      <c r="U1037" s="13"/>
      <c r="V1037" s="13"/>
      <c r="W1037" s="13"/>
      <c r="X1037" s="13"/>
      <c r="Y1037" s="13"/>
      <c r="Z1037" s="13"/>
      <c r="AA1037" s="13"/>
      <c r="AB1037" s="13"/>
      <c r="AM1037" s="6"/>
      <c r="AN1037" s="6"/>
      <c r="AO1037" s="6"/>
      <c r="AP1037" s="6"/>
      <c r="AQ1037" s="6"/>
      <c r="AR1037" s="6"/>
      <c r="AS1037" s="6"/>
      <c r="AT1037" s="6"/>
      <c r="AU1037" s="6"/>
      <c r="AV1037" s="6"/>
      <c r="AW1037" s="6"/>
      <c r="AX1037" s="6"/>
      <c r="AY1037" s="6"/>
      <c r="AZ1037" s="6"/>
      <c r="BA1037" s="6"/>
      <c r="BB1037" s="6"/>
      <c r="BC1037" s="6"/>
      <c r="BD1037" s="6"/>
      <c r="BE1037" s="6"/>
      <c r="BF1037" s="6"/>
      <c r="BG1037" s="6"/>
      <c r="BH1037" s="6"/>
      <c r="BI1037" s="6"/>
      <c r="BJ1037" s="6"/>
      <c r="BK1037" s="6"/>
      <c r="BL1037" s="6"/>
      <c r="BM1037" s="6"/>
      <c r="BN1037" s="6"/>
      <c r="BO1037" s="6"/>
      <c r="BP1037" s="6"/>
      <c r="BQ1037" s="6"/>
    </row>
    <row r="1038" spans="2:69" hidden="1" x14ac:dyDescent="0.2">
      <c r="B1038" s="13"/>
      <c r="C1038" s="13"/>
      <c r="D1038" s="13"/>
      <c r="E1038" s="13"/>
      <c r="F1038" s="13"/>
      <c r="G1038" s="13"/>
      <c r="H1038" s="13"/>
      <c r="I1038" s="13"/>
      <c r="J1038" s="13"/>
      <c r="K1038" s="13"/>
      <c r="L1038" s="13"/>
      <c r="M1038" s="13"/>
      <c r="N1038" s="13"/>
      <c r="O1038" s="13"/>
      <c r="P1038" s="13"/>
      <c r="Q1038" s="13"/>
      <c r="R1038" s="13"/>
      <c r="S1038" s="13"/>
      <c r="T1038" s="13"/>
      <c r="U1038" s="13"/>
      <c r="V1038" s="13"/>
      <c r="W1038" s="13"/>
      <c r="X1038" s="13"/>
      <c r="Y1038" s="13"/>
      <c r="Z1038" s="13"/>
      <c r="AA1038" s="13"/>
      <c r="AB1038" s="13"/>
      <c r="AM1038" s="6"/>
      <c r="AN1038" s="6"/>
      <c r="AO1038" s="6"/>
      <c r="AP1038" s="6"/>
      <c r="AQ1038" s="6"/>
      <c r="AR1038" s="6"/>
      <c r="AS1038" s="6"/>
      <c r="AT1038" s="6"/>
      <c r="AU1038" s="6"/>
      <c r="AV1038" s="6"/>
      <c r="AW1038" s="6"/>
      <c r="AX1038" s="6"/>
      <c r="AY1038" s="6"/>
      <c r="AZ1038" s="6"/>
      <c r="BA1038" s="6"/>
      <c r="BB1038" s="6"/>
      <c r="BC1038" s="6"/>
      <c r="BD1038" s="6"/>
      <c r="BE1038" s="6"/>
      <c r="BF1038" s="6"/>
      <c r="BG1038" s="6"/>
      <c r="BH1038" s="6"/>
      <c r="BI1038" s="6"/>
      <c r="BJ1038" s="6"/>
      <c r="BK1038" s="6"/>
      <c r="BL1038" s="6"/>
      <c r="BM1038" s="6"/>
      <c r="BN1038" s="6"/>
      <c r="BO1038" s="6"/>
      <c r="BP1038" s="6"/>
      <c r="BQ1038" s="6"/>
    </row>
    <row r="1039" spans="2:69" hidden="1" x14ac:dyDescent="0.2">
      <c r="B1039" s="13"/>
      <c r="C1039" s="13"/>
      <c r="D1039" s="13"/>
      <c r="E1039" s="13"/>
      <c r="F1039" s="13"/>
      <c r="G1039" s="13"/>
      <c r="H1039" s="13"/>
      <c r="I1039" s="13"/>
      <c r="J1039" s="13"/>
      <c r="K1039" s="13"/>
      <c r="L1039" s="13"/>
      <c r="M1039" s="13"/>
      <c r="N1039" s="13"/>
      <c r="O1039" s="13"/>
      <c r="P1039" s="13"/>
      <c r="Q1039" s="13"/>
      <c r="R1039" s="13"/>
      <c r="S1039" s="13"/>
      <c r="T1039" s="13"/>
      <c r="U1039" s="13"/>
      <c r="V1039" s="13"/>
      <c r="W1039" s="13"/>
      <c r="X1039" s="13"/>
      <c r="Y1039" s="13"/>
      <c r="Z1039" s="13"/>
      <c r="AA1039" s="13"/>
      <c r="AB1039" s="13"/>
      <c r="AM1039" s="6"/>
      <c r="AN1039" s="6"/>
      <c r="AO1039" s="6"/>
      <c r="AP1039" s="6"/>
      <c r="AQ1039" s="6"/>
      <c r="AR1039" s="6"/>
      <c r="AS1039" s="6"/>
      <c r="AT1039" s="6"/>
      <c r="AU1039" s="6"/>
      <c r="AV1039" s="6"/>
      <c r="AW1039" s="6"/>
      <c r="AX1039" s="6"/>
      <c r="AY1039" s="6"/>
      <c r="AZ1039" s="6"/>
      <c r="BA1039" s="6"/>
      <c r="BB1039" s="6"/>
      <c r="BC1039" s="6"/>
      <c r="BD1039" s="6"/>
      <c r="BE1039" s="6"/>
      <c r="BF1039" s="6"/>
      <c r="BG1039" s="6"/>
      <c r="BH1039" s="6"/>
      <c r="BI1039" s="6"/>
      <c r="BJ1039" s="6"/>
      <c r="BK1039" s="6"/>
      <c r="BL1039" s="6"/>
      <c r="BM1039" s="6"/>
      <c r="BN1039" s="6"/>
      <c r="BO1039" s="6"/>
      <c r="BP1039" s="6"/>
      <c r="BQ1039" s="6"/>
    </row>
    <row r="1040" spans="2:69" hidden="1" x14ac:dyDescent="0.2">
      <c r="B1040" s="13"/>
      <c r="C1040" s="13"/>
      <c r="D1040" s="13"/>
      <c r="E1040" s="13"/>
      <c r="F1040" s="13"/>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M1040" s="6"/>
      <c r="AN1040" s="6"/>
      <c r="AO1040" s="6"/>
      <c r="AP1040" s="6"/>
      <c r="AQ1040" s="6"/>
      <c r="AR1040" s="6"/>
      <c r="AS1040" s="6"/>
      <c r="AT1040" s="6"/>
      <c r="AU1040" s="6"/>
      <c r="AV1040" s="6"/>
      <c r="AW1040" s="6"/>
      <c r="AX1040" s="6"/>
      <c r="AY1040" s="6"/>
      <c r="AZ1040" s="6"/>
      <c r="BA1040" s="6"/>
      <c r="BB1040" s="6"/>
      <c r="BC1040" s="6"/>
      <c r="BD1040" s="6"/>
      <c r="BE1040" s="6"/>
      <c r="BF1040" s="6"/>
      <c r="BG1040" s="6"/>
      <c r="BH1040" s="6"/>
      <c r="BI1040" s="6"/>
      <c r="BJ1040" s="6"/>
      <c r="BK1040" s="6"/>
      <c r="BL1040" s="6"/>
      <c r="BM1040" s="6"/>
      <c r="BN1040" s="6"/>
      <c r="BO1040" s="6"/>
      <c r="BP1040" s="6"/>
      <c r="BQ1040" s="6"/>
    </row>
    <row r="1041" spans="2:69" hidden="1" x14ac:dyDescent="0.2">
      <c r="B1041" s="13"/>
      <c r="C1041" s="13"/>
      <c r="D1041" s="13"/>
      <c r="E1041" s="13"/>
      <c r="F1041" s="13"/>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M1041" s="6"/>
      <c r="AN1041" s="6"/>
      <c r="AO1041" s="6"/>
      <c r="AP1041" s="6"/>
      <c r="AQ1041" s="6"/>
      <c r="AR1041" s="6"/>
      <c r="AS1041" s="6"/>
      <c r="AT1041" s="6"/>
      <c r="AU1041" s="6"/>
      <c r="AV1041" s="6"/>
      <c r="AW1041" s="6"/>
      <c r="AX1041" s="6"/>
      <c r="AY1041" s="6"/>
      <c r="AZ1041" s="6"/>
      <c r="BA1041" s="6"/>
      <c r="BB1041" s="6"/>
      <c r="BC1041" s="6"/>
      <c r="BD1041" s="6"/>
      <c r="BE1041" s="6"/>
      <c r="BF1041" s="6"/>
      <c r="BG1041" s="6"/>
      <c r="BH1041" s="6"/>
      <c r="BI1041" s="6"/>
      <c r="BJ1041" s="6"/>
      <c r="BK1041" s="6"/>
      <c r="BL1041" s="6"/>
      <c r="BM1041" s="6"/>
      <c r="BN1041" s="6"/>
      <c r="BO1041" s="6"/>
      <c r="BP1041" s="6"/>
      <c r="BQ1041" s="6"/>
    </row>
    <row r="1042" spans="2:69" hidden="1" x14ac:dyDescent="0.2">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M1042" s="6"/>
      <c r="AN1042" s="6"/>
      <c r="AO1042" s="6"/>
      <c r="AP1042" s="6"/>
      <c r="AQ1042" s="6"/>
      <c r="AR1042" s="6"/>
      <c r="AS1042" s="6"/>
      <c r="AT1042" s="6"/>
      <c r="AU1042" s="6"/>
      <c r="AV1042" s="6"/>
      <c r="AW1042" s="6"/>
      <c r="AX1042" s="6"/>
      <c r="AY1042" s="6"/>
      <c r="AZ1042" s="6"/>
      <c r="BA1042" s="6"/>
      <c r="BB1042" s="6"/>
      <c r="BC1042" s="6"/>
      <c r="BD1042" s="6"/>
      <c r="BE1042" s="6"/>
      <c r="BF1042" s="6"/>
      <c r="BG1042" s="6"/>
      <c r="BH1042" s="6"/>
      <c r="BI1042" s="6"/>
      <c r="BJ1042" s="6"/>
      <c r="BK1042" s="6"/>
      <c r="BL1042" s="6"/>
      <c r="BM1042" s="6"/>
      <c r="BN1042" s="6"/>
      <c r="BO1042" s="6"/>
      <c r="BP1042" s="6"/>
      <c r="BQ1042" s="6"/>
    </row>
    <row r="1043" spans="2:69" hidden="1" x14ac:dyDescent="0.2">
      <c r="B1043" s="13"/>
      <c r="C1043" s="13"/>
      <c r="D1043" s="13"/>
      <c r="E1043" s="13"/>
      <c r="F1043" s="13"/>
      <c r="G1043" s="13"/>
      <c r="H1043" s="13"/>
      <c r="I1043" s="13"/>
      <c r="J1043" s="13"/>
      <c r="K1043" s="13"/>
      <c r="L1043" s="13"/>
      <c r="M1043" s="13"/>
      <c r="N1043" s="13"/>
      <c r="O1043" s="13"/>
      <c r="P1043" s="13"/>
      <c r="Q1043" s="13"/>
      <c r="R1043" s="13"/>
      <c r="S1043" s="13"/>
      <c r="T1043" s="13"/>
      <c r="U1043" s="13"/>
      <c r="V1043" s="13"/>
      <c r="W1043" s="13"/>
      <c r="X1043" s="13"/>
      <c r="Y1043" s="13"/>
      <c r="Z1043" s="13"/>
      <c r="AA1043" s="13"/>
      <c r="AB1043" s="13"/>
      <c r="AM1043" s="6"/>
      <c r="AN1043" s="6"/>
      <c r="AO1043" s="6"/>
      <c r="AP1043" s="6"/>
      <c r="AQ1043" s="6"/>
      <c r="AR1043" s="6"/>
      <c r="AS1043" s="6"/>
      <c r="AT1043" s="6"/>
      <c r="AU1043" s="6"/>
      <c r="AV1043" s="6"/>
      <c r="AW1043" s="6"/>
      <c r="AX1043" s="6"/>
      <c r="AY1043" s="6"/>
      <c r="AZ1043" s="6"/>
      <c r="BA1043" s="6"/>
      <c r="BB1043" s="6"/>
      <c r="BC1043" s="6"/>
      <c r="BD1043" s="6"/>
      <c r="BE1043" s="6"/>
      <c r="BF1043" s="6"/>
      <c r="BG1043" s="6"/>
      <c r="BH1043" s="6"/>
      <c r="BI1043" s="6"/>
      <c r="BJ1043" s="6"/>
      <c r="BK1043" s="6"/>
      <c r="BL1043" s="6"/>
      <c r="BM1043" s="6"/>
      <c r="BN1043" s="6"/>
      <c r="BO1043" s="6"/>
      <c r="BP1043" s="6"/>
      <c r="BQ1043" s="6"/>
    </row>
    <row r="1044" spans="2:69" hidden="1" x14ac:dyDescent="0.2">
      <c r="B1044" s="13"/>
      <c r="C1044" s="13"/>
      <c r="D1044" s="13"/>
      <c r="E1044" s="13"/>
      <c r="F1044" s="13"/>
      <c r="G1044" s="13"/>
      <c r="H1044" s="13"/>
      <c r="I1044" s="13"/>
      <c r="J1044" s="13"/>
      <c r="K1044" s="13"/>
      <c r="L1044" s="13"/>
      <c r="M1044" s="13"/>
      <c r="N1044" s="13"/>
      <c r="O1044" s="13"/>
      <c r="P1044" s="13"/>
      <c r="Q1044" s="13"/>
      <c r="R1044" s="13"/>
      <c r="S1044" s="13"/>
      <c r="T1044" s="13"/>
      <c r="U1044" s="13"/>
      <c r="V1044" s="13"/>
      <c r="W1044" s="13"/>
      <c r="X1044" s="13"/>
      <c r="Y1044" s="13"/>
      <c r="Z1044" s="13"/>
      <c r="AA1044" s="13"/>
      <c r="AB1044" s="13"/>
      <c r="AM1044" s="6"/>
      <c r="AN1044" s="6"/>
      <c r="AO1044" s="6"/>
      <c r="AP1044" s="6"/>
      <c r="AQ1044" s="6"/>
      <c r="AR1044" s="6"/>
      <c r="AS1044" s="6"/>
      <c r="AT1044" s="6"/>
      <c r="AU1044" s="6"/>
      <c r="AV1044" s="6"/>
      <c r="AW1044" s="6"/>
      <c r="AX1044" s="6"/>
      <c r="AY1044" s="6"/>
      <c r="AZ1044" s="6"/>
      <c r="BA1044" s="6"/>
      <c r="BB1044" s="6"/>
      <c r="BC1044" s="6"/>
      <c r="BD1044" s="6"/>
      <c r="BE1044" s="6"/>
      <c r="BF1044" s="6"/>
      <c r="BG1044" s="6"/>
      <c r="BH1044" s="6"/>
      <c r="BI1044" s="6"/>
      <c r="BJ1044" s="6"/>
      <c r="BK1044" s="6"/>
      <c r="BL1044" s="6"/>
      <c r="BM1044" s="6"/>
      <c r="BN1044" s="6"/>
      <c r="BO1044" s="6"/>
      <c r="BP1044" s="6"/>
      <c r="BQ1044" s="6"/>
    </row>
    <row r="1045" spans="2:69" hidden="1" x14ac:dyDescent="0.2">
      <c r="B1045" s="13"/>
      <c r="C1045" s="13"/>
      <c r="D1045" s="13"/>
      <c r="E1045" s="13"/>
      <c r="F1045" s="13"/>
      <c r="G1045" s="13"/>
      <c r="H1045" s="13"/>
      <c r="I1045" s="13"/>
      <c r="J1045" s="13"/>
      <c r="K1045" s="13"/>
      <c r="L1045" s="13"/>
      <c r="M1045" s="13"/>
      <c r="N1045" s="13"/>
      <c r="O1045" s="13"/>
      <c r="P1045" s="13"/>
      <c r="Q1045" s="13"/>
      <c r="R1045" s="13"/>
      <c r="S1045" s="13"/>
      <c r="T1045" s="13"/>
      <c r="U1045" s="13"/>
      <c r="V1045" s="13"/>
      <c r="W1045" s="13"/>
      <c r="X1045" s="13"/>
      <c r="Y1045" s="13"/>
      <c r="Z1045" s="13"/>
      <c r="AA1045" s="13"/>
      <c r="AB1045" s="13"/>
      <c r="AM1045" s="6"/>
      <c r="AN1045" s="6"/>
      <c r="AO1045" s="6"/>
      <c r="AP1045" s="6"/>
      <c r="AQ1045" s="6"/>
      <c r="AR1045" s="6"/>
      <c r="AS1045" s="6"/>
      <c r="AT1045" s="6"/>
      <c r="AU1045" s="6"/>
      <c r="AV1045" s="6"/>
      <c r="AW1045" s="6"/>
      <c r="AX1045" s="6"/>
      <c r="AY1045" s="6"/>
      <c r="AZ1045" s="6"/>
      <c r="BA1045" s="6"/>
      <c r="BB1045" s="6"/>
      <c r="BC1045" s="6"/>
      <c r="BD1045" s="6"/>
      <c r="BE1045" s="6"/>
      <c r="BF1045" s="6"/>
      <c r="BG1045" s="6"/>
      <c r="BH1045" s="6"/>
      <c r="BI1045" s="6"/>
      <c r="BJ1045" s="6"/>
      <c r="BK1045" s="6"/>
      <c r="BL1045" s="6"/>
      <c r="BM1045" s="6"/>
      <c r="BN1045" s="6"/>
      <c r="BO1045" s="6"/>
      <c r="BP1045" s="6"/>
      <c r="BQ1045" s="6"/>
    </row>
    <row r="1046" spans="2:69" hidden="1" x14ac:dyDescent="0.2">
      <c r="B1046" s="13"/>
      <c r="C1046" s="13"/>
      <c r="D1046" s="13"/>
      <c r="E1046" s="13"/>
      <c r="F1046" s="13"/>
      <c r="G1046" s="13"/>
      <c r="H1046" s="13"/>
      <c r="I1046" s="13"/>
      <c r="J1046" s="13"/>
      <c r="K1046" s="13"/>
      <c r="L1046" s="13"/>
      <c r="M1046" s="13"/>
      <c r="N1046" s="13"/>
      <c r="O1046" s="13"/>
      <c r="P1046" s="13"/>
      <c r="Q1046" s="13"/>
      <c r="R1046" s="13"/>
      <c r="S1046" s="13"/>
      <c r="T1046" s="13"/>
      <c r="U1046" s="13"/>
      <c r="V1046" s="13"/>
      <c r="W1046" s="13"/>
      <c r="X1046" s="13"/>
      <c r="Y1046" s="13"/>
      <c r="Z1046" s="13"/>
      <c r="AA1046" s="13"/>
      <c r="AB1046" s="13"/>
      <c r="AM1046" s="6"/>
      <c r="AN1046" s="6"/>
      <c r="AO1046" s="6"/>
      <c r="AP1046" s="6"/>
      <c r="AQ1046" s="6"/>
      <c r="AR1046" s="6"/>
      <c r="AS1046" s="6"/>
      <c r="AT1046" s="6"/>
      <c r="AU1046" s="6"/>
      <c r="AV1046" s="6"/>
      <c r="AW1046" s="6"/>
      <c r="AX1046" s="6"/>
      <c r="AY1046" s="6"/>
      <c r="AZ1046" s="6"/>
      <c r="BA1046" s="6"/>
      <c r="BB1046" s="6"/>
      <c r="BC1046" s="6"/>
      <c r="BD1046" s="6"/>
      <c r="BE1046" s="6"/>
      <c r="BF1046" s="6"/>
      <c r="BG1046" s="6"/>
      <c r="BH1046" s="6"/>
      <c r="BI1046" s="6"/>
      <c r="BJ1046" s="6"/>
      <c r="BK1046" s="6"/>
      <c r="BL1046" s="6"/>
      <c r="BM1046" s="6"/>
      <c r="BN1046" s="6"/>
      <c r="BO1046" s="6"/>
      <c r="BP1046" s="6"/>
      <c r="BQ1046" s="6"/>
    </row>
    <row r="1047" spans="2:69" hidden="1" x14ac:dyDescent="0.2">
      <c r="B1047" s="13"/>
      <c r="C1047" s="13"/>
      <c r="D1047" s="13"/>
      <c r="E1047" s="13"/>
      <c r="F1047" s="13"/>
      <c r="G1047" s="13"/>
      <c r="H1047" s="13"/>
      <c r="I1047" s="13"/>
      <c r="J1047" s="13"/>
      <c r="K1047" s="13"/>
      <c r="L1047" s="13"/>
      <c r="M1047" s="13"/>
      <c r="N1047" s="13"/>
      <c r="O1047" s="13"/>
      <c r="P1047" s="13"/>
      <c r="Q1047" s="13"/>
      <c r="R1047" s="13"/>
      <c r="S1047" s="13"/>
      <c r="T1047" s="13"/>
      <c r="U1047" s="13"/>
      <c r="V1047" s="13"/>
      <c r="W1047" s="13"/>
      <c r="X1047" s="13"/>
      <c r="Y1047" s="13"/>
      <c r="Z1047" s="13"/>
      <c r="AA1047" s="13"/>
      <c r="AB1047" s="13"/>
      <c r="AM1047" s="6"/>
      <c r="AN1047" s="6"/>
      <c r="AO1047" s="6"/>
      <c r="AP1047" s="6"/>
      <c r="AQ1047" s="6"/>
      <c r="AR1047" s="6"/>
      <c r="AS1047" s="6"/>
      <c r="AT1047" s="6"/>
      <c r="AU1047" s="6"/>
      <c r="AV1047" s="6"/>
      <c r="AW1047" s="6"/>
      <c r="AX1047" s="6"/>
      <c r="AY1047" s="6"/>
      <c r="AZ1047" s="6"/>
      <c r="BA1047" s="6"/>
      <c r="BB1047" s="6"/>
      <c r="BC1047" s="6"/>
      <c r="BD1047" s="6"/>
      <c r="BE1047" s="6"/>
      <c r="BF1047" s="6"/>
      <c r="BG1047" s="6"/>
      <c r="BH1047" s="6"/>
      <c r="BI1047" s="6"/>
      <c r="BJ1047" s="6"/>
      <c r="BK1047" s="6"/>
      <c r="BL1047" s="6"/>
      <c r="BM1047" s="6"/>
      <c r="BN1047" s="6"/>
      <c r="BO1047" s="6"/>
      <c r="BP1047" s="6"/>
      <c r="BQ1047" s="6"/>
    </row>
    <row r="1048" spans="2:69" hidden="1" x14ac:dyDescent="0.2">
      <c r="B1048" s="13"/>
      <c r="C1048" s="13"/>
      <c r="D1048" s="13"/>
      <c r="E1048" s="13"/>
      <c r="F1048" s="13"/>
      <c r="G1048" s="13"/>
      <c r="H1048" s="13"/>
      <c r="I1048" s="13"/>
      <c r="J1048" s="13"/>
      <c r="K1048" s="13"/>
      <c r="L1048" s="13"/>
      <c r="M1048" s="13"/>
      <c r="N1048" s="13"/>
      <c r="O1048" s="13"/>
      <c r="P1048" s="13"/>
      <c r="Q1048" s="13"/>
      <c r="R1048" s="13"/>
      <c r="S1048" s="13"/>
      <c r="T1048" s="13"/>
      <c r="U1048" s="13"/>
      <c r="V1048" s="13"/>
      <c r="W1048" s="13"/>
      <c r="X1048" s="13"/>
      <c r="Y1048" s="13"/>
      <c r="Z1048" s="13"/>
      <c r="AA1048" s="13"/>
      <c r="AB1048" s="13"/>
      <c r="AM1048" s="6"/>
      <c r="AN1048" s="6"/>
      <c r="AO1048" s="6"/>
      <c r="AP1048" s="6"/>
      <c r="AQ1048" s="6"/>
      <c r="AR1048" s="6"/>
      <c r="AS1048" s="6"/>
      <c r="AT1048" s="6"/>
      <c r="AU1048" s="6"/>
      <c r="AV1048" s="6"/>
      <c r="AW1048" s="6"/>
      <c r="AX1048" s="6"/>
      <c r="AY1048" s="6"/>
      <c r="AZ1048" s="6"/>
      <c r="BA1048" s="6"/>
      <c r="BB1048" s="6"/>
      <c r="BC1048" s="6"/>
      <c r="BD1048" s="6"/>
      <c r="BE1048" s="6"/>
      <c r="BF1048" s="6"/>
      <c r="BG1048" s="6"/>
      <c r="BH1048" s="6"/>
      <c r="BI1048" s="6"/>
      <c r="BJ1048" s="6"/>
      <c r="BK1048" s="6"/>
      <c r="BL1048" s="6"/>
      <c r="BM1048" s="6"/>
      <c r="BN1048" s="6"/>
      <c r="BO1048" s="6"/>
      <c r="BP1048" s="6"/>
      <c r="BQ1048" s="6"/>
    </row>
    <row r="1049" spans="2:69" hidden="1" x14ac:dyDescent="0.2">
      <c r="B1049" s="13"/>
      <c r="C1049" s="13"/>
      <c r="D1049" s="13"/>
      <c r="E1049" s="13"/>
      <c r="F1049" s="13"/>
      <c r="G1049" s="13"/>
      <c r="H1049" s="13"/>
      <c r="I1049" s="13"/>
      <c r="J1049" s="13"/>
      <c r="K1049" s="13"/>
      <c r="L1049" s="13"/>
      <c r="M1049" s="13"/>
      <c r="N1049" s="13"/>
      <c r="O1049" s="13"/>
      <c r="P1049" s="13"/>
      <c r="Q1049" s="13"/>
      <c r="R1049" s="13"/>
      <c r="S1049" s="13"/>
      <c r="T1049" s="13"/>
      <c r="U1049" s="13"/>
      <c r="V1049" s="13"/>
      <c r="W1049" s="13"/>
      <c r="X1049" s="13"/>
      <c r="Y1049" s="13"/>
      <c r="Z1049" s="13"/>
      <c r="AA1049" s="13"/>
      <c r="AB1049" s="13"/>
      <c r="AM1049" s="6"/>
      <c r="AN1049" s="6"/>
      <c r="AO1049" s="6"/>
      <c r="AP1049" s="6"/>
      <c r="AQ1049" s="6"/>
      <c r="AR1049" s="6"/>
      <c r="AS1049" s="6"/>
      <c r="AT1049" s="6"/>
      <c r="AU1049" s="6"/>
      <c r="AV1049" s="6"/>
      <c r="AW1049" s="6"/>
      <c r="AX1049" s="6"/>
      <c r="AY1049" s="6"/>
      <c r="AZ1049" s="6"/>
      <c r="BA1049" s="6"/>
      <c r="BB1049" s="6"/>
      <c r="BC1049" s="6"/>
      <c r="BD1049" s="6"/>
      <c r="BE1049" s="6"/>
      <c r="BF1049" s="6"/>
      <c r="BG1049" s="6"/>
      <c r="BH1049" s="6"/>
      <c r="BI1049" s="6"/>
      <c r="BJ1049" s="6"/>
      <c r="BK1049" s="6"/>
      <c r="BL1049" s="6"/>
      <c r="BM1049" s="6"/>
      <c r="BN1049" s="6"/>
      <c r="BO1049" s="6"/>
      <c r="BP1049" s="6"/>
      <c r="BQ1049" s="6"/>
    </row>
    <row r="1050" spans="2:69" hidden="1" x14ac:dyDescent="0.2">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M1050" s="6"/>
      <c r="AN1050" s="6"/>
      <c r="AO1050" s="6"/>
      <c r="AP1050" s="6"/>
      <c r="AQ1050" s="6"/>
      <c r="AR1050" s="6"/>
      <c r="AS1050" s="6"/>
      <c r="AT1050" s="6"/>
      <c r="AU1050" s="6"/>
      <c r="AV1050" s="6"/>
      <c r="AW1050" s="6"/>
      <c r="AX1050" s="6"/>
      <c r="AY1050" s="6"/>
      <c r="AZ1050" s="6"/>
      <c r="BA1050" s="6"/>
      <c r="BB1050" s="6"/>
      <c r="BC1050" s="6"/>
      <c r="BD1050" s="6"/>
      <c r="BE1050" s="6"/>
      <c r="BF1050" s="6"/>
      <c r="BG1050" s="6"/>
      <c r="BH1050" s="6"/>
      <c r="BI1050" s="6"/>
      <c r="BJ1050" s="6"/>
      <c r="BK1050" s="6"/>
      <c r="BL1050" s="6"/>
      <c r="BM1050" s="6"/>
      <c r="BN1050" s="6"/>
      <c r="BO1050" s="6"/>
      <c r="BP1050" s="6"/>
      <c r="BQ1050" s="6"/>
    </row>
    <row r="1051" spans="2:69" hidden="1" x14ac:dyDescent="0.2">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M1051" s="6"/>
      <c r="AN1051" s="6"/>
      <c r="AO1051" s="6"/>
      <c r="AP1051" s="6"/>
      <c r="AQ1051" s="6"/>
      <c r="AR1051" s="6"/>
      <c r="AS1051" s="6"/>
      <c r="AT1051" s="6"/>
      <c r="AU1051" s="6"/>
      <c r="AV1051" s="6"/>
      <c r="AW1051" s="6"/>
      <c r="AX1051" s="6"/>
      <c r="AY1051" s="6"/>
      <c r="AZ1051" s="6"/>
      <c r="BA1051" s="6"/>
      <c r="BB1051" s="6"/>
      <c r="BC1051" s="6"/>
      <c r="BD1051" s="6"/>
      <c r="BE1051" s="6"/>
      <c r="BF1051" s="6"/>
      <c r="BG1051" s="6"/>
      <c r="BH1051" s="6"/>
      <c r="BI1051" s="6"/>
      <c r="BJ1051" s="6"/>
      <c r="BK1051" s="6"/>
      <c r="BL1051" s="6"/>
      <c r="BM1051" s="6"/>
      <c r="BN1051" s="6"/>
      <c r="BO1051" s="6"/>
      <c r="BP1051" s="6"/>
      <c r="BQ1051" s="6"/>
    </row>
    <row r="1052" spans="2:69" hidden="1" x14ac:dyDescent="0.2">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M1052" s="6"/>
      <c r="AN1052" s="6"/>
      <c r="AO1052" s="6"/>
      <c r="AP1052" s="6"/>
      <c r="AQ1052" s="6"/>
      <c r="AR1052" s="6"/>
      <c r="AS1052" s="6"/>
      <c r="AT1052" s="6"/>
      <c r="AU1052" s="6"/>
      <c r="AV1052" s="6"/>
      <c r="AW1052" s="6"/>
      <c r="AX1052" s="6"/>
      <c r="AY1052" s="6"/>
      <c r="AZ1052" s="6"/>
      <c r="BA1052" s="6"/>
      <c r="BB1052" s="6"/>
      <c r="BC1052" s="6"/>
      <c r="BD1052" s="6"/>
      <c r="BE1052" s="6"/>
      <c r="BF1052" s="6"/>
      <c r="BG1052" s="6"/>
      <c r="BH1052" s="6"/>
      <c r="BI1052" s="6"/>
      <c r="BJ1052" s="6"/>
      <c r="BK1052" s="6"/>
      <c r="BL1052" s="6"/>
      <c r="BM1052" s="6"/>
      <c r="BN1052" s="6"/>
      <c r="BO1052" s="6"/>
      <c r="BP1052" s="6"/>
      <c r="BQ1052" s="6"/>
    </row>
    <row r="1053" spans="2:69" hidden="1" x14ac:dyDescent="0.2">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M1053" s="6"/>
      <c r="AN1053" s="6"/>
      <c r="AO1053" s="6"/>
      <c r="AP1053" s="6"/>
      <c r="AQ1053" s="6"/>
      <c r="AR1053" s="6"/>
      <c r="AS1053" s="6"/>
      <c r="AT1053" s="6"/>
      <c r="AU1053" s="6"/>
      <c r="AV1053" s="6"/>
      <c r="AW1053" s="6"/>
      <c r="AX1053" s="6"/>
      <c r="AY1053" s="6"/>
      <c r="AZ1053" s="6"/>
      <c r="BA1053" s="6"/>
      <c r="BB1053" s="6"/>
      <c r="BC1053" s="6"/>
      <c r="BD1053" s="6"/>
      <c r="BE1053" s="6"/>
      <c r="BF1053" s="6"/>
      <c r="BG1053" s="6"/>
      <c r="BH1053" s="6"/>
      <c r="BI1053" s="6"/>
      <c r="BJ1053" s="6"/>
      <c r="BK1053" s="6"/>
      <c r="BL1053" s="6"/>
      <c r="BM1053" s="6"/>
      <c r="BN1053" s="6"/>
      <c r="BO1053" s="6"/>
      <c r="BP1053" s="6"/>
      <c r="BQ1053" s="6"/>
    </row>
    <row r="1054" spans="2:69" hidden="1" x14ac:dyDescent="0.2">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M1054" s="6"/>
      <c r="AN1054" s="6"/>
      <c r="AO1054" s="6"/>
      <c r="AP1054" s="6"/>
      <c r="AQ1054" s="6"/>
      <c r="AR1054" s="6"/>
      <c r="AS1054" s="6"/>
      <c r="AT1054" s="6"/>
      <c r="AU1054" s="6"/>
      <c r="AV1054" s="6"/>
      <c r="AW1054" s="6"/>
      <c r="AX1054" s="6"/>
      <c r="AY1054" s="6"/>
      <c r="AZ1054" s="6"/>
      <c r="BA1054" s="6"/>
      <c r="BB1054" s="6"/>
      <c r="BC1054" s="6"/>
      <c r="BD1054" s="6"/>
      <c r="BE1054" s="6"/>
      <c r="BF1054" s="6"/>
      <c r="BG1054" s="6"/>
      <c r="BH1054" s="6"/>
      <c r="BI1054" s="6"/>
      <c r="BJ1054" s="6"/>
      <c r="BK1054" s="6"/>
      <c r="BL1054" s="6"/>
      <c r="BM1054" s="6"/>
      <c r="BN1054" s="6"/>
      <c r="BO1054" s="6"/>
      <c r="BP1054" s="6"/>
      <c r="BQ1054" s="6"/>
    </row>
    <row r="1055" spans="2:69" hidden="1" x14ac:dyDescent="0.2">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M1055" s="6"/>
      <c r="AN1055" s="6"/>
      <c r="AO1055" s="6"/>
      <c r="AP1055" s="6"/>
      <c r="AQ1055" s="6"/>
      <c r="AR1055" s="6"/>
      <c r="AS1055" s="6"/>
      <c r="AT1055" s="6"/>
      <c r="AU1055" s="6"/>
      <c r="AV1055" s="6"/>
      <c r="AW1055" s="6"/>
      <c r="AX1055" s="6"/>
      <c r="AY1055" s="6"/>
      <c r="AZ1055" s="6"/>
      <c r="BA1055" s="6"/>
      <c r="BB1055" s="6"/>
      <c r="BC1055" s="6"/>
      <c r="BD1055" s="6"/>
      <c r="BE1055" s="6"/>
      <c r="BF1055" s="6"/>
      <c r="BG1055" s="6"/>
      <c r="BH1055" s="6"/>
      <c r="BI1055" s="6"/>
      <c r="BJ1055" s="6"/>
      <c r="BK1055" s="6"/>
      <c r="BL1055" s="6"/>
      <c r="BM1055" s="6"/>
      <c r="BN1055" s="6"/>
      <c r="BO1055" s="6"/>
      <c r="BP1055" s="6"/>
      <c r="BQ1055" s="6"/>
    </row>
    <row r="1056" spans="2:69" hidden="1" x14ac:dyDescent="0.2">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M1056" s="6"/>
      <c r="AN1056" s="6"/>
      <c r="AO1056" s="6"/>
      <c r="AP1056" s="6"/>
      <c r="AQ1056" s="6"/>
      <c r="AR1056" s="6"/>
      <c r="AS1056" s="6"/>
      <c r="AT1056" s="6"/>
      <c r="AU1056" s="6"/>
      <c r="AV1056" s="6"/>
      <c r="AW1056" s="6"/>
      <c r="AX1056" s="6"/>
      <c r="AY1056" s="6"/>
      <c r="AZ1056" s="6"/>
      <c r="BA1056" s="6"/>
      <c r="BB1056" s="6"/>
      <c r="BC1056" s="6"/>
      <c r="BD1056" s="6"/>
      <c r="BE1056" s="6"/>
      <c r="BF1056" s="6"/>
      <c r="BG1056" s="6"/>
      <c r="BH1056" s="6"/>
      <c r="BI1056" s="6"/>
      <c r="BJ1056" s="6"/>
      <c r="BK1056" s="6"/>
      <c r="BL1056" s="6"/>
      <c r="BM1056" s="6"/>
      <c r="BN1056" s="6"/>
      <c r="BO1056" s="6"/>
      <c r="BP1056" s="6"/>
      <c r="BQ1056" s="6"/>
    </row>
    <row r="1057" spans="2:69" hidden="1" x14ac:dyDescent="0.2">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M1057" s="6"/>
      <c r="AN1057" s="6"/>
      <c r="AO1057" s="6"/>
      <c r="AP1057" s="6"/>
      <c r="AQ1057" s="6"/>
      <c r="AR1057" s="6"/>
      <c r="AS1057" s="6"/>
      <c r="AT1057" s="6"/>
      <c r="AU1057" s="6"/>
      <c r="AV1057" s="6"/>
      <c r="AW1057" s="6"/>
      <c r="AX1057" s="6"/>
      <c r="AY1057" s="6"/>
      <c r="AZ1057" s="6"/>
      <c r="BA1057" s="6"/>
      <c r="BB1057" s="6"/>
      <c r="BC1057" s="6"/>
      <c r="BD1057" s="6"/>
      <c r="BE1057" s="6"/>
      <c r="BF1057" s="6"/>
      <c r="BG1057" s="6"/>
      <c r="BH1057" s="6"/>
      <c r="BI1057" s="6"/>
      <c r="BJ1057" s="6"/>
      <c r="BK1057" s="6"/>
      <c r="BL1057" s="6"/>
      <c r="BM1057" s="6"/>
      <c r="BN1057" s="6"/>
      <c r="BO1057" s="6"/>
      <c r="BP1057" s="6"/>
      <c r="BQ1057" s="6"/>
    </row>
    <row r="1058" spans="2:69" hidden="1" x14ac:dyDescent="0.2">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M1058" s="6"/>
      <c r="AN1058" s="6"/>
      <c r="AO1058" s="6"/>
      <c r="AP1058" s="6"/>
      <c r="AQ1058" s="6"/>
      <c r="AR1058" s="6"/>
      <c r="AS1058" s="6"/>
      <c r="AT1058" s="6"/>
      <c r="AU1058" s="6"/>
      <c r="AV1058" s="6"/>
      <c r="AW1058" s="6"/>
      <c r="AX1058" s="6"/>
      <c r="AY1058" s="6"/>
      <c r="AZ1058" s="6"/>
      <c r="BA1058" s="6"/>
      <c r="BB1058" s="6"/>
      <c r="BC1058" s="6"/>
      <c r="BD1058" s="6"/>
      <c r="BE1058" s="6"/>
      <c r="BF1058" s="6"/>
      <c r="BG1058" s="6"/>
      <c r="BH1058" s="6"/>
      <c r="BI1058" s="6"/>
      <c r="BJ1058" s="6"/>
      <c r="BK1058" s="6"/>
      <c r="BL1058" s="6"/>
      <c r="BM1058" s="6"/>
      <c r="BN1058" s="6"/>
      <c r="BO1058" s="6"/>
      <c r="BP1058" s="6"/>
      <c r="BQ1058" s="6"/>
    </row>
    <row r="1059" spans="2:69" hidden="1" x14ac:dyDescent="0.2">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M1059" s="6"/>
      <c r="AN1059" s="6"/>
      <c r="AO1059" s="6"/>
      <c r="AP1059" s="6"/>
      <c r="AQ1059" s="6"/>
      <c r="AR1059" s="6"/>
      <c r="AS1059" s="6"/>
      <c r="AT1059" s="6"/>
      <c r="AU1059" s="6"/>
      <c r="AV1059" s="6"/>
      <c r="AW1059" s="6"/>
      <c r="AX1059" s="6"/>
      <c r="AY1059" s="6"/>
      <c r="AZ1059" s="6"/>
      <c r="BA1059" s="6"/>
      <c r="BB1059" s="6"/>
      <c r="BC1059" s="6"/>
      <c r="BD1059" s="6"/>
      <c r="BE1059" s="6"/>
      <c r="BF1059" s="6"/>
      <c r="BG1059" s="6"/>
      <c r="BH1059" s="6"/>
      <c r="BI1059" s="6"/>
      <c r="BJ1059" s="6"/>
      <c r="BK1059" s="6"/>
      <c r="BL1059" s="6"/>
      <c r="BM1059" s="6"/>
      <c r="BN1059" s="6"/>
      <c r="BO1059" s="6"/>
      <c r="BP1059" s="6"/>
      <c r="BQ1059" s="6"/>
    </row>
    <row r="1060" spans="2:69" hidden="1" x14ac:dyDescent="0.2">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M1060" s="6"/>
      <c r="AN1060" s="6"/>
      <c r="AO1060" s="6"/>
      <c r="AP1060" s="6"/>
      <c r="AQ1060" s="6"/>
      <c r="AR1060" s="6"/>
      <c r="AS1060" s="6"/>
      <c r="AT1060" s="6"/>
      <c r="AU1060" s="6"/>
      <c r="AV1060" s="6"/>
      <c r="AW1060" s="6"/>
      <c r="AX1060" s="6"/>
      <c r="AY1060" s="6"/>
      <c r="AZ1060" s="6"/>
      <c r="BA1060" s="6"/>
      <c r="BB1060" s="6"/>
      <c r="BC1060" s="6"/>
      <c r="BD1060" s="6"/>
      <c r="BE1060" s="6"/>
      <c r="BF1060" s="6"/>
      <c r="BG1060" s="6"/>
      <c r="BH1060" s="6"/>
      <c r="BI1060" s="6"/>
      <c r="BJ1060" s="6"/>
      <c r="BK1060" s="6"/>
      <c r="BL1060" s="6"/>
      <c r="BM1060" s="6"/>
      <c r="BN1060" s="6"/>
      <c r="BO1060" s="6"/>
      <c r="BP1060" s="6"/>
      <c r="BQ1060" s="6"/>
    </row>
    <row r="1061" spans="2:69" hidden="1" x14ac:dyDescent="0.2">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M1061" s="6"/>
      <c r="AN1061" s="6"/>
      <c r="AO1061" s="6"/>
      <c r="AP1061" s="6"/>
      <c r="AQ1061" s="6"/>
      <c r="AR1061" s="6"/>
      <c r="AS1061" s="6"/>
      <c r="AT1061" s="6"/>
      <c r="AU1061" s="6"/>
      <c r="AV1061" s="6"/>
      <c r="AW1061" s="6"/>
      <c r="AX1061" s="6"/>
      <c r="AY1061" s="6"/>
      <c r="AZ1061" s="6"/>
      <c r="BA1061" s="6"/>
      <c r="BB1061" s="6"/>
      <c r="BC1061" s="6"/>
      <c r="BD1061" s="6"/>
      <c r="BE1061" s="6"/>
      <c r="BF1061" s="6"/>
      <c r="BG1061" s="6"/>
      <c r="BH1061" s="6"/>
      <c r="BI1061" s="6"/>
      <c r="BJ1061" s="6"/>
      <c r="BK1061" s="6"/>
      <c r="BL1061" s="6"/>
      <c r="BM1061" s="6"/>
      <c r="BN1061" s="6"/>
      <c r="BO1061" s="6"/>
      <c r="BP1061" s="6"/>
      <c r="BQ1061" s="6"/>
    </row>
    <row r="1062" spans="2:69" hidden="1" x14ac:dyDescent="0.2">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M1062" s="6"/>
      <c r="AN1062" s="6"/>
      <c r="AO1062" s="6"/>
      <c r="AP1062" s="6"/>
      <c r="AQ1062" s="6"/>
      <c r="AR1062" s="6"/>
      <c r="AS1062" s="6"/>
      <c r="AT1062" s="6"/>
      <c r="AU1062" s="6"/>
      <c r="AV1062" s="6"/>
      <c r="AW1062" s="6"/>
      <c r="AX1062" s="6"/>
      <c r="AY1062" s="6"/>
      <c r="AZ1062" s="6"/>
      <c r="BA1062" s="6"/>
      <c r="BB1062" s="6"/>
      <c r="BC1062" s="6"/>
      <c r="BD1062" s="6"/>
      <c r="BE1062" s="6"/>
      <c r="BF1062" s="6"/>
      <c r="BG1062" s="6"/>
      <c r="BH1062" s="6"/>
      <c r="BI1062" s="6"/>
      <c r="BJ1062" s="6"/>
      <c r="BK1062" s="6"/>
      <c r="BL1062" s="6"/>
      <c r="BM1062" s="6"/>
      <c r="BN1062" s="6"/>
      <c r="BO1062" s="6"/>
      <c r="BP1062" s="6"/>
      <c r="BQ1062" s="6"/>
    </row>
    <row r="1063" spans="2:69" hidden="1" x14ac:dyDescent="0.2">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M1063" s="6"/>
      <c r="AN1063" s="6"/>
      <c r="AO1063" s="6"/>
      <c r="AP1063" s="6"/>
      <c r="AQ1063" s="6"/>
      <c r="AR1063" s="6"/>
      <c r="AS1063" s="6"/>
      <c r="AT1063" s="6"/>
      <c r="AU1063" s="6"/>
      <c r="AV1063" s="6"/>
      <c r="AW1063" s="6"/>
      <c r="AX1063" s="6"/>
      <c r="AY1063" s="6"/>
      <c r="AZ1063" s="6"/>
      <c r="BA1063" s="6"/>
      <c r="BB1063" s="6"/>
      <c r="BC1063" s="6"/>
      <c r="BD1063" s="6"/>
      <c r="BE1063" s="6"/>
      <c r="BF1063" s="6"/>
      <c r="BG1063" s="6"/>
      <c r="BH1063" s="6"/>
      <c r="BI1063" s="6"/>
      <c r="BJ1063" s="6"/>
      <c r="BK1063" s="6"/>
      <c r="BL1063" s="6"/>
      <c r="BM1063" s="6"/>
      <c r="BN1063" s="6"/>
      <c r="BO1063" s="6"/>
      <c r="BP1063" s="6"/>
      <c r="BQ1063" s="6"/>
    </row>
    <row r="1064" spans="2:69" hidden="1" x14ac:dyDescent="0.2">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M1064" s="6"/>
      <c r="AN1064" s="6"/>
      <c r="AO1064" s="6"/>
      <c r="AP1064" s="6"/>
      <c r="AQ1064" s="6"/>
      <c r="AR1064" s="6"/>
      <c r="AS1064" s="6"/>
      <c r="AT1064" s="6"/>
      <c r="AU1064" s="6"/>
      <c r="AV1064" s="6"/>
      <c r="AW1064" s="6"/>
      <c r="AX1064" s="6"/>
      <c r="AY1064" s="6"/>
      <c r="AZ1064" s="6"/>
      <c r="BA1064" s="6"/>
      <c r="BB1064" s="6"/>
      <c r="BC1064" s="6"/>
      <c r="BD1064" s="6"/>
      <c r="BE1064" s="6"/>
      <c r="BF1064" s="6"/>
      <c r="BG1064" s="6"/>
      <c r="BH1064" s="6"/>
      <c r="BI1064" s="6"/>
      <c r="BJ1064" s="6"/>
      <c r="BK1064" s="6"/>
      <c r="BL1064" s="6"/>
      <c r="BM1064" s="6"/>
      <c r="BN1064" s="6"/>
      <c r="BO1064" s="6"/>
      <c r="BP1064" s="6"/>
      <c r="BQ1064" s="6"/>
    </row>
    <row r="1065" spans="2:69" hidden="1" x14ac:dyDescent="0.2">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M1065" s="6"/>
      <c r="AN1065" s="6"/>
      <c r="AO1065" s="6"/>
      <c r="AP1065" s="6"/>
      <c r="AQ1065" s="6"/>
      <c r="AR1065" s="6"/>
      <c r="AS1065" s="6"/>
      <c r="AT1065" s="6"/>
      <c r="AU1065" s="6"/>
      <c r="AV1065" s="6"/>
      <c r="AW1065" s="6"/>
      <c r="AX1065" s="6"/>
      <c r="AY1065" s="6"/>
      <c r="AZ1065" s="6"/>
      <c r="BA1065" s="6"/>
      <c r="BB1065" s="6"/>
      <c r="BC1065" s="6"/>
      <c r="BD1065" s="6"/>
      <c r="BE1065" s="6"/>
      <c r="BF1065" s="6"/>
      <c r="BG1065" s="6"/>
      <c r="BH1065" s="6"/>
      <c r="BI1065" s="6"/>
      <c r="BJ1065" s="6"/>
      <c r="BK1065" s="6"/>
      <c r="BL1065" s="6"/>
      <c r="BM1065" s="6"/>
      <c r="BN1065" s="6"/>
      <c r="BO1065" s="6"/>
      <c r="BP1065" s="6"/>
      <c r="BQ1065" s="6"/>
    </row>
    <row r="1066" spans="2:69" hidden="1" x14ac:dyDescent="0.2">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M1066" s="6"/>
      <c r="AN1066" s="6"/>
      <c r="AO1066" s="6"/>
      <c r="AP1066" s="6"/>
      <c r="AQ1066" s="6"/>
      <c r="AR1066" s="6"/>
      <c r="AS1066" s="6"/>
      <c r="AT1066" s="6"/>
      <c r="AU1066" s="6"/>
      <c r="AV1066" s="6"/>
      <c r="AW1066" s="6"/>
      <c r="AX1066" s="6"/>
      <c r="AY1066" s="6"/>
      <c r="AZ1066" s="6"/>
      <c r="BA1066" s="6"/>
      <c r="BB1066" s="6"/>
      <c r="BC1066" s="6"/>
      <c r="BD1066" s="6"/>
      <c r="BE1066" s="6"/>
      <c r="BF1066" s="6"/>
      <c r="BG1066" s="6"/>
      <c r="BH1066" s="6"/>
      <c r="BI1066" s="6"/>
      <c r="BJ1066" s="6"/>
      <c r="BK1066" s="6"/>
      <c r="BL1066" s="6"/>
      <c r="BM1066" s="6"/>
      <c r="BN1066" s="6"/>
      <c r="BO1066" s="6"/>
      <c r="BP1066" s="6"/>
      <c r="BQ1066" s="6"/>
    </row>
    <row r="1067" spans="2:69" hidden="1" x14ac:dyDescent="0.2">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M1067" s="6"/>
      <c r="AN1067" s="6"/>
      <c r="AO1067" s="6"/>
      <c r="AP1067" s="6"/>
      <c r="AQ1067" s="6"/>
      <c r="AR1067" s="6"/>
      <c r="AS1067" s="6"/>
      <c r="AT1067" s="6"/>
      <c r="AU1067" s="6"/>
      <c r="AV1067" s="6"/>
      <c r="AW1067" s="6"/>
      <c r="AX1067" s="6"/>
      <c r="AY1067" s="6"/>
      <c r="AZ1067" s="6"/>
      <c r="BA1067" s="6"/>
      <c r="BB1067" s="6"/>
      <c r="BC1067" s="6"/>
      <c r="BD1067" s="6"/>
      <c r="BE1067" s="6"/>
      <c r="BF1067" s="6"/>
      <c r="BG1067" s="6"/>
      <c r="BH1067" s="6"/>
      <c r="BI1067" s="6"/>
      <c r="BJ1067" s="6"/>
      <c r="BK1067" s="6"/>
      <c r="BL1067" s="6"/>
      <c r="BM1067" s="6"/>
      <c r="BN1067" s="6"/>
      <c r="BO1067" s="6"/>
      <c r="BP1067" s="6"/>
      <c r="BQ1067" s="6"/>
    </row>
    <row r="1068" spans="2:69" hidden="1" x14ac:dyDescent="0.2">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M1068" s="6"/>
      <c r="AN1068" s="6"/>
      <c r="AO1068" s="6"/>
      <c r="AP1068" s="6"/>
      <c r="AQ1068" s="6"/>
      <c r="AR1068" s="6"/>
      <c r="AS1068" s="6"/>
      <c r="AT1068" s="6"/>
      <c r="AU1068" s="6"/>
      <c r="AV1068" s="6"/>
      <c r="AW1068" s="6"/>
      <c r="AX1068" s="6"/>
      <c r="AY1068" s="6"/>
      <c r="AZ1068" s="6"/>
      <c r="BA1068" s="6"/>
      <c r="BB1068" s="6"/>
      <c r="BC1068" s="6"/>
      <c r="BD1068" s="6"/>
      <c r="BE1068" s="6"/>
      <c r="BF1068" s="6"/>
      <c r="BG1068" s="6"/>
      <c r="BH1068" s="6"/>
      <c r="BI1068" s="6"/>
      <c r="BJ1068" s="6"/>
      <c r="BK1068" s="6"/>
      <c r="BL1068" s="6"/>
      <c r="BM1068" s="6"/>
      <c r="BN1068" s="6"/>
      <c r="BO1068" s="6"/>
      <c r="BP1068" s="6"/>
      <c r="BQ1068" s="6"/>
    </row>
    <row r="1069" spans="2:69" hidden="1" x14ac:dyDescent="0.2">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M1069" s="6"/>
      <c r="AN1069" s="6"/>
      <c r="AO1069" s="6"/>
      <c r="AP1069" s="6"/>
      <c r="AQ1069" s="6"/>
      <c r="AR1069" s="6"/>
      <c r="AS1069" s="6"/>
      <c r="AT1069" s="6"/>
      <c r="AU1069" s="6"/>
      <c r="AV1069" s="6"/>
      <c r="AW1069" s="6"/>
      <c r="AX1069" s="6"/>
      <c r="AY1069" s="6"/>
      <c r="AZ1069" s="6"/>
      <c r="BA1069" s="6"/>
      <c r="BB1069" s="6"/>
      <c r="BC1069" s="6"/>
      <c r="BD1069" s="6"/>
      <c r="BE1069" s="6"/>
      <c r="BF1069" s="6"/>
      <c r="BG1069" s="6"/>
      <c r="BH1069" s="6"/>
      <c r="BI1069" s="6"/>
      <c r="BJ1069" s="6"/>
      <c r="BK1069" s="6"/>
      <c r="BL1069" s="6"/>
      <c r="BM1069" s="6"/>
      <c r="BN1069" s="6"/>
      <c r="BO1069" s="6"/>
      <c r="BP1069" s="6"/>
      <c r="BQ1069" s="6"/>
    </row>
    <row r="1070" spans="2:69" hidden="1" x14ac:dyDescent="0.2">
      <c r="B1070" s="13"/>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M1070" s="6"/>
      <c r="AN1070" s="6"/>
      <c r="AO1070" s="6"/>
      <c r="AP1070" s="6"/>
      <c r="AQ1070" s="6"/>
      <c r="AR1070" s="6"/>
      <c r="AS1070" s="6"/>
      <c r="AT1070" s="6"/>
      <c r="AU1070" s="6"/>
      <c r="AV1070" s="6"/>
      <c r="AW1070" s="6"/>
      <c r="AX1070" s="6"/>
      <c r="AY1070" s="6"/>
      <c r="AZ1070" s="6"/>
      <c r="BA1070" s="6"/>
      <c r="BB1070" s="6"/>
      <c r="BC1070" s="6"/>
      <c r="BD1070" s="6"/>
      <c r="BE1070" s="6"/>
      <c r="BF1070" s="6"/>
      <c r="BG1070" s="6"/>
      <c r="BH1070" s="6"/>
      <c r="BI1070" s="6"/>
      <c r="BJ1070" s="6"/>
      <c r="BK1070" s="6"/>
      <c r="BL1070" s="6"/>
      <c r="BM1070" s="6"/>
      <c r="BN1070" s="6"/>
      <c r="BO1070" s="6"/>
      <c r="BP1070" s="6"/>
      <c r="BQ1070" s="6"/>
    </row>
    <row r="1071" spans="2:69" hidden="1" x14ac:dyDescent="0.2">
      <c r="B1071" s="13"/>
      <c r="C1071" s="13"/>
      <c r="D1071" s="13"/>
      <c r="E1071" s="13"/>
      <c r="F1071" s="13"/>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M1071" s="6"/>
      <c r="AN1071" s="6"/>
      <c r="AO1071" s="6"/>
      <c r="AP1071" s="6"/>
      <c r="AQ1071" s="6"/>
      <c r="AR1071" s="6"/>
      <c r="AS1071" s="6"/>
      <c r="AT1071" s="6"/>
      <c r="AU1071" s="6"/>
      <c r="AV1071" s="6"/>
      <c r="AW1071" s="6"/>
      <c r="AX1071" s="6"/>
      <c r="AY1071" s="6"/>
      <c r="AZ1071" s="6"/>
      <c r="BA1071" s="6"/>
      <c r="BB1071" s="6"/>
      <c r="BC1071" s="6"/>
      <c r="BD1071" s="6"/>
      <c r="BE1071" s="6"/>
      <c r="BF1071" s="6"/>
      <c r="BG1071" s="6"/>
      <c r="BH1071" s="6"/>
      <c r="BI1071" s="6"/>
      <c r="BJ1071" s="6"/>
      <c r="BK1071" s="6"/>
      <c r="BL1071" s="6"/>
      <c r="BM1071" s="6"/>
      <c r="BN1071" s="6"/>
      <c r="BO1071" s="6"/>
      <c r="BP1071" s="6"/>
      <c r="BQ1071" s="6"/>
    </row>
    <row r="1072" spans="2:69" hidden="1" x14ac:dyDescent="0.2">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M1072" s="6"/>
      <c r="AN1072" s="6"/>
      <c r="AO1072" s="6"/>
      <c r="AP1072" s="6"/>
      <c r="AQ1072" s="6"/>
      <c r="AR1072" s="6"/>
      <c r="AS1072" s="6"/>
      <c r="AT1072" s="6"/>
      <c r="AU1072" s="6"/>
      <c r="AV1072" s="6"/>
      <c r="AW1072" s="6"/>
      <c r="AX1072" s="6"/>
      <c r="AY1072" s="6"/>
      <c r="AZ1072" s="6"/>
      <c r="BA1072" s="6"/>
      <c r="BB1072" s="6"/>
      <c r="BC1072" s="6"/>
      <c r="BD1072" s="6"/>
      <c r="BE1072" s="6"/>
      <c r="BF1072" s="6"/>
      <c r="BG1072" s="6"/>
      <c r="BH1072" s="6"/>
      <c r="BI1072" s="6"/>
      <c r="BJ1072" s="6"/>
      <c r="BK1072" s="6"/>
      <c r="BL1072" s="6"/>
      <c r="BM1072" s="6"/>
      <c r="BN1072" s="6"/>
      <c r="BO1072" s="6"/>
      <c r="BP1072" s="6"/>
      <c r="BQ1072" s="6"/>
    </row>
    <row r="1073" spans="2:69" hidden="1" x14ac:dyDescent="0.2">
      <c r="B1073" s="13"/>
      <c r="C1073" s="13"/>
      <c r="D1073" s="13"/>
      <c r="E1073" s="13"/>
      <c r="F1073" s="13"/>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M1073" s="6"/>
      <c r="AN1073" s="6"/>
      <c r="AO1073" s="6"/>
      <c r="AP1073" s="6"/>
      <c r="AQ1073" s="6"/>
      <c r="AR1073" s="6"/>
      <c r="AS1073" s="6"/>
      <c r="AT1073" s="6"/>
      <c r="AU1073" s="6"/>
      <c r="AV1073" s="6"/>
      <c r="AW1073" s="6"/>
      <c r="AX1073" s="6"/>
      <c r="AY1073" s="6"/>
      <c r="AZ1073" s="6"/>
      <c r="BA1073" s="6"/>
      <c r="BB1073" s="6"/>
      <c r="BC1073" s="6"/>
      <c r="BD1073" s="6"/>
      <c r="BE1073" s="6"/>
      <c r="BF1073" s="6"/>
      <c r="BG1073" s="6"/>
      <c r="BH1073" s="6"/>
      <c r="BI1073" s="6"/>
      <c r="BJ1073" s="6"/>
      <c r="BK1073" s="6"/>
      <c r="BL1073" s="6"/>
      <c r="BM1073" s="6"/>
      <c r="BN1073" s="6"/>
      <c r="BO1073" s="6"/>
      <c r="BP1073" s="6"/>
      <c r="BQ1073" s="6"/>
    </row>
    <row r="1074" spans="2:69" hidden="1" x14ac:dyDescent="0.2">
      <c r="B1074" s="13"/>
      <c r="C1074" s="13"/>
      <c r="D1074" s="13"/>
      <c r="E1074" s="13"/>
      <c r="F1074" s="13"/>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M1074" s="6"/>
      <c r="AN1074" s="6"/>
      <c r="AO1074" s="6"/>
      <c r="AP1074" s="6"/>
      <c r="AQ1074" s="6"/>
      <c r="AR1074" s="6"/>
      <c r="AS1074" s="6"/>
      <c r="AT1074" s="6"/>
      <c r="AU1074" s="6"/>
      <c r="AV1074" s="6"/>
      <c r="AW1074" s="6"/>
      <c r="AX1074" s="6"/>
      <c r="AY1074" s="6"/>
      <c r="AZ1074" s="6"/>
      <c r="BA1074" s="6"/>
      <c r="BB1074" s="6"/>
      <c r="BC1074" s="6"/>
      <c r="BD1074" s="6"/>
      <c r="BE1074" s="6"/>
      <c r="BF1074" s="6"/>
      <c r="BG1074" s="6"/>
      <c r="BH1074" s="6"/>
      <c r="BI1074" s="6"/>
      <c r="BJ1074" s="6"/>
      <c r="BK1074" s="6"/>
      <c r="BL1074" s="6"/>
      <c r="BM1074" s="6"/>
      <c r="BN1074" s="6"/>
      <c r="BO1074" s="6"/>
      <c r="BP1074" s="6"/>
      <c r="BQ1074" s="6"/>
    </row>
    <row r="1075" spans="2:69" hidden="1" x14ac:dyDescent="0.2">
      <c r="B1075" s="13"/>
      <c r="C1075" s="13"/>
      <c r="D1075" s="13"/>
      <c r="E1075" s="13"/>
      <c r="F1075" s="13"/>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M1075" s="6"/>
      <c r="AN1075" s="6"/>
      <c r="AO1075" s="6"/>
      <c r="AP1075" s="6"/>
      <c r="AQ1075" s="6"/>
      <c r="AR1075" s="6"/>
      <c r="AS1075" s="6"/>
      <c r="AT1075" s="6"/>
      <c r="AU1075" s="6"/>
      <c r="AV1075" s="6"/>
      <c r="AW1075" s="6"/>
      <c r="AX1075" s="6"/>
      <c r="AY1075" s="6"/>
      <c r="AZ1075" s="6"/>
      <c r="BA1075" s="6"/>
      <c r="BB1075" s="6"/>
      <c r="BC1075" s="6"/>
      <c r="BD1075" s="6"/>
      <c r="BE1075" s="6"/>
      <c r="BF1075" s="6"/>
      <c r="BG1075" s="6"/>
      <c r="BH1075" s="6"/>
      <c r="BI1075" s="6"/>
      <c r="BJ1075" s="6"/>
      <c r="BK1075" s="6"/>
      <c r="BL1075" s="6"/>
      <c r="BM1075" s="6"/>
      <c r="BN1075" s="6"/>
      <c r="BO1075" s="6"/>
      <c r="BP1075" s="6"/>
      <c r="BQ1075" s="6"/>
    </row>
    <row r="1076" spans="2:69" hidden="1" x14ac:dyDescent="0.2">
      <c r="B1076" s="13"/>
      <c r="C1076" s="13"/>
      <c r="D1076" s="13"/>
      <c r="E1076" s="13"/>
      <c r="F1076" s="13"/>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M1076" s="6"/>
      <c r="AN1076" s="6"/>
      <c r="AO1076" s="6"/>
      <c r="AP1076" s="6"/>
      <c r="AQ1076" s="6"/>
      <c r="AR1076" s="6"/>
      <c r="AS1076" s="6"/>
      <c r="AT1076" s="6"/>
      <c r="AU1076" s="6"/>
      <c r="AV1076" s="6"/>
      <c r="AW1076" s="6"/>
      <c r="AX1076" s="6"/>
      <c r="AY1076" s="6"/>
      <c r="AZ1076" s="6"/>
      <c r="BA1076" s="6"/>
      <c r="BB1076" s="6"/>
      <c r="BC1076" s="6"/>
      <c r="BD1076" s="6"/>
      <c r="BE1076" s="6"/>
      <c r="BF1076" s="6"/>
      <c r="BG1076" s="6"/>
      <c r="BH1076" s="6"/>
      <c r="BI1076" s="6"/>
      <c r="BJ1076" s="6"/>
      <c r="BK1076" s="6"/>
      <c r="BL1076" s="6"/>
      <c r="BM1076" s="6"/>
      <c r="BN1076" s="6"/>
      <c r="BO1076" s="6"/>
      <c r="BP1076" s="6"/>
      <c r="BQ1076" s="6"/>
    </row>
    <row r="1077" spans="2:69" hidden="1" x14ac:dyDescent="0.2">
      <c r="B1077" s="13"/>
      <c r="C1077" s="13"/>
      <c r="D1077" s="13"/>
      <c r="E1077" s="13"/>
      <c r="F1077" s="13"/>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M1077" s="6"/>
      <c r="AN1077" s="6"/>
      <c r="AO1077" s="6"/>
      <c r="AP1077" s="6"/>
      <c r="AQ1077" s="6"/>
      <c r="AR1077" s="6"/>
      <c r="AS1077" s="6"/>
      <c r="AT1077" s="6"/>
      <c r="AU1077" s="6"/>
      <c r="AV1077" s="6"/>
      <c r="AW1077" s="6"/>
      <c r="AX1077" s="6"/>
      <c r="AY1077" s="6"/>
      <c r="AZ1077" s="6"/>
      <c r="BA1077" s="6"/>
      <c r="BB1077" s="6"/>
      <c r="BC1077" s="6"/>
      <c r="BD1077" s="6"/>
      <c r="BE1077" s="6"/>
      <c r="BF1077" s="6"/>
      <c r="BG1077" s="6"/>
      <c r="BH1077" s="6"/>
      <c r="BI1077" s="6"/>
      <c r="BJ1077" s="6"/>
      <c r="BK1077" s="6"/>
      <c r="BL1077" s="6"/>
      <c r="BM1077" s="6"/>
      <c r="BN1077" s="6"/>
      <c r="BO1077" s="6"/>
      <c r="BP1077" s="6"/>
      <c r="BQ1077" s="6"/>
    </row>
    <row r="1078" spans="2:69" hidden="1" x14ac:dyDescent="0.2">
      <c r="B1078" s="13"/>
      <c r="C1078" s="13"/>
      <c r="D1078" s="13"/>
      <c r="E1078" s="13"/>
      <c r="F1078" s="13"/>
      <c r="G1078" s="13"/>
      <c r="H1078" s="13"/>
      <c r="I1078" s="13"/>
      <c r="J1078" s="13"/>
      <c r="K1078" s="13"/>
      <c r="L1078" s="13"/>
      <c r="M1078" s="13"/>
      <c r="N1078" s="13"/>
      <c r="O1078" s="13"/>
      <c r="P1078" s="13"/>
      <c r="Q1078" s="13"/>
      <c r="R1078" s="13"/>
      <c r="S1078" s="13"/>
      <c r="T1078" s="13"/>
      <c r="U1078" s="13"/>
      <c r="V1078" s="13"/>
      <c r="W1078" s="13"/>
      <c r="X1078" s="13"/>
      <c r="Y1078" s="13"/>
      <c r="Z1078" s="13"/>
      <c r="AA1078" s="13"/>
      <c r="AB1078" s="13"/>
      <c r="AM1078" s="6"/>
      <c r="AN1078" s="6"/>
      <c r="AO1078" s="6"/>
      <c r="AP1078" s="6"/>
      <c r="AQ1078" s="6"/>
      <c r="AR1078" s="6"/>
      <c r="AS1078" s="6"/>
      <c r="AT1078" s="6"/>
      <c r="AU1078" s="6"/>
      <c r="AV1078" s="6"/>
      <c r="AW1078" s="6"/>
      <c r="AX1078" s="6"/>
      <c r="AY1078" s="6"/>
      <c r="AZ1078" s="6"/>
      <c r="BA1078" s="6"/>
      <c r="BB1078" s="6"/>
      <c r="BC1078" s="6"/>
      <c r="BD1078" s="6"/>
      <c r="BE1078" s="6"/>
      <c r="BF1078" s="6"/>
      <c r="BG1078" s="6"/>
      <c r="BH1078" s="6"/>
      <c r="BI1078" s="6"/>
      <c r="BJ1078" s="6"/>
      <c r="BK1078" s="6"/>
      <c r="BL1078" s="6"/>
      <c r="BM1078" s="6"/>
      <c r="BN1078" s="6"/>
      <c r="BO1078" s="6"/>
      <c r="BP1078" s="6"/>
      <c r="BQ1078" s="6"/>
    </row>
    <row r="1079" spans="2:69" hidden="1" x14ac:dyDescent="0.2">
      <c r="B1079" s="13"/>
      <c r="C1079" s="13"/>
      <c r="D1079" s="13"/>
      <c r="E1079" s="13"/>
      <c r="F1079" s="13"/>
      <c r="G1079" s="13"/>
      <c r="H1079" s="13"/>
      <c r="I1079" s="13"/>
      <c r="J1079" s="13"/>
      <c r="K1079" s="13"/>
      <c r="L1079" s="13"/>
      <c r="M1079" s="13"/>
      <c r="N1079" s="13"/>
      <c r="O1079" s="13"/>
      <c r="P1079" s="13"/>
      <c r="Q1079" s="13"/>
      <c r="R1079" s="13"/>
      <c r="S1079" s="13"/>
      <c r="T1079" s="13"/>
      <c r="U1079" s="13"/>
      <c r="V1079" s="13"/>
      <c r="W1079" s="13"/>
      <c r="X1079" s="13"/>
      <c r="Y1079" s="13"/>
      <c r="Z1079" s="13"/>
      <c r="AA1079" s="13"/>
      <c r="AB1079" s="13"/>
      <c r="AM1079" s="6"/>
      <c r="AN1079" s="6"/>
      <c r="AO1079" s="6"/>
      <c r="AP1079" s="6"/>
      <c r="AQ1079" s="6"/>
      <c r="AR1079" s="6"/>
      <c r="AS1079" s="6"/>
      <c r="AT1079" s="6"/>
      <c r="AU1079" s="6"/>
      <c r="AV1079" s="6"/>
      <c r="AW1079" s="6"/>
      <c r="AX1079" s="6"/>
      <c r="AY1079" s="6"/>
      <c r="AZ1079" s="6"/>
      <c r="BA1079" s="6"/>
      <c r="BB1079" s="6"/>
      <c r="BC1079" s="6"/>
      <c r="BD1079" s="6"/>
      <c r="BE1079" s="6"/>
      <c r="BF1079" s="6"/>
      <c r="BG1079" s="6"/>
      <c r="BH1079" s="6"/>
      <c r="BI1079" s="6"/>
      <c r="BJ1079" s="6"/>
      <c r="BK1079" s="6"/>
      <c r="BL1079" s="6"/>
      <c r="BM1079" s="6"/>
      <c r="BN1079" s="6"/>
      <c r="BO1079" s="6"/>
      <c r="BP1079" s="6"/>
      <c r="BQ1079" s="6"/>
    </row>
    <row r="1080" spans="2:69" hidden="1" x14ac:dyDescent="0.2">
      <c r="B1080" s="13"/>
      <c r="C1080" s="13"/>
      <c r="D1080" s="13"/>
      <c r="E1080" s="13"/>
      <c r="F1080" s="13"/>
      <c r="G1080" s="13"/>
      <c r="H1080" s="13"/>
      <c r="I1080" s="13"/>
      <c r="J1080" s="13"/>
      <c r="K1080" s="13"/>
      <c r="L1080" s="13"/>
      <c r="M1080" s="13"/>
      <c r="N1080" s="13"/>
      <c r="O1080" s="13"/>
      <c r="P1080" s="13"/>
      <c r="Q1080" s="13"/>
      <c r="R1080" s="13"/>
      <c r="S1080" s="13"/>
      <c r="T1080" s="13"/>
      <c r="U1080" s="13"/>
      <c r="V1080" s="13"/>
      <c r="W1080" s="13"/>
      <c r="X1080" s="13"/>
      <c r="Y1080" s="13"/>
      <c r="Z1080" s="13"/>
      <c r="AA1080" s="13"/>
      <c r="AB1080" s="13"/>
      <c r="AM1080" s="6"/>
      <c r="AN1080" s="6"/>
      <c r="AO1080" s="6"/>
      <c r="AP1080" s="6"/>
      <c r="AQ1080" s="6"/>
      <c r="AR1080" s="6"/>
      <c r="AS1080" s="6"/>
      <c r="AT1080" s="6"/>
      <c r="AU1080" s="6"/>
      <c r="AV1080" s="6"/>
      <c r="AW1080" s="6"/>
      <c r="AX1080" s="6"/>
      <c r="AY1080" s="6"/>
      <c r="AZ1080" s="6"/>
      <c r="BA1080" s="6"/>
      <c r="BB1080" s="6"/>
      <c r="BC1080" s="6"/>
      <c r="BD1080" s="6"/>
      <c r="BE1080" s="6"/>
      <c r="BF1080" s="6"/>
      <c r="BG1080" s="6"/>
      <c r="BH1080" s="6"/>
      <c r="BI1080" s="6"/>
      <c r="BJ1080" s="6"/>
      <c r="BK1080" s="6"/>
      <c r="BL1080" s="6"/>
      <c r="BM1080" s="6"/>
      <c r="BN1080" s="6"/>
      <c r="BO1080" s="6"/>
      <c r="BP1080" s="6"/>
      <c r="BQ1080" s="6"/>
    </row>
    <row r="1081" spans="2:69" hidden="1" x14ac:dyDescent="0.2">
      <c r="B1081" s="13"/>
      <c r="C1081" s="13"/>
      <c r="D1081" s="13"/>
      <c r="E1081" s="13"/>
      <c r="F1081" s="13"/>
      <c r="G1081" s="13"/>
      <c r="H1081" s="13"/>
      <c r="I1081" s="13"/>
      <c r="J1081" s="13"/>
      <c r="K1081" s="13"/>
      <c r="L1081" s="13"/>
      <c r="M1081" s="13"/>
      <c r="N1081" s="13"/>
      <c r="O1081" s="13"/>
      <c r="P1081" s="13"/>
      <c r="Q1081" s="13"/>
      <c r="R1081" s="13"/>
      <c r="S1081" s="13"/>
      <c r="T1081" s="13"/>
      <c r="U1081" s="13"/>
      <c r="V1081" s="13"/>
      <c r="W1081" s="13"/>
      <c r="X1081" s="13"/>
      <c r="Y1081" s="13"/>
      <c r="Z1081" s="13"/>
      <c r="AA1081" s="13"/>
      <c r="AB1081" s="13"/>
      <c r="AM1081" s="6"/>
      <c r="AN1081" s="6"/>
      <c r="AO1081" s="6"/>
      <c r="AP1081" s="6"/>
      <c r="AQ1081" s="6"/>
      <c r="AR1081" s="6"/>
      <c r="AS1081" s="6"/>
      <c r="AT1081" s="6"/>
      <c r="AU1081" s="6"/>
      <c r="AV1081" s="6"/>
      <c r="AW1081" s="6"/>
      <c r="AX1081" s="6"/>
      <c r="AY1081" s="6"/>
      <c r="AZ1081" s="6"/>
      <c r="BA1081" s="6"/>
      <c r="BB1081" s="6"/>
      <c r="BC1081" s="6"/>
      <c r="BD1081" s="6"/>
      <c r="BE1081" s="6"/>
      <c r="BF1081" s="6"/>
      <c r="BG1081" s="6"/>
      <c r="BH1081" s="6"/>
      <c r="BI1081" s="6"/>
      <c r="BJ1081" s="6"/>
      <c r="BK1081" s="6"/>
      <c r="BL1081" s="6"/>
      <c r="BM1081" s="6"/>
      <c r="BN1081" s="6"/>
      <c r="BO1081" s="6"/>
      <c r="BP1081" s="6"/>
      <c r="BQ1081" s="6"/>
    </row>
    <row r="1082" spans="2:69" hidden="1" x14ac:dyDescent="0.2">
      <c r="B1082" s="13"/>
      <c r="C1082" s="13"/>
      <c r="D1082" s="13"/>
      <c r="E1082" s="13"/>
      <c r="F1082" s="13"/>
      <c r="G1082" s="13"/>
      <c r="H1082" s="13"/>
      <c r="I1082" s="13"/>
      <c r="J1082" s="13"/>
      <c r="K1082" s="13"/>
      <c r="L1082" s="13"/>
      <c r="M1082" s="13"/>
      <c r="N1082" s="13"/>
      <c r="O1082" s="13"/>
      <c r="P1082" s="13"/>
      <c r="Q1082" s="13"/>
      <c r="R1082" s="13"/>
      <c r="S1082" s="13"/>
      <c r="T1082" s="13"/>
      <c r="U1082" s="13"/>
      <c r="V1082" s="13"/>
      <c r="W1082" s="13"/>
      <c r="X1082" s="13"/>
      <c r="Y1082" s="13"/>
      <c r="Z1082" s="13"/>
      <c r="AA1082" s="13"/>
      <c r="AB1082" s="13"/>
      <c r="AM1082" s="6"/>
      <c r="AN1082" s="6"/>
      <c r="AO1082" s="6"/>
      <c r="AP1082" s="6"/>
      <c r="AQ1082" s="6"/>
      <c r="AR1082" s="6"/>
      <c r="AS1082" s="6"/>
      <c r="AT1082" s="6"/>
      <c r="AU1082" s="6"/>
      <c r="AV1082" s="6"/>
      <c r="AW1082" s="6"/>
      <c r="AX1082" s="6"/>
      <c r="AY1082" s="6"/>
      <c r="AZ1082" s="6"/>
      <c r="BA1082" s="6"/>
      <c r="BB1082" s="6"/>
      <c r="BC1082" s="6"/>
      <c r="BD1082" s="6"/>
      <c r="BE1082" s="6"/>
      <c r="BF1082" s="6"/>
      <c r="BG1082" s="6"/>
      <c r="BH1082" s="6"/>
      <c r="BI1082" s="6"/>
      <c r="BJ1082" s="6"/>
      <c r="BK1082" s="6"/>
      <c r="BL1082" s="6"/>
      <c r="BM1082" s="6"/>
      <c r="BN1082" s="6"/>
      <c r="BO1082" s="6"/>
      <c r="BP1082" s="6"/>
      <c r="BQ1082" s="6"/>
    </row>
    <row r="1083" spans="2:69" hidden="1" x14ac:dyDescent="0.2">
      <c r="B1083" s="13"/>
      <c r="C1083" s="13"/>
      <c r="D1083" s="13"/>
      <c r="E1083" s="13"/>
      <c r="F1083" s="13"/>
      <c r="G1083" s="13"/>
      <c r="H1083" s="13"/>
      <c r="I1083" s="13"/>
      <c r="J1083" s="13"/>
      <c r="K1083" s="13"/>
      <c r="L1083" s="13"/>
      <c r="M1083" s="13"/>
      <c r="N1083" s="13"/>
      <c r="O1083" s="13"/>
      <c r="P1083" s="13"/>
      <c r="Q1083" s="13"/>
      <c r="R1083" s="13"/>
      <c r="S1083" s="13"/>
      <c r="T1083" s="13"/>
      <c r="U1083" s="13"/>
      <c r="V1083" s="13"/>
      <c r="W1083" s="13"/>
      <c r="X1083" s="13"/>
      <c r="Y1083" s="13"/>
      <c r="Z1083" s="13"/>
      <c r="AA1083" s="13"/>
      <c r="AB1083" s="13"/>
      <c r="AM1083" s="6"/>
      <c r="AN1083" s="6"/>
      <c r="AO1083" s="6"/>
      <c r="AP1083" s="6"/>
      <c r="AQ1083" s="6"/>
      <c r="AR1083" s="6"/>
      <c r="AS1083" s="6"/>
      <c r="AT1083" s="6"/>
      <c r="AU1083" s="6"/>
      <c r="AV1083" s="6"/>
      <c r="AW1083" s="6"/>
      <c r="AX1083" s="6"/>
      <c r="AY1083" s="6"/>
      <c r="AZ1083" s="6"/>
      <c r="BA1083" s="6"/>
      <c r="BB1083" s="6"/>
      <c r="BC1083" s="6"/>
      <c r="BD1083" s="6"/>
      <c r="BE1083" s="6"/>
      <c r="BF1083" s="6"/>
      <c r="BG1083" s="6"/>
      <c r="BH1083" s="6"/>
      <c r="BI1083" s="6"/>
      <c r="BJ1083" s="6"/>
      <c r="BK1083" s="6"/>
      <c r="BL1083" s="6"/>
      <c r="BM1083" s="6"/>
      <c r="BN1083" s="6"/>
      <c r="BO1083" s="6"/>
      <c r="BP1083" s="6"/>
      <c r="BQ1083" s="6"/>
    </row>
    <row r="1084" spans="2:69" hidden="1" x14ac:dyDescent="0.2">
      <c r="B1084" s="13"/>
      <c r="C1084" s="13"/>
      <c r="D1084" s="13"/>
      <c r="E1084" s="13"/>
      <c r="F1084" s="13"/>
      <c r="G1084" s="13"/>
      <c r="H1084" s="13"/>
      <c r="I1084" s="13"/>
      <c r="J1084" s="13"/>
      <c r="K1084" s="13"/>
      <c r="L1084" s="13"/>
      <c r="M1084" s="13"/>
      <c r="N1084" s="13"/>
      <c r="O1084" s="13"/>
      <c r="P1084" s="13"/>
      <c r="Q1084" s="13"/>
      <c r="R1084" s="13"/>
      <c r="S1084" s="13"/>
      <c r="T1084" s="13"/>
      <c r="U1084" s="13"/>
      <c r="V1084" s="13"/>
      <c r="W1084" s="13"/>
      <c r="X1084" s="13"/>
      <c r="Y1084" s="13"/>
      <c r="Z1084" s="13"/>
      <c r="AA1084" s="13"/>
      <c r="AB1084" s="13"/>
      <c r="AM1084" s="6"/>
      <c r="AN1084" s="6"/>
      <c r="AO1084" s="6"/>
      <c r="AP1084" s="6"/>
      <c r="AQ1084" s="6"/>
      <c r="AR1084" s="6"/>
      <c r="AS1084" s="6"/>
      <c r="AT1084" s="6"/>
      <c r="AU1084" s="6"/>
      <c r="AV1084" s="6"/>
      <c r="AW1084" s="6"/>
      <c r="AX1084" s="6"/>
      <c r="AY1084" s="6"/>
      <c r="AZ1084" s="6"/>
      <c r="BA1084" s="6"/>
      <c r="BB1084" s="6"/>
      <c r="BC1084" s="6"/>
      <c r="BD1084" s="6"/>
      <c r="BE1084" s="6"/>
      <c r="BF1084" s="6"/>
      <c r="BG1084" s="6"/>
      <c r="BH1084" s="6"/>
      <c r="BI1084" s="6"/>
      <c r="BJ1084" s="6"/>
      <c r="BK1084" s="6"/>
      <c r="BL1084" s="6"/>
      <c r="BM1084" s="6"/>
      <c r="BN1084" s="6"/>
      <c r="BO1084" s="6"/>
      <c r="BP1084" s="6"/>
      <c r="BQ1084" s="6"/>
    </row>
    <row r="1085" spans="2:69" hidden="1" x14ac:dyDescent="0.2">
      <c r="B1085" s="13"/>
      <c r="C1085" s="13"/>
      <c r="D1085" s="13"/>
      <c r="E1085" s="13"/>
      <c r="F1085" s="13"/>
      <c r="G1085" s="13"/>
      <c r="H1085" s="13"/>
      <c r="I1085" s="13"/>
      <c r="J1085" s="13"/>
      <c r="K1085" s="13"/>
      <c r="L1085" s="13"/>
      <c r="M1085" s="13"/>
      <c r="N1085" s="13"/>
      <c r="O1085" s="13"/>
      <c r="P1085" s="13"/>
      <c r="Q1085" s="13"/>
      <c r="R1085" s="13"/>
      <c r="S1085" s="13"/>
      <c r="T1085" s="13"/>
      <c r="U1085" s="13"/>
      <c r="V1085" s="13"/>
      <c r="W1085" s="13"/>
      <c r="X1085" s="13"/>
      <c r="Y1085" s="13"/>
      <c r="Z1085" s="13"/>
      <c r="AA1085" s="13"/>
      <c r="AB1085" s="13"/>
      <c r="AM1085" s="6"/>
      <c r="AN1085" s="6"/>
      <c r="AO1085" s="6"/>
      <c r="AP1085" s="6"/>
      <c r="AQ1085" s="6"/>
      <c r="AR1085" s="6"/>
      <c r="AS1085" s="6"/>
      <c r="AT1085" s="6"/>
      <c r="AU1085" s="6"/>
      <c r="AV1085" s="6"/>
      <c r="AW1085" s="6"/>
      <c r="AX1085" s="6"/>
      <c r="AY1085" s="6"/>
      <c r="AZ1085" s="6"/>
      <c r="BA1085" s="6"/>
      <c r="BB1085" s="6"/>
      <c r="BC1085" s="6"/>
      <c r="BD1085" s="6"/>
      <c r="BE1085" s="6"/>
      <c r="BF1085" s="6"/>
      <c r="BG1085" s="6"/>
      <c r="BH1085" s="6"/>
      <c r="BI1085" s="6"/>
      <c r="BJ1085" s="6"/>
      <c r="BK1085" s="6"/>
      <c r="BL1085" s="6"/>
      <c r="BM1085" s="6"/>
      <c r="BN1085" s="6"/>
      <c r="BO1085" s="6"/>
      <c r="BP1085" s="6"/>
      <c r="BQ1085" s="6"/>
    </row>
    <row r="1086" spans="2:69" hidden="1" x14ac:dyDescent="0.2">
      <c r="B1086" s="13"/>
      <c r="C1086" s="13"/>
      <c r="D1086" s="13"/>
      <c r="E1086" s="13"/>
      <c r="F1086" s="13"/>
      <c r="G1086" s="13"/>
      <c r="H1086" s="13"/>
      <c r="I1086" s="13"/>
      <c r="J1086" s="13"/>
      <c r="K1086" s="13"/>
      <c r="L1086" s="13"/>
      <c r="M1086" s="13"/>
      <c r="N1086" s="13"/>
      <c r="O1086" s="13"/>
      <c r="P1086" s="13"/>
      <c r="Q1086" s="13"/>
      <c r="R1086" s="13"/>
      <c r="S1086" s="13"/>
      <c r="T1086" s="13"/>
      <c r="U1086" s="13"/>
      <c r="V1086" s="13"/>
      <c r="W1086" s="13"/>
      <c r="X1086" s="13"/>
      <c r="Y1086" s="13"/>
      <c r="Z1086" s="13"/>
      <c r="AA1086" s="13"/>
      <c r="AB1086" s="13"/>
      <c r="AM1086" s="6"/>
      <c r="AN1086" s="6"/>
      <c r="AO1086" s="6"/>
      <c r="AP1086" s="6"/>
      <c r="AQ1086" s="6"/>
      <c r="AR1086" s="6"/>
      <c r="AS1086" s="6"/>
      <c r="AT1086" s="6"/>
      <c r="AU1086" s="6"/>
      <c r="AV1086" s="6"/>
      <c r="AW1086" s="6"/>
      <c r="AX1086" s="6"/>
      <c r="AY1086" s="6"/>
      <c r="AZ1086" s="6"/>
      <c r="BA1086" s="6"/>
      <c r="BB1086" s="6"/>
      <c r="BC1086" s="6"/>
      <c r="BD1086" s="6"/>
      <c r="BE1086" s="6"/>
      <c r="BF1086" s="6"/>
      <c r="BG1086" s="6"/>
      <c r="BH1086" s="6"/>
      <c r="BI1086" s="6"/>
      <c r="BJ1086" s="6"/>
      <c r="BK1086" s="6"/>
      <c r="BL1086" s="6"/>
      <c r="BM1086" s="6"/>
      <c r="BN1086" s="6"/>
      <c r="BO1086" s="6"/>
      <c r="BP1086" s="6"/>
      <c r="BQ1086" s="6"/>
    </row>
    <row r="1087" spans="2:69" hidden="1" x14ac:dyDescent="0.2">
      <c r="B1087" s="13"/>
      <c r="C1087" s="13"/>
      <c r="D1087" s="13"/>
      <c r="E1087" s="13"/>
      <c r="F1087" s="13"/>
      <c r="G1087" s="13"/>
      <c r="H1087" s="13"/>
      <c r="I1087" s="13"/>
      <c r="J1087" s="13"/>
      <c r="K1087" s="13"/>
      <c r="L1087" s="13"/>
      <c r="M1087" s="13"/>
      <c r="N1087" s="13"/>
      <c r="O1087" s="13"/>
      <c r="P1087" s="13"/>
      <c r="Q1087" s="13"/>
      <c r="R1087" s="13"/>
      <c r="S1087" s="13"/>
      <c r="T1087" s="13"/>
      <c r="U1087" s="13"/>
      <c r="V1087" s="13"/>
      <c r="W1087" s="13"/>
      <c r="X1087" s="13"/>
      <c r="Y1087" s="13"/>
      <c r="Z1087" s="13"/>
      <c r="AA1087" s="13"/>
      <c r="AB1087" s="13"/>
      <c r="AM1087" s="6"/>
      <c r="AN1087" s="6"/>
      <c r="AO1087" s="6"/>
      <c r="AP1087" s="6"/>
      <c r="AQ1087" s="6"/>
      <c r="AR1087" s="6"/>
      <c r="AS1087" s="6"/>
      <c r="AT1087" s="6"/>
      <c r="AU1087" s="6"/>
      <c r="AV1087" s="6"/>
      <c r="AW1087" s="6"/>
      <c r="AX1087" s="6"/>
      <c r="AY1087" s="6"/>
      <c r="AZ1087" s="6"/>
      <c r="BA1087" s="6"/>
      <c r="BB1087" s="6"/>
      <c r="BC1087" s="6"/>
      <c r="BD1087" s="6"/>
      <c r="BE1087" s="6"/>
      <c r="BF1087" s="6"/>
      <c r="BG1087" s="6"/>
      <c r="BH1087" s="6"/>
      <c r="BI1087" s="6"/>
      <c r="BJ1087" s="6"/>
      <c r="BK1087" s="6"/>
      <c r="BL1087" s="6"/>
      <c r="BM1087" s="6"/>
      <c r="BN1087" s="6"/>
      <c r="BO1087" s="6"/>
      <c r="BP1087" s="6"/>
      <c r="BQ1087" s="6"/>
    </row>
    <row r="1088" spans="2:69" hidden="1" x14ac:dyDescent="0.2">
      <c r="B1088" s="13"/>
      <c r="C1088" s="13"/>
      <c r="D1088" s="13"/>
      <c r="E1088" s="13"/>
      <c r="F1088" s="13"/>
      <c r="G1088" s="13"/>
      <c r="H1088" s="13"/>
      <c r="I1088" s="13"/>
      <c r="J1088" s="13"/>
      <c r="K1088" s="13"/>
      <c r="L1088" s="13"/>
      <c r="M1088" s="13"/>
      <c r="N1088" s="13"/>
      <c r="O1088" s="13"/>
      <c r="P1088" s="13"/>
      <c r="Q1088" s="13"/>
      <c r="R1088" s="13"/>
      <c r="S1088" s="13"/>
      <c r="T1088" s="13"/>
      <c r="U1088" s="13"/>
      <c r="V1088" s="13"/>
      <c r="W1088" s="13"/>
      <c r="X1088" s="13"/>
      <c r="Y1088" s="13"/>
      <c r="Z1088" s="13"/>
      <c r="AA1088" s="13"/>
      <c r="AB1088" s="13"/>
      <c r="AM1088" s="6"/>
      <c r="AN1088" s="6"/>
      <c r="AO1088" s="6"/>
      <c r="AP1088" s="6"/>
      <c r="AQ1088" s="6"/>
      <c r="AR1088" s="6"/>
      <c r="AS1088" s="6"/>
      <c r="AT1088" s="6"/>
      <c r="AU1088" s="6"/>
      <c r="AV1088" s="6"/>
      <c r="AW1088" s="6"/>
      <c r="AX1088" s="6"/>
      <c r="AY1088" s="6"/>
      <c r="AZ1088" s="6"/>
      <c r="BA1088" s="6"/>
      <c r="BB1088" s="6"/>
      <c r="BC1088" s="6"/>
      <c r="BD1088" s="6"/>
      <c r="BE1088" s="6"/>
      <c r="BF1088" s="6"/>
      <c r="BG1088" s="6"/>
      <c r="BH1088" s="6"/>
      <c r="BI1088" s="6"/>
      <c r="BJ1088" s="6"/>
      <c r="BK1088" s="6"/>
      <c r="BL1088" s="6"/>
      <c r="BM1088" s="6"/>
      <c r="BN1088" s="6"/>
      <c r="BO1088" s="6"/>
      <c r="BP1088" s="6"/>
      <c r="BQ1088" s="6"/>
    </row>
    <row r="1089" spans="2:69" hidden="1" x14ac:dyDescent="0.2">
      <c r="B1089" s="13"/>
      <c r="C1089" s="13"/>
      <c r="D1089" s="13"/>
      <c r="E1089" s="13"/>
      <c r="F1089" s="13"/>
      <c r="G1089" s="13"/>
      <c r="H1089" s="13"/>
      <c r="I1089" s="13"/>
      <c r="J1089" s="13"/>
      <c r="K1089" s="13"/>
      <c r="L1089" s="13"/>
      <c r="M1089" s="13"/>
      <c r="N1089" s="13"/>
      <c r="O1089" s="13"/>
      <c r="P1089" s="13"/>
      <c r="Q1089" s="13"/>
      <c r="R1089" s="13"/>
      <c r="S1089" s="13"/>
      <c r="T1089" s="13"/>
      <c r="U1089" s="13"/>
      <c r="V1089" s="13"/>
      <c r="W1089" s="13"/>
      <c r="X1089" s="13"/>
      <c r="Y1089" s="13"/>
      <c r="Z1089" s="13"/>
      <c r="AA1089" s="13"/>
      <c r="AB1089" s="13"/>
      <c r="AM1089" s="6"/>
      <c r="AN1089" s="6"/>
      <c r="AO1089" s="6"/>
      <c r="AP1089" s="6"/>
      <c r="AQ1089" s="6"/>
      <c r="AR1089" s="6"/>
      <c r="AS1089" s="6"/>
      <c r="AT1089" s="6"/>
      <c r="AU1089" s="6"/>
      <c r="AV1089" s="6"/>
      <c r="AW1089" s="6"/>
      <c r="AX1089" s="6"/>
      <c r="AY1089" s="6"/>
      <c r="AZ1089" s="6"/>
      <c r="BA1089" s="6"/>
      <c r="BB1089" s="6"/>
      <c r="BC1089" s="6"/>
      <c r="BD1089" s="6"/>
      <c r="BE1089" s="6"/>
      <c r="BF1089" s="6"/>
      <c r="BG1089" s="6"/>
      <c r="BH1089" s="6"/>
      <c r="BI1089" s="6"/>
      <c r="BJ1089" s="6"/>
      <c r="BK1089" s="6"/>
      <c r="BL1089" s="6"/>
      <c r="BM1089" s="6"/>
      <c r="BN1089" s="6"/>
      <c r="BO1089" s="6"/>
      <c r="BP1089" s="6"/>
      <c r="BQ1089" s="6"/>
    </row>
    <row r="1090" spans="2:69" hidden="1" x14ac:dyDescent="0.2">
      <c r="B1090" s="13"/>
      <c r="C1090" s="13"/>
      <c r="D1090" s="13"/>
      <c r="E1090" s="13"/>
      <c r="F1090" s="13"/>
      <c r="G1090" s="13"/>
      <c r="H1090" s="13"/>
      <c r="I1090" s="13"/>
      <c r="J1090" s="13"/>
      <c r="K1090" s="13"/>
      <c r="L1090" s="13"/>
      <c r="M1090" s="13"/>
      <c r="N1090" s="13"/>
      <c r="O1090" s="13"/>
      <c r="P1090" s="13"/>
      <c r="Q1090" s="13"/>
      <c r="R1090" s="13"/>
      <c r="S1090" s="13"/>
      <c r="T1090" s="13"/>
      <c r="U1090" s="13"/>
      <c r="V1090" s="13"/>
      <c r="W1090" s="13"/>
      <c r="X1090" s="13"/>
      <c r="Y1090" s="13"/>
      <c r="Z1090" s="13"/>
      <c r="AA1090" s="13"/>
      <c r="AB1090" s="13"/>
      <c r="AM1090" s="6"/>
      <c r="AN1090" s="6"/>
      <c r="AO1090" s="6"/>
      <c r="AP1090" s="6"/>
      <c r="AQ1090" s="6"/>
      <c r="AR1090" s="6"/>
      <c r="AS1090" s="6"/>
      <c r="AT1090" s="6"/>
      <c r="AU1090" s="6"/>
      <c r="AV1090" s="6"/>
      <c r="AW1090" s="6"/>
      <c r="AX1090" s="6"/>
      <c r="AY1090" s="6"/>
      <c r="AZ1090" s="6"/>
      <c r="BA1090" s="6"/>
      <c r="BB1090" s="6"/>
      <c r="BC1090" s="6"/>
      <c r="BD1090" s="6"/>
      <c r="BE1090" s="6"/>
      <c r="BF1090" s="6"/>
      <c r="BG1090" s="6"/>
      <c r="BH1090" s="6"/>
      <c r="BI1090" s="6"/>
      <c r="BJ1090" s="6"/>
      <c r="BK1090" s="6"/>
      <c r="BL1090" s="6"/>
      <c r="BM1090" s="6"/>
      <c r="BN1090" s="6"/>
      <c r="BO1090" s="6"/>
      <c r="BP1090" s="6"/>
      <c r="BQ1090" s="6"/>
    </row>
    <row r="1091" spans="2:69" hidden="1" x14ac:dyDescent="0.2">
      <c r="B1091" s="13"/>
      <c r="C1091" s="13"/>
      <c r="D1091" s="13"/>
      <c r="E1091" s="13"/>
      <c r="F1091" s="13"/>
      <c r="G1091" s="13"/>
      <c r="H1091" s="13"/>
      <c r="I1091" s="13"/>
      <c r="J1091" s="13"/>
      <c r="K1091" s="13"/>
      <c r="L1091" s="13"/>
      <c r="M1091" s="13"/>
      <c r="N1091" s="13"/>
      <c r="O1091" s="13"/>
      <c r="P1091" s="13"/>
      <c r="Q1091" s="13"/>
      <c r="R1091" s="13"/>
      <c r="S1091" s="13"/>
      <c r="T1091" s="13"/>
      <c r="U1091" s="13"/>
      <c r="V1091" s="13"/>
      <c r="W1091" s="13"/>
      <c r="X1091" s="13"/>
      <c r="Y1091" s="13"/>
      <c r="Z1091" s="13"/>
      <c r="AA1091" s="13"/>
      <c r="AB1091" s="13"/>
      <c r="AM1091" s="6"/>
      <c r="AN1091" s="6"/>
      <c r="AO1091" s="6"/>
      <c r="AP1091" s="6"/>
      <c r="AQ1091" s="6"/>
      <c r="AR1091" s="6"/>
      <c r="AS1091" s="6"/>
      <c r="AT1091" s="6"/>
      <c r="AU1091" s="6"/>
      <c r="AV1091" s="6"/>
      <c r="AW1091" s="6"/>
      <c r="AX1091" s="6"/>
      <c r="AY1091" s="6"/>
      <c r="AZ1091" s="6"/>
      <c r="BA1091" s="6"/>
      <c r="BB1091" s="6"/>
      <c r="BC1091" s="6"/>
      <c r="BD1091" s="6"/>
      <c r="BE1091" s="6"/>
      <c r="BF1091" s="6"/>
      <c r="BG1091" s="6"/>
      <c r="BH1091" s="6"/>
      <c r="BI1091" s="6"/>
      <c r="BJ1091" s="6"/>
      <c r="BK1091" s="6"/>
      <c r="BL1091" s="6"/>
      <c r="BM1091" s="6"/>
      <c r="BN1091" s="6"/>
      <c r="BO1091" s="6"/>
      <c r="BP1091" s="6"/>
      <c r="BQ1091" s="6"/>
    </row>
    <row r="1092" spans="2:69" hidden="1" x14ac:dyDescent="0.2">
      <c r="B1092" s="13"/>
      <c r="C1092" s="13"/>
      <c r="D1092" s="13"/>
      <c r="E1092" s="13"/>
      <c r="F1092" s="13"/>
      <c r="G1092" s="13"/>
      <c r="H1092" s="13"/>
      <c r="I1092" s="13"/>
      <c r="J1092" s="13"/>
      <c r="K1092" s="13"/>
      <c r="L1092" s="13"/>
      <c r="M1092" s="13"/>
      <c r="N1092" s="13"/>
      <c r="O1092" s="13"/>
      <c r="P1092" s="13"/>
      <c r="Q1092" s="13"/>
      <c r="R1092" s="13"/>
      <c r="S1092" s="13"/>
      <c r="T1092" s="13"/>
      <c r="U1092" s="13"/>
      <c r="V1092" s="13"/>
      <c r="W1092" s="13"/>
      <c r="X1092" s="13"/>
      <c r="Y1092" s="13"/>
      <c r="Z1092" s="13"/>
      <c r="AA1092" s="13"/>
      <c r="AB1092" s="13"/>
      <c r="AM1092" s="6"/>
      <c r="AN1092" s="6"/>
      <c r="AO1092" s="6"/>
      <c r="AP1092" s="6"/>
      <c r="AQ1092" s="6"/>
      <c r="AR1092" s="6"/>
      <c r="AS1092" s="6"/>
      <c r="AT1092" s="6"/>
      <c r="AU1092" s="6"/>
      <c r="AV1092" s="6"/>
      <c r="AW1092" s="6"/>
      <c r="AX1092" s="6"/>
      <c r="AY1092" s="6"/>
      <c r="AZ1092" s="6"/>
      <c r="BA1092" s="6"/>
      <c r="BB1092" s="6"/>
      <c r="BC1092" s="6"/>
      <c r="BD1092" s="6"/>
      <c r="BE1092" s="6"/>
      <c r="BF1092" s="6"/>
      <c r="BG1092" s="6"/>
      <c r="BH1092" s="6"/>
      <c r="BI1092" s="6"/>
      <c r="BJ1092" s="6"/>
      <c r="BK1092" s="6"/>
      <c r="BL1092" s="6"/>
      <c r="BM1092" s="6"/>
      <c r="BN1092" s="6"/>
      <c r="BO1092" s="6"/>
      <c r="BP1092" s="6"/>
      <c r="BQ1092" s="6"/>
    </row>
    <row r="1093" spans="2:69" hidden="1" x14ac:dyDescent="0.2">
      <c r="B1093" s="13"/>
      <c r="C1093" s="13"/>
      <c r="D1093" s="13"/>
      <c r="E1093" s="13"/>
      <c r="F1093" s="13"/>
      <c r="G1093" s="13"/>
      <c r="H1093" s="13"/>
      <c r="I1093" s="13"/>
      <c r="J1093" s="13"/>
      <c r="K1093" s="13"/>
      <c r="L1093" s="13"/>
      <c r="M1093" s="13"/>
      <c r="N1093" s="13"/>
      <c r="O1093" s="13"/>
      <c r="P1093" s="13"/>
      <c r="Q1093" s="13"/>
      <c r="R1093" s="13"/>
      <c r="S1093" s="13"/>
      <c r="T1093" s="13"/>
      <c r="U1093" s="13"/>
      <c r="V1093" s="13"/>
      <c r="W1093" s="13"/>
      <c r="X1093" s="13"/>
      <c r="Y1093" s="13"/>
      <c r="Z1093" s="13"/>
      <c r="AA1093" s="13"/>
      <c r="AB1093" s="13"/>
      <c r="AM1093" s="6"/>
      <c r="AN1093" s="6"/>
      <c r="AO1093" s="6"/>
      <c r="AP1093" s="6"/>
      <c r="AQ1093" s="6"/>
      <c r="AR1093" s="6"/>
      <c r="AS1093" s="6"/>
      <c r="AT1093" s="6"/>
      <c r="AU1093" s="6"/>
      <c r="AV1093" s="6"/>
      <c r="AW1093" s="6"/>
      <c r="AX1093" s="6"/>
      <c r="AY1093" s="6"/>
      <c r="AZ1093" s="6"/>
      <c r="BA1093" s="6"/>
      <c r="BB1093" s="6"/>
      <c r="BC1093" s="6"/>
      <c r="BD1093" s="6"/>
      <c r="BE1093" s="6"/>
      <c r="BF1093" s="6"/>
      <c r="BG1093" s="6"/>
      <c r="BH1093" s="6"/>
      <c r="BI1093" s="6"/>
      <c r="BJ1093" s="6"/>
      <c r="BK1093" s="6"/>
      <c r="BL1093" s="6"/>
      <c r="BM1093" s="6"/>
      <c r="BN1093" s="6"/>
      <c r="BO1093" s="6"/>
      <c r="BP1093" s="6"/>
      <c r="BQ1093" s="6"/>
    </row>
    <row r="1094" spans="2:69" hidden="1" x14ac:dyDescent="0.2">
      <c r="B1094" s="13"/>
      <c r="C1094" s="13"/>
      <c r="D1094" s="13"/>
      <c r="E1094" s="13"/>
      <c r="F1094" s="13"/>
      <c r="G1094" s="13"/>
      <c r="H1094" s="13"/>
      <c r="I1094" s="13"/>
      <c r="J1094" s="13"/>
      <c r="K1094" s="13"/>
      <c r="L1094" s="13"/>
      <c r="M1094" s="13"/>
      <c r="N1094" s="13"/>
      <c r="O1094" s="13"/>
      <c r="P1094" s="13"/>
      <c r="Q1094" s="13"/>
      <c r="R1094" s="13"/>
      <c r="S1094" s="13"/>
      <c r="T1094" s="13"/>
      <c r="U1094" s="13"/>
      <c r="V1094" s="13"/>
      <c r="W1094" s="13"/>
      <c r="X1094" s="13"/>
      <c r="Y1094" s="13"/>
      <c r="Z1094" s="13"/>
      <c r="AA1094" s="13"/>
      <c r="AB1094" s="13"/>
      <c r="AM1094" s="6"/>
      <c r="AN1094" s="6"/>
      <c r="AO1094" s="6"/>
      <c r="AP1094" s="6"/>
      <c r="AQ1094" s="6"/>
      <c r="AR1094" s="6"/>
      <c r="AS1094" s="6"/>
      <c r="AT1094" s="6"/>
      <c r="AU1094" s="6"/>
      <c r="AV1094" s="6"/>
      <c r="AW1094" s="6"/>
      <c r="AX1094" s="6"/>
      <c r="AY1094" s="6"/>
      <c r="AZ1094" s="6"/>
      <c r="BA1094" s="6"/>
      <c r="BB1094" s="6"/>
      <c r="BC1094" s="6"/>
      <c r="BD1094" s="6"/>
      <c r="BE1094" s="6"/>
      <c r="BF1094" s="6"/>
      <c r="BG1094" s="6"/>
      <c r="BH1094" s="6"/>
      <c r="BI1094" s="6"/>
      <c r="BJ1094" s="6"/>
      <c r="BK1094" s="6"/>
      <c r="BL1094" s="6"/>
      <c r="BM1094" s="6"/>
      <c r="BN1094" s="6"/>
      <c r="BO1094" s="6"/>
      <c r="BP1094" s="6"/>
      <c r="BQ1094" s="6"/>
    </row>
    <row r="1095" spans="2:69" hidden="1" x14ac:dyDescent="0.2">
      <c r="B1095" s="13"/>
      <c r="C1095" s="13"/>
      <c r="D1095" s="13"/>
      <c r="E1095" s="13"/>
      <c r="F1095" s="13"/>
      <c r="G1095" s="13"/>
      <c r="H1095" s="13"/>
      <c r="I1095" s="13"/>
      <c r="J1095" s="13"/>
      <c r="K1095" s="13"/>
      <c r="L1095" s="13"/>
      <c r="M1095" s="13"/>
      <c r="N1095" s="13"/>
      <c r="O1095" s="13"/>
      <c r="P1095" s="13"/>
      <c r="Q1095" s="13"/>
      <c r="R1095" s="13"/>
      <c r="S1095" s="13"/>
      <c r="T1095" s="13"/>
      <c r="U1095" s="13"/>
      <c r="V1095" s="13"/>
      <c r="W1095" s="13"/>
      <c r="X1095" s="13"/>
      <c r="Y1095" s="13"/>
      <c r="Z1095" s="13"/>
      <c r="AA1095" s="13"/>
      <c r="AB1095" s="13"/>
      <c r="AM1095" s="6"/>
      <c r="AN1095" s="6"/>
      <c r="AO1095" s="6"/>
      <c r="AP1095" s="6"/>
      <c r="AQ1095" s="6"/>
      <c r="AR1095" s="6"/>
      <c r="AS1095" s="6"/>
      <c r="AT1095" s="6"/>
      <c r="AU1095" s="6"/>
      <c r="AV1095" s="6"/>
      <c r="AW1095" s="6"/>
      <c r="AX1095" s="6"/>
      <c r="AY1095" s="6"/>
      <c r="AZ1095" s="6"/>
      <c r="BA1095" s="6"/>
      <c r="BB1095" s="6"/>
      <c r="BC1095" s="6"/>
      <c r="BD1095" s="6"/>
      <c r="BE1095" s="6"/>
      <c r="BF1095" s="6"/>
      <c r="BG1095" s="6"/>
      <c r="BH1095" s="6"/>
      <c r="BI1095" s="6"/>
      <c r="BJ1095" s="6"/>
      <c r="BK1095" s="6"/>
      <c r="BL1095" s="6"/>
      <c r="BM1095" s="6"/>
      <c r="BN1095" s="6"/>
      <c r="BO1095" s="6"/>
      <c r="BP1095" s="6"/>
      <c r="BQ1095" s="6"/>
    </row>
    <row r="1096" spans="2:69" hidden="1" x14ac:dyDescent="0.2">
      <c r="B1096" s="13"/>
      <c r="C1096" s="13"/>
      <c r="D1096" s="13"/>
      <c r="E1096" s="13"/>
      <c r="F1096" s="13"/>
      <c r="G1096" s="13"/>
      <c r="H1096" s="13"/>
      <c r="I1096" s="13"/>
      <c r="J1096" s="13"/>
      <c r="K1096" s="13"/>
      <c r="L1096" s="13"/>
      <c r="M1096" s="13"/>
      <c r="N1096" s="13"/>
      <c r="O1096" s="13"/>
      <c r="P1096" s="13"/>
      <c r="Q1096" s="13"/>
      <c r="R1096" s="13"/>
      <c r="S1096" s="13"/>
      <c r="T1096" s="13"/>
      <c r="U1096" s="13"/>
      <c r="V1096" s="13"/>
      <c r="W1096" s="13"/>
      <c r="X1096" s="13"/>
      <c r="Y1096" s="13"/>
      <c r="Z1096" s="13"/>
      <c r="AA1096" s="13"/>
      <c r="AB1096" s="13"/>
      <c r="AM1096" s="6"/>
      <c r="AN1096" s="6"/>
      <c r="AO1096" s="6"/>
      <c r="AP1096" s="6"/>
      <c r="AQ1096" s="6"/>
      <c r="AR1096" s="6"/>
      <c r="AS1096" s="6"/>
      <c r="AT1096" s="6"/>
      <c r="AU1096" s="6"/>
      <c r="AV1096" s="6"/>
      <c r="AW1096" s="6"/>
      <c r="AX1096" s="6"/>
      <c r="AY1096" s="6"/>
      <c r="AZ1096" s="6"/>
      <c r="BA1096" s="6"/>
      <c r="BB1096" s="6"/>
      <c r="BC1096" s="6"/>
      <c r="BD1096" s="6"/>
      <c r="BE1096" s="6"/>
      <c r="BF1096" s="6"/>
      <c r="BG1096" s="6"/>
      <c r="BH1096" s="6"/>
      <c r="BI1096" s="6"/>
      <c r="BJ1096" s="6"/>
      <c r="BK1096" s="6"/>
      <c r="BL1096" s="6"/>
      <c r="BM1096" s="6"/>
      <c r="BN1096" s="6"/>
      <c r="BO1096" s="6"/>
      <c r="BP1096" s="6"/>
      <c r="BQ1096" s="6"/>
    </row>
    <row r="1097" spans="2:69" hidden="1" x14ac:dyDescent="0.2">
      <c r="B1097" s="13"/>
      <c r="C1097" s="13"/>
      <c r="D1097" s="13"/>
      <c r="E1097" s="13"/>
      <c r="F1097" s="13"/>
      <c r="G1097" s="13"/>
      <c r="H1097" s="13"/>
      <c r="I1097" s="13"/>
      <c r="J1097" s="13"/>
      <c r="K1097" s="13"/>
      <c r="L1097" s="13"/>
      <c r="M1097" s="13"/>
      <c r="N1097" s="13"/>
      <c r="O1097" s="13"/>
      <c r="P1097" s="13"/>
      <c r="Q1097" s="13"/>
      <c r="R1097" s="13"/>
      <c r="S1097" s="13"/>
      <c r="T1097" s="13"/>
      <c r="U1097" s="13"/>
      <c r="V1097" s="13"/>
      <c r="W1097" s="13"/>
      <c r="X1097" s="13"/>
      <c r="Y1097" s="13"/>
      <c r="Z1097" s="13"/>
      <c r="AA1097" s="13"/>
      <c r="AB1097" s="13"/>
      <c r="AM1097" s="6"/>
      <c r="AN1097" s="6"/>
      <c r="AO1097" s="6"/>
      <c r="AP1097" s="6"/>
      <c r="AQ1097" s="6"/>
      <c r="AR1097" s="6"/>
      <c r="AS1097" s="6"/>
      <c r="AT1097" s="6"/>
      <c r="AU1097" s="6"/>
      <c r="AV1097" s="6"/>
      <c r="AW1097" s="6"/>
      <c r="AX1097" s="6"/>
      <c r="AY1097" s="6"/>
      <c r="AZ1097" s="6"/>
      <c r="BA1097" s="6"/>
      <c r="BB1097" s="6"/>
      <c r="BC1097" s="6"/>
      <c r="BD1097" s="6"/>
      <c r="BE1097" s="6"/>
      <c r="BF1097" s="6"/>
      <c r="BG1097" s="6"/>
      <c r="BH1097" s="6"/>
      <c r="BI1097" s="6"/>
      <c r="BJ1097" s="6"/>
      <c r="BK1097" s="6"/>
      <c r="BL1097" s="6"/>
      <c r="BM1097" s="6"/>
      <c r="BN1097" s="6"/>
      <c r="BO1097" s="6"/>
      <c r="BP1097" s="6"/>
      <c r="BQ1097" s="6"/>
    </row>
    <row r="1098" spans="2:69" hidden="1" x14ac:dyDescent="0.2">
      <c r="B1098" s="13"/>
      <c r="C1098" s="13"/>
      <c r="D1098" s="13"/>
      <c r="E1098" s="13"/>
      <c r="F1098" s="13"/>
      <c r="G1098" s="13"/>
      <c r="H1098" s="13"/>
      <c r="I1098" s="13"/>
      <c r="J1098" s="13"/>
      <c r="K1098" s="13"/>
      <c r="L1098" s="13"/>
      <c r="M1098" s="13"/>
      <c r="N1098" s="13"/>
      <c r="O1098" s="13"/>
      <c r="P1098" s="13"/>
      <c r="Q1098" s="13"/>
      <c r="R1098" s="13"/>
      <c r="S1098" s="13"/>
      <c r="T1098" s="13"/>
      <c r="U1098" s="13"/>
      <c r="V1098" s="13"/>
      <c r="W1098" s="13"/>
      <c r="X1098" s="13"/>
      <c r="Y1098" s="13"/>
      <c r="Z1098" s="13"/>
      <c r="AA1098" s="13"/>
      <c r="AB1098" s="13"/>
      <c r="AM1098" s="6"/>
      <c r="AN1098" s="6"/>
      <c r="AO1098" s="6"/>
      <c r="AP1098" s="6"/>
      <c r="AQ1098" s="6"/>
      <c r="AR1098" s="6"/>
      <c r="AS1098" s="6"/>
      <c r="AT1098" s="6"/>
      <c r="AU1098" s="6"/>
      <c r="AV1098" s="6"/>
      <c r="AW1098" s="6"/>
      <c r="AX1098" s="6"/>
      <c r="AY1098" s="6"/>
      <c r="AZ1098" s="6"/>
      <c r="BA1098" s="6"/>
      <c r="BB1098" s="6"/>
      <c r="BC1098" s="6"/>
      <c r="BD1098" s="6"/>
      <c r="BE1098" s="6"/>
      <c r="BF1098" s="6"/>
      <c r="BG1098" s="6"/>
      <c r="BH1098" s="6"/>
      <c r="BI1098" s="6"/>
      <c r="BJ1098" s="6"/>
      <c r="BK1098" s="6"/>
      <c r="BL1098" s="6"/>
      <c r="BM1098" s="6"/>
      <c r="BN1098" s="6"/>
      <c r="BO1098" s="6"/>
      <c r="BP1098" s="6"/>
      <c r="BQ1098" s="6"/>
    </row>
    <row r="1099" spans="2:69" hidden="1" x14ac:dyDescent="0.2">
      <c r="B1099" s="13"/>
      <c r="C1099" s="13"/>
      <c r="D1099" s="13"/>
      <c r="E1099" s="13"/>
      <c r="F1099" s="13"/>
      <c r="G1099" s="13"/>
      <c r="H1099" s="13"/>
      <c r="I1099" s="13"/>
      <c r="J1099" s="13"/>
      <c r="K1099" s="13"/>
      <c r="L1099" s="13"/>
      <c r="M1099" s="13"/>
      <c r="N1099" s="13"/>
      <c r="O1099" s="13"/>
      <c r="P1099" s="13"/>
      <c r="Q1099" s="13"/>
      <c r="R1099" s="13"/>
      <c r="S1099" s="13"/>
      <c r="T1099" s="13"/>
      <c r="U1099" s="13"/>
      <c r="V1099" s="13"/>
      <c r="W1099" s="13"/>
      <c r="X1099" s="13"/>
      <c r="Y1099" s="13"/>
      <c r="Z1099" s="13"/>
      <c r="AA1099" s="13"/>
      <c r="AB1099" s="13"/>
      <c r="AM1099" s="6"/>
      <c r="AN1099" s="6"/>
      <c r="AO1099" s="6"/>
      <c r="AP1099" s="6"/>
      <c r="AQ1099" s="6"/>
      <c r="AR1099" s="6"/>
      <c r="AS1099" s="6"/>
      <c r="AT1099" s="6"/>
      <c r="AU1099" s="6"/>
      <c r="AV1099" s="6"/>
      <c r="AW1099" s="6"/>
      <c r="AX1099" s="6"/>
      <c r="AY1099" s="6"/>
      <c r="AZ1099" s="6"/>
      <c r="BA1099" s="6"/>
      <c r="BB1099" s="6"/>
      <c r="BC1099" s="6"/>
      <c r="BD1099" s="6"/>
      <c r="BE1099" s="6"/>
      <c r="BF1099" s="6"/>
      <c r="BG1099" s="6"/>
      <c r="BH1099" s="6"/>
      <c r="BI1099" s="6"/>
      <c r="BJ1099" s="6"/>
      <c r="BK1099" s="6"/>
      <c r="BL1099" s="6"/>
      <c r="BM1099" s="6"/>
      <c r="BN1099" s="6"/>
      <c r="BO1099" s="6"/>
      <c r="BP1099" s="6"/>
      <c r="BQ1099" s="6"/>
    </row>
    <row r="1100" spans="2:69" hidden="1" x14ac:dyDescent="0.2">
      <c r="B1100" s="13"/>
      <c r="C1100" s="13"/>
      <c r="D1100" s="13"/>
      <c r="E1100" s="13"/>
      <c r="F1100" s="13"/>
      <c r="G1100" s="13"/>
      <c r="H1100" s="13"/>
      <c r="I1100" s="13"/>
      <c r="J1100" s="13"/>
      <c r="K1100" s="13"/>
      <c r="L1100" s="13"/>
      <c r="M1100" s="13"/>
      <c r="N1100" s="13"/>
      <c r="O1100" s="13"/>
      <c r="P1100" s="13"/>
      <c r="Q1100" s="13"/>
      <c r="R1100" s="13"/>
      <c r="S1100" s="13"/>
      <c r="T1100" s="13"/>
      <c r="U1100" s="13"/>
      <c r="V1100" s="13"/>
      <c r="W1100" s="13"/>
      <c r="X1100" s="13"/>
      <c r="Y1100" s="13"/>
      <c r="Z1100" s="13"/>
      <c r="AA1100" s="13"/>
      <c r="AB1100" s="13"/>
      <c r="AM1100" s="6"/>
      <c r="AN1100" s="6"/>
      <c r="AO1100" s="6"/>
      <c r="AP1100" s="6"/>
      <c r="AQ1100" s="6"/>
      <c r="AR1100" s="6"/>
      <c r="AS1100" s="6"/>
      <c r="AT1100" s="6"/>
      <c r="AU1100" s="6"/>
      <c r="AV1100" s="6"/>
      <c r="AW1100" s="6"/>
      <c r="AX1100" s="6"/>
      <c r="AY1100" s="6"/>
      <c r="AZ1100" s="6"/>
      <c r="BA1100" s="6"/>
      <c r="BB1100" s="6"/>
      <c r="BC1100" s="6"/>
      <c r="BD1100" s="6"/>
      <c r="BE1100" s="6"/>
      <c r="BF1100" s="6"/>
      <c r="BG1100" s="6"/>
      <c r="BH1100" s="6"/>
      <c r="BI1100" s="6"/>
      <c r="BJ1100" s="6"/>
      <c r="BK1100" s="6"/>
      <c r="BL1100" s="6"/>
      <c r="BM1100" s="6"/>
      <c r="BN1100" s="6"/>
      <c r="BO1100" s="6"/>
      <c r="BP1100" s="6"/>
      <c r="BQ1100" s="6"/>
    </row>
    <row r="1101" spans="2:69" hidden="1" x14ac:dyDescent="0.2">
      <c r="B1101" s="13"/>
      <c r="C1101" s="13"/>
      <c r="D1101" s="13"/>
      <c r="E1101" s="13"/>
      <c r="F1101" s="13"/>
      <c r="G1101" s="13"/>
      <c r="H1101" s="13"/>
      <c r="I1101" s="13"/>
      <c r="J1101" s="13"/>
      <c r="K1101" s="13"/>
      <c r="L1101" s="13"/>
      <c r="M1101" s="13"/>
      <c r="N1101" s="13"/>
      <c r="O1101" s="13"/>
      <c r="P1101" s="13"/>
      <c r="Q1101" s="13"/>
      <c r="R1101" s="13"/>
      <c r="S1101" s="13"/>
      <c r="T1101" s="13"/>
      <c r="U1101" s="13"/>
      <c r="V1101" s="13"/>
      <c r="W1101" s="13"/>
      <c r="X1101" s="13"/>
      <c r="Y1101" s="13"/>
      <c r="Z1101" s="13"/>
      <c r="AA1101" s="13"/>
      <c r="AB1101" s="13"/>
      <c r="AM1101" s="6"/>
      <c r="AN1101" s="6"/>
      <c r="AO1101" s="6"/>
      <c r="AP1101" s="6"/>
      <c r="AQ1101" s="6"/>
      <c r="AR1101" s="6"/>
      <c r="AS1101" s="6"/>
      <c r="AT1101" s="6"/>
      <c r="AU1101" s="6"/>
      <c r="AV1101" s="6"/>
      <c r="AW1101" s="6"/>
      <c r="AX1101" s="6"/>
      <c r="AY1101" s="6"/>
      <c r="AZ1101" s="6"/>
      <c r="BA1101" s="6"/>
      <c r="BB1101" s="6"/>
      <c r="BC1101" s="6"/>
      <c r="BD1101" s="6"/>
      <c r="BE1101" s="6"/>
      <c r="BF1101" s="6"/>
      <c r="BG1101" s="6"/>
      <c r="BH1101" s="6"/>
      <c r="BI1101" s="6"/>
      <c r="BJ1101" s="6"/>
      <c r="BK1101" s="6"/>
      <c r="BL1101" s="6"/>
      <c r="BM1101" s="6"/>
      <c r="BN1101" s="6"/>
      <c r="BO1101" s="6"/>
      <c r="BP1101" s="6"/>
      <c r="BQ1101" s="6"/>
    </row>
    <row r="1102" spans="2:69" hidden="1" x14ac:dyDescent="0.2">
      <c r="B1102" s="13"/>
      <c r="C1102" s="13"/>
      <c r="D1102" s="13"/>
      <c r="E1102" s="13"/>
      <c r="F1102" s="13"/>
      <c r="G1102" s="13"/>
      <c r="H1102" s="13"/>
      <c r="I1102" s="13"/>
      <c r="J1102" s="13"/>
      <c r="K1102" s="13"/>
      <c r="L1102" s="13"/>
      <c r="M1102" s="13"/>
      <c r="N1102" s="13"/>
      <c r="O1102" s="13"/>
      <c r="P1102" s="13"/>
      <c r="Q1102" s="13"/>
      <c r="R1102" s="13"/>
      <c r="S1102" s="13"/>
      <c r="T1102" s="13"/>
      <c r="U1102" s="13"/>
      <c r="V1102" s="13"/>
      <c r="W1102" s="13"/>
      <c r="X1102" s="13"/>
      <c r="Y1102" s="13"/>
      <c r="Z1102" s="13"/>
      <c r="AA1102" s="13"/>
      <c r="AB1102" s="13"/>
      <c r="AM1102" s="6"/>
      <c r="AN1102" s="6"/>
      <c r="AO1102" s="6"/>
      <c r="AP1102" s="6"/>
      <c r="AQ1102" s="6"/>
      <c r="AR1102" s="6"/>
      <c r="AS1102" s="6"/>
      <c r="AT1102" s="6"/>
      <c r="AU1102" s="6"/>
      <c r="AV1102" s="6"/>
      <c r="AW1102" s="6"/>
      <c r="AX1102" s="6"/>
      <c r="AY1102" s="6"/>
      <c r="AZ1102" s="6"/>
      <c r="BA1102" s="6"/>
      <c r="BB1102" s="6"/>
      <c r="BC1102" s="6"/>
      <c r="BD1102" s="6"/>
      <c r="BE1102" s="6"/>
      <c r="BF1102" s="6"/>
      <c r="BG1102" s="6"/>
      <c r="BH1102" s="6"/>
      <c r="BI1102" s="6"/>
      <c r="BJ1102" s="6"/>
      <c r="BK1102" s="6"/>
      <c r="BL1102" s="6"/>
      <c r="BM1102" s="6"/>
      <c r="BN1102" s="6"/>
      <c r="BO1102" s="6"/>
      <c r="BP1102" s="6"/>
      <c r="BQ1102" s="6"/>
    </row>
    <row r="1103" spans="2:69" hidden="1" x14ac:dyDescent="0.2">
      <c r="B1103" s="13"/>
      <c r="C1103" s="13"/>
      <c r="D1103" s="13"/>
      <c r="E1103" s="13"/>
      <c r="F1103" s="13"/>
      <c r="G1103" s="13"/>
      <c r="H1103" s="13"/>
      <c r="I1103" s="13"/>
      <c r="J1103" s="13"/>
      <c r="K1103" s="13"/>
      <c r="L1103" s="13"/>
      <c r="M1103" s="13"/>
      <c r="N1103" s="13"/>
      <c r="O1103" s="13"/>
      <c r="P1103" s="13"/>
      <c r="Q1103" s="13"/>
      <c r="R1103" s="13"/>
      <c r="S1103" s="13"/>
      <c r="T1103" s="13"/>
      <c r="U1103" s="13"/>
      <c r="V1103" s="13"/>
      <c r="W1103" s="13"/>
      <c r="X1103" s="13"/>
      <c r="Y1103" s="13"/>
      <c r="Z1103" s="13"/>
      <c r="AA1103" s="13"/>
      <c r="AB1103" s="13"/>
      <c r="AM1103" s="6"/>
      <c r="AN1103" s="6"/>
      <c r="AO1103" s="6"/>
      <c r="AP1103" s="6"/>
      <c r="AQ1103" s="6"/>
      <c r="AR1103" s="6"/>
      <c r="AS1103" s="6"/>
      <c r="AT1103" s="6"/>
      <c r="AU1103" s="6"/>
      <c r="AV1103" s="6"/>
      <c r="AW1103" s="6"/>
      <c r="AX1103" s="6"/>
      <c r="AY1103" s="6"/>
      <c r="AZ1103" s="6"/>
      <c r="BA1103" s="6"/>
      <c r="BB1103" s="6"/>
      <c r="BC1103" s="6"/>
      <c r="BD1103" s="6"/>
      <c r="BE1103" s="6"/>
      <c r="BF1103" s="6"/>
      <c r="BG1103" s="6"/>
      <c r="BH1103" s="6"/>
      <c r="BI1103" s="6"/>
      <c r="BJ1103" s="6"/>
      <c r="BK1103" s="6"/>
      <c r="BL1103" s="6"/>
      <c r="BM1103" s="6"/>
      <c r="BN1103" s="6"/>
      <c r="BO1103" s="6"/>
      <c r="BP1103" s="6"/>
      <c r="BQ1103" s="6"/>
    </row>
    <row r="1104" spans="2:69" hidden="1" x14ac:dyDescent="0.2">
      <c r="B1104" s="13"/>
      <c r="C1104" s="13"/>
      <c r="D1104" s="13"/>
      <c r="E1104" s="13"/>
      <c r="F1104" s="13"/>
      <c r="G1104" s="13"/>
      <c r="H1104" s="13"/>
      <c r="I1104" s="13"/>
      <c r="J1104" s="13"/>
      <c r="K1104" s="13"/>
      <c r="L1104" s="13"/>
      <c r="M1104" s="13"/>
      <c r="N1104" s="13"/>
      <c r="O1104" s="13"/>
      <c r="P1104" s="13"/>
      <c r="Q1104" s="13"/>
      <c r="R1104" s="13"/>
      <c r="S1104" s="13"/>
      <c r="T1104" s="13"/>
      <c r="U1104" s="13"/>
      <c r="V1104" s="13"/>
      <c r="W1104" s="13"/>
      <c r="X1104" s="13"/>
      <c r="Y1104" s="13"/>
      <c r="Z1104" s="13"/>
      <c r="AA1104" s="13"/>
      <c r="AB1104" s="13"/>
      <c r="AM1104" s="6"/>
      <c r="AN1104" s="6"/>
      <c r="AO1104" s="6"/>
      <c r="AP1104" s="6"/>
      <c r="AQ1104" s="6"/>
      <c r="AR1104" s="6"/>
      <c r="AS1104" s="6"/>
      <c r="AT1104" s="6"/>
      <c r="AU1104" s="6"/>
      <c r="AV1104" s="6"/>
      <c r="AW1104" s="6"/>
      <c r="AX1104" s="6"/>
      <c r="AY1104" s="6"/>
      <c r="AZ1104" s="6"/>
      <c r="BA1104" s="6"/>
      <c r="BB1104" s="6"/>
      <c r="BC1104" s="6"/>
      <c r="BD1104" s="6"/>
      <c r="BE1104" s="6"/>
      <c r="BF1104" s="6"/>
      <c r="BG1104" s="6"/>
      <c r="BH1104" s="6"/>
      <c r="BI1104" s="6"/>
      <c r="BJ1104" s="6"/>
      <c r="BK1104" s="6"/>
      <c r="BL1104" s="6"/>
      <c r="BM1104" s="6"/>
      <c r="BN1104" s="6"/>
      <c r="BO1104" s="6"/>
      <c r="BP1104" s="6"/>
      <c r="BQ1104" s="6"/>
    </row>
    <row r="1105" spans="2:69" hidden="1" x14ac:dyDescent="0.2">
      <c r="B1105" s="13"/>
      <c r="C1105" s="13"/>
      <c r="D1105" s="13"/>
      <c r="E1105" s="13"/>
      <c r="F1105" s="13"/>
      <c r="G1105" s="13"/>
      <c r="H1105" s="13"/>
      <c r="I1105" s="13"/>
      <c r="J1105" s="13"/>
      <c r="K1105" s="13"/>
      <c r="L1105" s="13"/>
      <c r="M1105" s="13"/>
      <c r="N1105" s="13"/>
      <c r="O1105" s="13"/>
      <c r="P1105" s="13"/>
      <c r="Q1105" s="13"/>
      <c r="R1105" s="13"/>
      <c r="S1105" s="13"/>
      <c r="T1105" s="13"/>
      <c r="U1105" s="13"/>
      <c r="V1105" s="13"/>
      <c r="W1105" s="13"/>
      <c r="X1105" s="13"/>
      <c r="Y1105" s="13"/>
      <c r="Z1105" s="13"/>
      <c r="AA1105" s="13"/>
      <c r="AB1105" s="13"/>
      <c r="AM1105" s="6"/>
      <c r="AN1105" s="6"/>
      <c r="AO1105" s="6"/>
      <c r="AP1105" s="6"/>
      <c r="AQ1105" s="6"/>
      <c r="AR1105" s="6"/>
      <c r="AS1105" s="6"/>
      <c r="AT1105" s="6"/>
      <c r="AU1105" s="6"/>
      <c r="AV1105" s="6"/>
      <c r="AW1105" s="6"/>
      <c r="AX1105" s="6"/>
      <c r="AY1105" s="6"/>
      <c r="AZ1105" s="6"/>
      <c r="BA1105" s="6"/>
      <c r="BB1105" s="6"/>
      <c r="BC1105" s="6"/>
      <c r="BD1105" s="6"/>
      <c r="BE1105" s="6"/>
      <c r="BF1105" s="6"/>
      <c r="BG1105" s="6"/>
      <c r="BH1105" s="6"/>
      <c r="BI1105" s="6"/>
      <c r="BJ1105" s="6"/>
      <c r="BK1105" s="6"/>
      <c r="BL1105" s="6"/>
      <c r="BM1105" s="6"/>
      <c r="BN1105" s="6"/>
      <c r="BO1105" s="6"/>
      <c r="BP1105" s="6"/>
      <c r="BQ1105" s="6"/>
    </row>
    <row r="1106" spans="2:69" hidden="1" x14ac:dyDescent="0.2">
      <c r="B1106" s="13"/>
      <c r="C1106" s="13"/>
      <c r="D1106" s="13"/>
      <c r="E1106" s="13"/>
      <c r="F1106" s="13"/>
      <c r="G1106" s="13"/>
      <c r="H1106" s="13"/>
      <c r="I1106" s="13"/>
      <c r="J1106" s="13"/>
      <c r="K1106" s="13"/>
      <c r="L1106" s="13"/>
      <c r="M1106" s="13"/>
      <c r="N1106" s="13"/>
      <c r="O1106" s="13"/>
      <c r="P1106" s="13"/>
      <c r="Q1106" s="13"/>
      <c r="R1106" s="13"/>
      <c r="S1106" s="13"/>
      <c r="T1106" s="13"/>
      <c r="U1106" s="13"/>
      <c r="V1106" s="13"/>
      <c r="W1106" s="13"/>
      <c r="X1106" s="13"/>
      <c r="Y1106" s="13"/>
      <c r="Z1106" s="13"/>
      <c r="AA1106" s="13"/>
      <c r="AB1106" s="13"/>
      <c r="AM1106" s="6"/>
      <c r="AN1106" s="6"/>
      <c r="AO1106" s="6"/>
      <c r="AP1106" s="6"/>
      <c r="AQ1106" s="6"/>
      <c r="AR1106" s="6"/>
      <c r="AS1106" s="6"/>
      <c r="AT1106" s="6"/>
      <c r="AU1106" s="6"/>
      <c r="AV1106" s="6"/>
      <c r="AW1106" s="6"/>
      <c r="AX1106" s="6"/>
      <c r="AY1106" s="6"/>
      <c r="AZ1106" s="6"/>
      <c r="BA1106" s="6"/>
      <c r="BB1106" s="6"/>
      <c r="BC1106" s="6"/>
      <c r="BD1106" s="6"/>
      <c r="BE1106" s="6"/>
      <c r="BF1106" s="6"/>
      <c r="BG1106" s="6"/>
      <c r="BH1106" s="6"/>
      <c r="BI1106" s="6"/>
      <c r="BJ1106" s="6"/>
      <c r="BK1106" s="6"/>
      <c r="BL1106" s="6"/>
      <c r="BM1106" s="6"/>
      <c r="BN1106" s="6"/>
      <c r="BO1106" s="6"/>
      <c r="BP1106" s="6"/>
      <c r="BQ1106" s="6"/>
    </row>
    <row r="1107" spans="2:69" hidden="1" x14ac:dyDescent="0.2">
      <c r="B1107" s="13"/>
      <c r="C1107" s="13"/>
      <c r="D1107" s="13"/>
      <c r="E1107" s="13"/>
      <c r="F1107" s="13"/>
      <c r="G1107" s="13"/>
      <c r="H1107" s="13"/>
      <c r="I1107" s="13"/>
      <c r="J1107" s="13"/>
      <c r="K1107" s="13"/>
      <c r="L1107" s="13"/>
      <c r="M1107" s="13"/>
      <c r="N1107" s="13"/>
      <c r="O1107" s="13"/>
      <c r="P1107" s="13"/>
      <c r="Q1107" s="13"/>
      <c r="R1107" s="13"/>
      <c r="S1107" s="13"/>
      <c r="T1107" s="13"/>
      <c r="U1107" s="13"/>
      <c r="V1107" s="13"/>
      <c r="W1107" s="13"/>
      <c r="X1107" s="13"/>
      <c r="Y1107" s="13"/>
      <c r="Z1107" s="13"/>
      <c r="AA1107" s="13"/>
      <c r="AB1107" s="13"/>
      <c r="AM1107" s="6"/>
      <c r="AN1107" s="6"/>
      <c r="AO1107" s="6"/>
      <c r="AP1107" s="6"/>
      <c r="AQ1107" s="6"/>
      <c r="AR1107" s="6"/>
      <c r="AS1107" s="6"/>
      <c r="AT1107" s="6"/>
      <c r="AU1107" s="6"/>
      <c r="AV1107" s="6"/>
      <c r="AW1107" s="6"/>
      <c r="AX1107" s="6"/>
      <c r="AY1107" s="6"/>
      <c r="AZ1107" s="6"/>
      <c r="BA1107" s="6"/>
      <c r="BB1107" s="6"/>
      <c r="BC1107" s="6"/>
      <c r="BD1107" s="6"/>
      <c r="BE1107" s="6"/>
      <c r="BF1107" s="6"/>
      <c r="BG1107" s="6"/>
      <c r="BH1107" s="6"/>
      <c r="BI1107" s="6"/>
      <c r="BJ1107" s="6"/>
      <c r="BK1107" s="6"/>
      <c r="BL1107" s="6"/>
      <c r="BM1107" s="6"/>
      <c r="BN1107" s="6"/>
      <c r="BO1107" s="6"/>
      <c r="BP1107" s="6"/>
      <c r="BQ1107" s="6"/>
    </row>
    <row r="1108" spans="2:69" hidden="1" x14ac:dyDescent="0.2">
      <c r="B1108" s="13"/>
      <c r="C1108" s="13"/>
      <c r="D1108" s="13"/>
      <c r="E1108" s="13"/>
      <c r="F1108" s="13"/>
      <c r="G1108" s="13"/>
      <c r="H1108" s="13"/>
      <c r="I1108" s="13"/>
      <c r="J1108" s="13"/>
      <c r="K1108" s="13"/>
      <c r="L1108" s="13"/>
      <c r="M1108" s="13"/>
      <c r="N1108" s="13"/>
      <c r="O1108" s="13"/>
      <c r="P1108" s="13"/>
      <c r="Q1108" s="13"/>
      <c r="R1108" s="13"/>
      <c r="S1108" s="13"/>
      <c r="T1108" s="13"/>
      <c r="U1108" s="13"/>
      <c r="V1108" s="13"/>
      <c r="W1108" s="13"/>
      <c r="X1108" s="13"/>
      <c r="Y1108" s="13"/>
      <c r="Z1108" s="13"/>
      <c r="AA1108" s="13"/>
      <c r="AB1108" s="13"/>
      <c r="AM1108" s="6"/>
      <c r="AN1108" s="6"/>
      <c r="AO1108" s="6"/>
      <c r="AP1108" s="6"/>
      <c r="AQ1108" s="6"/>
      <c r="AR1108" s="6"/>
      <c r="AS1108" s="6"/>
      <c r="AT1108" s="6"/>
      <c r="AU1108" s="6"/>
      <c r="AV1108" s="6"/>
      <c r="AW1108" s="6"/>
      <c r="AX1108" s="6"/>
      <c r="AY1108" s="6"/>
      <c r="AZ1108" s="6"/>
      <c r="BA1108" s="6"/>
      <c r="BB1108" s="6"/>
      <c r="BC1108" s="6"/>
      <c r="BD1108" s="6"/>
      <c r="BE1108" s="6"/>
      <c r="BF1108" s="6"/>
      <c r="BG1108" s="6"/>
      <c r="BH1108" s="6"/>
      <c r="BI1108" s="6"/>
      <c r="BJ1108" s="6"/>
      <c r="BK1108" s="6"/>
      <c r="BL1108" s="6"/>
      <c r="BM1108" s="6"/>
      <c r="BN1108" s="6"/>
      <c r="BO1108" s="6"/>
      <c r="BP1108" s="6"/>
      <c r="BQ1108" s="6"/>
    </row>
    <row r="1109" spans="2:69" hidden="1" x14ac:dyDescent="0.2">
      <c r="B1109" s="13"/>
      <c r="C1109" s="13"/>
      <c r="D1109" s="13"/>
      <c r="E1109" s="13"/>
      <c r="F1109" s="13"/>
      <c r="G1109" s="13"/>
      <c r="H1109" s="13"/>
      <c r="I1109" s="13"/>
      <c r="J1109" s="13"/>
      <c r="K1109" s="13"/>
      <c r="L1109" s="13"/>
      <c r="M1109" s="13"/>
      <c r="N1109" s="13"/>
      <c r="O1109" s="13"/>
      <c r="P1109" s="13"/>
      <c r="Q1109" s="13"/>
      <c r="R1109" s="13"/>
      <c r="S1109" s="13"/>
      <c r="T1109" s="13"/>
      <c r="U1109" s="13"/>
      <c r="V1109" s="13"/>
      <c r="W1109" s="13"/>
      <c r="X1109" s="13"/>
      <c r="Y1109" s="13"/>
      <c r="Z1109" s="13"/>
      <c r="AA1109" s="13"/>
      <c r="AB1109" s="13"/>
      <c r="AM1109" s="6"/>
      <c r="AN1109" s="6"/>
      <c r="AO1109" s="6"/>
      <c r="AP1109" s="6"/>
      <c r="AQ1109" s="6"/>
      <c r="AR1109" s="6"/>
      <c r="AS1109" s="6"/>
      <c r="AT1109" s="6"/>
      <c r="AU1109" s="6"/>
      <c r="AV1109" s="6"/>
      <c r="AW1109" s="6"/>
      <c r="AX1109" s="6"/>
      <c r="AY1109" s="6"/>
      <c r="AZ1109" s="6"/>
      <c r="BA1109" s="6"/>
      <c r="BB1109" s="6"/>
      <c r="BC1109" s="6"/>
      <c r="BD1109" s="6"/>
      <c r="BE1109" s="6"/>
      <c r="BF1109" s="6"/>
      <c r="BG1109" s="6"/>
      <c r="BH1109" s="6"/>
      <c r="BI1109" s="6"/>
      <c r="BJ1109" s="6"/>
      <c r="BK1109" s="6"/>
      <c r="BL1109" s="6"/>
      <c r="BM1109" s="6"/>
      <c r="BN1109" s="6"/>
      <c r="BO1109" s="6"/>
      <c r="BP1109" s="6"/>
      <c r="BQ1109" s="6"/>
    </row>
    <row r="1110" spans="2:69" hidden="1" x14ac:dyDescent="0.2">
      <c r="B1110" s="13"/>
      <c r="C1110" s="13"/>
      <c r="D1110" s="13"/>
      <c r="E1110" s="13"/>
      <c r="F1110" s="13"/>
      <c r="G1110" s="13"/>
      <c r="H1110" s="13"/>
      <c r="I1110" s="13"/>
      <c r="J1110" s="13"/>
      <c r="K1110" s="13"/>
      <c r="L1110" s="13"/>
      <c r="M1110" s="13"/>
      <c r="N1110" s="13"/>
      <c r="O1110" s="13"/>
      <c r="P1110" s="13"/>
      <c r="Q1110" s="13"/>
      <c r="R1110" s="13"/>
      <c r="S1110" s="13"/>
      <c r="T1110" s="13"/>
      <c r="U1110" s="13"/>
      <c r="V1110" s="13"/>
      <c r="W1110" s="13"/>
      <c r="X1110" s="13"/>
      <c r="Y1110" s="13"/>
      <c r="Z1110" s="13"/>
      <c r="AA1110" s="13"/>
      <c r="AB1110" s="13"/>
      <c r="AM1110" s="6"/>
      <c r="AN1110" s="6"/>
      <c r="AO1110" s="6"/>
      <c r="AP1110" s="6"/>
      <c r="AQ1110" s="6"/>
      <c r="AR1110" s="6"/>
      <c r="AS1110" s="6"/>
      <c r="AT1110" s="6"/>
      <c r="AU1110" s="6"/>
      <c r="AV1110" s="6"/>
      <c r="AW1110" s="6"/>
      <c r="AX1110" s="6"/>
      <c r="AY1110" s="6"/>
      <c r="AZ1110" s="6"/>
      <c r="BA1110" s="6"/>
      <c r="BB1110" s="6"/>
      <c r="BC1110" s="6"/>
      <c r="BD1110" s="6"/>
      <c r="BE1110" s="6"/>
      <c r="BF1110" s="6"/>
      <c r="BG1110" s="6"/>
      <c r="BH1110" s="6"/>
      <c r="BI1110" s="6"/>
      <c r="BJ1110" s="6"/>
      <c r="BK1110" s="6"/>
      <c r="BL1110" s="6"/>
      <c r="BM1110" s="6"/>
      <c r="BN1110" s="6"/>
      <c r="BO1110" s="6"/>
      <c r="BP1110" s="6"/>
      <c r="BQ1110" s="6"/>
    </row>
    <row r="1111" spans="2:69" hidden="1" x14ac:dyDescent="0.2">
      <c r="B1111" s="13"/>
      <c r="C1111" s="13"/>
      <c r="D1111" s="13"/>
      <c r="E1111" s="13"/>
      <c r="F1111" s="13"/>
      <c r="G1111" s="13"/>
      <c r="H1111" s="13"/>
      <c r="I1111" s="13"/>
      <c r="J1111" s="13"/>
      <c r="K1111" s="13"/>
      <c r="L1111" s="13"/>
      <c r="M1111" s="13"/>
      <c r="N1111" s="13"/>
      <c r="O1111" s="13"/>
      <c r="P1111" s="13"/>
      <c r="Q1111" s="13"/>
      <c r="R1111" s="13"/>
      <c r="S1111" s="13"/>
      <c r="T1111" s="13"/>
      <c r="U1111" s="13"/>
      <c r="V1111" s="13"/>
      <c r="W1111" s="13"/>
      <c r="X1111" s="13"/>
      <c r="Y1111" s="13"/>
      <c r="Z1111" s="13"/>
      <c r="AA1111" s="13"/>
      <c r="AB1111" s="13"/>
      <c r="AM1111" s="6"/>
      <c r="AN1111" s="6"/>
      <c r="AO1111" s="6"/>
      <c r="AP1111" s="6"/>
      <c r="AQ1111" s="6"/>
      <c r="AR1111" s="6"/>
      <c r="AS1111" s="6"/>
      <c r="AT1111" s="6"/>
      <c r="AU1111" s="6"/>
      <c r="AV1111" s="6"/>
      <c r="AW1111" s="6"/>
      <c r="AX1111" s="6"/>
      <c r="AY1111" s="6"/>
      <c r="AZ1111" s="6"/>
      <c r="BA1111" s="6"/>
      <c r="BB1111" s="6"/>
      <c r="BC1111" s="6"/>
      <c r="BD1111" s="6"/>
      <c r="BE1111" s="6"/>
      <c r="BF1111" s="6"/>
      <c r="BG1111" s="6"/>
      <c r="BH1111" s="6"/>
      <c r="BI1111" s="6"/>
      <c r="BJ1111" s="6"/>
      <c r="BK1111" s="6"/>
      <c r="BL1111" s="6"/>
      <c r="BM1111" s="6"/>
      <c r="BN1111" s="6"/>
      <c r="BO1111" s="6"/>
      <c r="BP1111" s="6"/>
      <c r="BQ1111" s="6"/>
    </row>
    <row r="1112" spans="2:69" hidden="1" x14ac:dyDescent="0.2">
      <c r="B1112" s="13"/>
      <c r="C1112" s="13"/>
      <c r="D1112" s="13"/>
      <c r="E1112" s="13"/>
      <c r="F1112" s="13"/>
      <c r="G1112" s="13"/>
      <c r="H1112" s="13"/>
      <c r="I1112" s="13"/>
      <c r="J1112" s="13"/>
      <c r="K1112" s="13"/>
      <c r="L1112" s="13"/>
      <c r="M1112" s="13"/>
      <c r="N1112" s="13"/>
      <c r="O1112" s="13"/>
      <c r="P1112" s="13"/>
      <c r="Q1112" s="13"/>
      <c r="R1112" s="13"/>
      <c r="S1112" s="13"/>
      <c r="T1112" s="13"/>
      <c r="U1112" s="13"/>
      <c r="V1112" s="13"/>
      <c r="W1112" s="13"/>
      <c r="X1112" s="13"/>
      <c r="Y1112" s="13"/>
      <c r="Z1112" s="13"/>
      <c r="AA1112" s="13"/>
      <c r="AB1112" s="13"/>
      <c r="AM1112" s="6"/>
      <c r="AN1112" s="6"/>
      <c r="AO1112" s="6"/>
      <c r="AP1112" s="6"/>
      <c r="AQ1112" s="6"/>
      <c r="AR1112" s="6"/>
      <c r="AS1112" s="6"/>
      <c r="AT1112" s="6"/>
      <c r="AU1112" s="6"/>
      <c r="AV1112" s="6"/>
      <c r="AW1112" s="6"/>
      <c r="AX1112" s="6"/>
      <c r="AY1112" s="6"/>
      <c r="AZ1112" s="6"/>
      <c r="BA1112" s="6"/>
      <c r="BB1112" s="6"/>
      <c r="BC1112" s="6"/>
      <c r="BD1112" s="6"/>
      <c r="BE1112" s="6"/>
      <c r="BF1112" s="6"/>
      <c r="BG1112" s="6"/>
      <c r="BH1112" s="6"/>
      <c r="BI1112" s="6"/>
      <c r="BJ1112" s="6"/>
      <c r="BK1112" s="6"/>
      <c r="BL1112" s="6"/>
      <c r="BM1112" s="6"/>
      <c r="BN1112" s="6"/>
      <c r="BO1112" s="6"/>
      <c r="BP1112" s="6"/>
      <c r="BQ1112" s="6"/>
    </row>
    <row r="1113" spans="2:69" hidden="1" x14ac:dyDescent="0.2">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M1113" s="6"/>
      <c r="AN1113" s="6"/>
      <c r="AO1113" s="6"/>
      <c r="AP1113" s="6"/>
      <c r="AQ1113" s="6"/>
      <c r="AR1113" s="6"/>
      <c r="AS1113" s="6"/>
      <c r="AT1113" s="6"/>
      <c r="AU1113" s="6"/>
      <c r="AV1113" s="6"/>
      <c r="AW1113" s="6"/>
      <c r="AX1113" s="6"/>
      <c r="AY1113" s="6"/>
      <c r="AZ1113" s="6"/>
      <c r="BA1113" s="6"/>
      <c r="BB1113" s="6"/>
      <c r="BC1113" s="6"/>
      <c r="BD1113" s="6"/>
      <c r="BE1113" s="6"/>
      <c r="BF1113" s="6"/>
      <c r="BG1113" s="6"/>
      <c r="BH1113" s="6"/>
      <c r="BI1113" s="6"/>
      <c r="BJ1113" s="6"/>
      <c r="BK1113" s="6"/>
      <c r="BL1113" s="6"/>
      <c r="BM1113" s="6"/>
      <c r="BN1113" s="6"/>
      <c r="BO1113" s="6"/>
      <c r="BP1113" s="6"/>
      <c r="BQ1113" s="6"/>
    </row>
    <row r="1114" spans="2:69" hidden="1" x14ac:dyDescent="0.2">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M1114" s="6"/>
      <c r="AN1114" s="6"/>
      <c r="AO1114" s="6"/>
      <c r="AP1114" s="6"/>
      <c r="AQ1114" s="6"/>
      <c r="AR1114" s="6"/>
      <c r="AS1114" s="6"/>
      <c r="AT1114" s="6"/>
      <c r="AU1114" s="6"/>
      <c r="AV1114" s="6"/>
      <c r="AW1114" s="6"/>
      <c r="AX1114" s="6"/>
      <c r="AY1114" s="6"/>
      <c r="AZ1114" s="6"/>
      <c r="BA1114" s="6"/>
      <c r="BB1114" s="6"/>
      <c r="BC1114" s="6"/>
      <c r="BD1114" s="6"/>
      <c r="BE1114" s="6"/>
      <c r="BF1114" s="6"/>
      <c r="BG1114" s="6"/>
      <c r="BH1114" s="6"/>
      <c r="BI1114" s="6"/>
      <c r="BJ1114" s="6"/>
      <c r="BK1114" s="6"/>
      <c r="BL1114" s="6"/>
      <c r="BM1114" s="6"/>
      <c r="BN1114" s="6"/>
      <c r="BO1114" s="6"/>
      <c r="BP1114" s="6"/>
      <c r="BQ1114" s="6"/>
    </row>
    <row r="1115" spans="2:69" hidden="1" x14ac:dyDescent="0.2">
      <c r="B1115" s="13"/>
      <c r="C1115" s="13"/>
      <c r="D1115" s="13"/>
      <c r="E1115" s="13"/>
      <c r="F1115" s="13"/>
      <c r="G1115" s="13"/>
      <c r="H1115" s="13"/>
      <c r="I1115" s="13"/>
      <c r="J1115" s="13"/>
      <c r="K1115" s="13"/>
      <c r="L1115" s="13"/>
      <c r="M1115" s="13"/>
      <c r="N1115" s="13"/>
      <c r="O1115" s="13"/>
      <c r="P1115" s="13"/>
      <c r="Q1115" s="13"/>
      <c r="R1115" s="13"/>
      <c r="S1115" s="13"/>
      <c r="T1115" s="13"/>
      <c r="U1115" s="13"/>
      <c r="V1115" s="13"/>
      <c r="W1115" s="13"/>
      <c r="X1115" s="13"/>
      <c r="Y1115" s="13"/>
      <c r="Z1115" s="13"/>
      <c r="AA1115" s="13"/>
      <c r="AB1115" s="13"/>
      <c r="AM1115" s="6"/>
      <c r="AN1115" s="6"/>
      <c r="AO1115" s="6"/>
      <c r="AP1115" s="6"/>
      <c r="AQ1115" s="6"/>
      <c r="AR1115" s="6"/>
      <c r="AS1115" s="6"/>
      <c r="AT1115" s="6"/>
      <c r="AU1115" s="6"/>
      <c r="AV1115" s="6"/>
      <c r="AW1115" s="6"/>
      <c r="AX1115" s="6"/>
      <c r="AY1115" s="6"/>
      <c r="AZ1115" s="6"/>
      <c r="BA1115" s="6"/>
      <c r="BB1115" s="6"/>
      <c r="BC1115" s="6"/>
      <c r="BD1115" s="6"/>
      <c r="BE1115" s="6"/>
      <c r="BF1115" s="6"/>
      <c r="BG1115" s="6"/>
      <c r="BH1115" s="6"/>
      <c r="BI1115" s="6"/>
      <c r="BJ1115" s="6"/>
      <c r="BK1115" s="6"/>
      <c r="BL1115" s="6"/>
      <c r="BM1115" s="6"/>
      <c r="BN1115" s="6"/>
      <c r="BO1115" s="6"/>
      <c r="BP1115" s="6"/>
      <c r="BQ1115" s="6"/>
    </row>
    <row r="1116" spans="2:69" hidden="1" x14ac:dyDescent="0.2">
      <c r="B1116" s="13"/>
      <c r="C1116" s="13"/>
      <c r="D1116" s="13"/>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M1116" s="6"/>
      <c r="AN1116" s="6"/>
      <c r="AO1116" s="6"/>
      <c r="AP1116" s="6"/>
      <c r="AQ1116" s="6"/>
      <c r="AR1116" s="6"/>
      <c r="AS1116" s="6"/>
      <c r="AT1116" s="6"/>
      <c r="AU1116" s="6"/>
      <c r="AV1116" s="6"/>
      <c r="AW1116" s="6"/>
      <c r="AX1116" s="6"/>
      <c r="AY1116" s="6"/>
      <c r="AZ1116" s="6"/>
      <c r="BA1116" s="6"/>
      <c r="BB1116" s="6"/>
      <c r="BC1116" s="6"/>
      <c r="BD1116" s="6"/>
      <c r="BE1116" s="6"/>
      <c r="BF1116" s="6"/>
      <c r="BG1116" s="6"/>
      <c r="BH1116" s="6"/>
      <c r="BI1116" s="6"/>
      <c r="BJ1116" s="6"/>
      <c r="BK1116" s="6"/>
      <c r="BL1116" s="6"/>
      <c r="BM1116" s="6"/>
      <c r="BN1116" s="6"/>
      <c r="BO1116" s="6"/>
      <c r="BP1116" s="6"/>
      <c r="BQ1116" s="6"/>
    </row>
    <row r="1117" spans="2:69" hidden="1" x14ac:dyDescent="0.2">
      <c r="B1117" s="13"/>
      <c r="C1117" s="13"/>
      <c r="D1117" s="13"/>
      <c r="E1117" s="13"/>
      <c r="F1117" s="13"/>
      <c r="G1117" s="13"/>
      <c r="H1117" s="13"/>
      <c r="I1117" s="13"/>
      <c r="J1117" s="13"/>
      <c r="K1117" s="13"/>
      <c r="L1117" s="13"/>
      <c r="M1117" s="13"/>
      <c r="N1117" s="13"/>
      <c r="O1117" s="13"/>
      <c r="P1117" s="13"/>
      <c r="Q1117" s="13"/>
      <c r="R1117" s="13"/>
      <c r="S1117" s="13"/>
      <c r="T1117" s="13"/>
      <c r="U1117" s="13"/>
      <c r="V1117" s="13"/>
      <c r="W1117" s="13"/>
      <c r="X1117" s="13"/>
      <c r="Y1117" s="13"/>
      <c r="Z1117" s="13"/>
      <c r="AA1117" s="13"/>
      <c r="AB1117" s="13"/>
      <c r="AM1117" s="6"/>
      <c r="AN1117" s="6"/>
      <c r="AO1117" s="6"/>
      <c r="AP1117" s="6"/>
      <c r="AQ1117" s="6"/>
      <c r="AR1117" s="6"/>
      <c r="AS1117" s="6"/>
      <c r="AT1117" s="6"/>
      <c r="AU1117" s="6"/>
      <c r="AV1117" s="6"/>
      <c r="AW1117" s="6"/>
      <c r="AX1117" s="6"/>
      <c r="AY1117" s="6"/>
      <c r="AZ1117" s="6"/>
      <c r="BA1117" s="6"/>
      <c r="BB1117" s="6"/>
      <c r="BC1117" s="6"/>
      <c r="BD1117" s="6"/>
      <c r="BE1117" s="6"/>
      <c r="BF1117" s="6"/>
      <c r="BG1117" s="6"/>
      <c r="BH1117" s="6"/>
      <c r="BI1117" s="6"/>
      <c r="BJ1117" s="6"/>
      <c r="BK1117" s="6"/>
      <c r="BL1117" s="6"/>
      <c r="BM1117" s="6"/>
      <c r="BN1117" s="6"/>
      <c r="BO1117" s="6"/>
      <c r="BP1117" s="6"/>
      <c r="BQ1117" s="6"/>
    </row>
    <row r="1118" spans="2:69" hidden="1" x14ac:dyDescent="0.2">
      <c r="B1118" s="13"/>
      <c r="C1118" s="13"/>
      <c r="D1118" s="13"/>
      <c r="E1118" s="13"/>
      <c r="F1118" s="13"/>
      <c r="G1118" s="13"/>
      <c r="H1118" s="13"/>
      <c r="I1118" s="13"/>
      <c r="J1118" s="13"/>
      <c r="K1118" s="13"/>
      <c r="L1118" s="13"/>
      <c r="M1118" s="13"/>
      <c r="N1118" s="13"/>
      <c r="O1118" s="13"/>
      <c r="P1118" s="13"/>
      <c r="Q1118" s="13"/>
      <c r="R1118" s="13"/>
      <c r="S1118" s="13"/>
      <c r="T1118" s="13"/>
      <c r="U1118" s="13"/>
      <c r="V1118" s="13"/>
      <c r="W1118" s="13"/>
      <c r="X1118" s="13"/>
      <c r="Y1118" s="13"/>
      <c r="Z1118" s="13"/>
      <c r="AA1118" s="13"/>
      <c r="AB1118" s="13"/>
      <c r="AM1118" s="6"/>
      <c r="AN1118" s="6"/>
      <c r="AO1118" s="6"/>
      <c r="AP1118" s="6"/>
      <c r="AQ1118" s="6"/>
      <c r="AR1118" s="6"/>
      <c r="AS1118" s="6"/>
      <c r="AT1118" s="6"/>
      <c r="AU1118" s="6"/>
      <c r="AV1118" s="6"/>
      <c r="AW1118" s="6"/>
      <c r="AX1118" s="6"/>
      <c r="AY1118" s="6"/>
      <c r="AZ1118" s="6"/>
      <c r="BA1118" s="6"/>
      <c r="BB1118" s="6"/>
      <c r="BC1118" s="6"/>
      <c r="BD1118" s="6"/>
      <c r="BE1118" s="6"/>
      <c r="BF1118" s="6"/>
      <c r="BG1118" s="6"/>
      <c r="BH1118" s="6"/>
      <c r="BI1118" s="6"/>
      <c r="BJ1118" s="6"/>
      <c r="BK1118" s="6"/>
      <c r="BL1118" s="6"/>
      <c r="BM1118" s="6"/>
      <c r="BN1118" s="6"/>
      <c r="BO1118" s="6"/>
      <c r="BP1118" s="6"/>
      <c r="BQ1118" s="6"/>
    </row>
    <row r="1119" spans="2:69" hidden="1" x14ac:dyDescent="0.2">
      <c r="B1119" s="13"/>
      <c r="C1119" s="13"/>
      <c r="D1119" s="13"/>
      <c r="E1119" s="13"/>
      <c r="F1119" s="13"/>
      <c r="G1119" s="13"/>
      <c r="H1119" s="13"/>
      <c r="I1119" s="13"/>
      <c r="J1119" s="13"/>
      <c r="K1119" s="13"/>
      <c r="L1119" s="13"/>
      <c r="M1119" s="13"/>
      <c r="N1119" s="13"/>
      <c r="O1119" s="13"/>
      <c r="P1119" s="13"/>
      <c r="Q1119" s="13"/>
      <c r="R1119" s="13"/>
      <c r="S1119" s="13"/>
      <c r="T1119" s="13"/>
      <c r="U1119" s="13"/>
      <c r="V1119" s="13"/>
      <c r="W1119" s="13"/>
      <c r="X1119" s="13"/>
      <c r="Y1119" s="13"/>
      <c r="Z1119" s="13"/>
      <c r="AA1119" s="13"/>
      <c r="AB1119" s="13"/>
      <c r="AM1119" s="6"/>
      <c r="AN1119" s="6"/>
      <c r="AO1119" s="6"/>
      <c r="AP1119" s="6"/>
      <c r="AQ1119" s="6"/>
      <c r="AR1119" s="6"/>
      <c r="AS1119" s="6"/>
      <c r="AT1119" s="6"/>
      <c r="AU1119" s="6"/>
      <c r="AV1119" s="6"/>
      <c r="AW1119" s="6"/>
      <c r="AX1119" s="6"/>
      <c r="AY1119" s="6"/>
      <c r="AZ1119" s="6"/>
      <c r="BA1119" s="6"/>
      <c r="BB1119" s="6"/>
      <c r="BC1119" s="6"/>
      <c r="BD1119" s="6"/>
      <c r="BE1119" s="6"/>
      <c r="BF1119" s="6"/>
      <c r="BG1119" s="6"/>
      <c r="BH1119" s="6"/>
      <c r="BI1119" s="6"/>
      <c r="BJ1119" s="6"/>
      <c r="BK1119" s="6"/>
      <c r="BL1119" s="6"/>
      <c r="BM1119" s="6"/>
      <c r="BN1119" s="6"/>
      <c r="BO1119" s="6"/>
      <c r="BP1119" s="6"/>
      <c r="BQ1119" s="6"/>
    </row>
    <row r="1120" spans="2:69" hidden="1" x14ac:dyDescent="0.2">
      <c r="B1120" s="13"/>
      <c r="C1120" s="13"/>
      <c r="D1120" s="13"/>
      <c r="E1120" s="13"/>
      <c r="F1120" s="13"/>
      <c r="G1120" s="13"/>
      <c r="H1120" s="13"/>
      <c r="I1120" s="13"/>
      <c r="J1120" s="13"/>
      <c r="K1120" s="13"/>
      <c r="L1120" s="13"/>
      <c r="M1120" s="13"/>
      <c r="N1120" s="13"/>
      <c r="O1120" s="13"/>
      <c r="P1120" s="13"/>
      <c r="Q1120" s="13"/>
      <c r="R1120" s="13"/>
      <c r="S1120" s="13"/>
      <c r="T1120" s="13"/>
      <c r="U1120" s="13"/>
      <c r="V1120" s="13"/>
      <c r="W1120" s="13"/>
      <c r="X1120" s="13"/>
      <c r="Y1120" s="13"/>
      <c r="Z1120" s="13"/>
      <c r="AA1120" s="13"/>
      <c r="AB1120" s="13"/>
      <c r="AM1120" s="6"/>
      <c r="AN1120" s="6"/>
      <c r="AO1120" s="6"/>
      <c r="AP1120" s="6"/>
      <c r="AQ1120" s="6"/>
      <c r="AR1120" s="6"/>
      <c r="AS1120" s="6"/>
      <c r="AT1120" s="6"/>
      <c r="AU1120" s="6"/>
      <c r="AV1120" s="6"/>
      <c r="AW1120" s="6"/>
      <c r="AX1120" s="6"/>
      <c r="AY1120" s="6"/>
      <c r="AZ1120" s="6"/>
      <c r="BA1120" s="6"/>
      <c r="BB1120" s="6"/>
      <c r="BC1120" s="6"/>
      <c r="BD1120" s="6"/>
      <c r="BE1120" s="6"/>
      <c r="BF1120" s="6"/>
      <c r="BG1120" s="6"/>
      <c r="BH1120" s="6"/>
      <c r="BI1120" s="6"/>
      <c r="BJ1120" s="6"/>
      <c r="BK1120" s="6"/>
      <c r="BL1120" s="6"/>
      <c r="BM1120" s="6"/>
      <c r="BN1120" s="6"/>
      <c r="BO1120" s="6"/>
      <c r="BP1120" s="6"/>
      <c r="BQ1120" s="6"/>
    </row>
    <row r="1121" spans="2:69" hidden="1" x14ac:dyDescent="0.2">
      <c r="B1121" s="13"/>
      <c r="C1121" s="13"/>
      <c r="D1121" s="13"/>
      <c r="E1121" s="13"/>
      <c r="F1121" s="13"/>
      <c r="G1121" s="13"/>
      <c r="H1121" s="13"/>
      <c r="I1121" s="13"/>
      <c r="J1121" s="13"/>
      <c r="K1121" s="13"/>
      <c r="L1121" s="13"/>
      <c r="M1121" s="13"/>
      <c r="N1121" s="13"/>
      <c r="O1121" s="13"/>
      <c r="P1121" s="13"/>
      <c r="Q1121" s="13"/>
      <c r="R1121" s="13"/>
      <c r="S1121" s="13"/>
      <c r="T1121" s="13"/>
      <c r="U1121" s="13"/>
      <c r="V1121" s="13"/>
      <c r="W1121" s="13"/>
      <c r="X1121" s="13"/>
      <c r="Y1121" s="13"/>
      <c r="Z1121" s="13"/>
      <c r="AA1121" s="13"/>
      <c r="AB1121" s="13"/>
      <c r="AM1121" s="6"/>
      <c r="AN1121" s="6"/>
      <c r="AO1121" s="6"/>
      <c r="AP1121" s="6"/>
      <c r="AQ1121" s="6"/>
      <c r="AR1121" s="6"/>
      <c r="AS1121" s="6"/>
      <c r="AT1121" s="6"/>
      <c r="AU1121" s="6"/>
      <c r="AV1121" s="6"/>
      <c r="AW1121" s="6"/>
      <c r="AX1121" s="6"/>
      <c r="AY1121" s="6"/>
      <c r="AZ1121" s="6"/>
      <c r="BA1121" s="6"/>
      <c r="BB1121" s="6"/>
      <c r="BC1121" s="6"/>
      <c r="BD1121" s="6"/>
      <c r="BE1121" s="6"/>
      <c r="BF1121" s="6"/>
      <c r="BG1121" s="6"/>
      <c r="BH1121" s="6"/>
      <c r="BI1121" s="6"/>
      <c r="BJ1121" s="6"/>
      <c r="BK1121" s="6"/>
      <c r="BL1121" s="6"/>
      <c r="BM1121" s="6"/>
      <c r="BN1121" s="6"/>
      <c r="BO1121" s="6"/>
      <c r="BP1121" s="6"/>
      <c r="BQ1121" s="6"/>
    </row>
    <row r="1122" spans="2:69" hidden="1" x14ac:dyDescent="0.2">
      <c r="B1122" s="13"/>
      <c r="C1122" s="13"/>
      <c r="D1122" s="13"/>
      <c r="E1122" s="13"/>
      <c r="F1122" s="13"/>
      <c r="G1122" s="13"/>
      <c r="H1122" s="13"/>
      <c r="I1122" s="13"/>
      <c r="J1122" s="13"/>
      <c r="K1122" s="13"/>
      <c r="L1122" s="13"/>
      <c r="M1122" s="13"/>
      <c r="N1122" s="13"/>
      <c r="O1122" s="13"/>
      <c r="P1122" s="13"/>
      <c r="Q1122" s="13"/>
      <c r="R1122" s="13"/>
      <c r="S1122" s="13"/>
      <c r="T1122" s="13"/>
      <c r="U1122" s="13"/>
      <c r="V1122" s="13"/>
      <c r="W1122" s="13"/>
      <c r="X1122" s="13"/>
      <c r="Y1122" s="13"/>
      <c r="Z1122" s="13"/>
      <c r="AA1122" s="13"/>
      <c r="AB1122" s="13"/>
      <c r="AM1122" s="6"/>
      <c r="AN1122" s="6"/>
      <c r="AO1122" s="6"/>
      <c r="AP1122" s="6"/>
      <c r="AQ1122" s="6"/>
      <c r="AR1122" s="6"/>
      <c r="AS1122" s="6"/>
      <c r="AT1122" s="6"/>
      <c r="AU1122" s="6"/>
      <c r="AV1122" s="6"/>
      <c r="AW1122" s="6"/>
      <c r="AX1122" s="6"/>
      <c r="AY1122" s="6"/>
      <c r="AZ1122" s="6"/>
      <c r="BA1122" s="6"/>
      <c r="BB1122" s="6"/>
      <c r="BC1122" s="6"/>
      <c r="BD1122" s="6"/>
      <c r="BE1122" s="6"/>
      <c r="BF1122" s="6"/>
      <c r="BG1122" s="6"/>
      <c r="BH1122" s="6"/>
      <c r="BI1122" s="6"/>
      <c r="BJ1122" s="6"/>
      <c r="BK1122" s="6"/>
      <c r="BL1122" s="6"/>
      <c r="BM1122" s="6"/>
      <c r="BN1122" s="6"/>
      <c r="BO1122" s="6"/>
      <c r="BP1122" s="6"/>
      <c r="BQ1122" s="6"/>
    </row>
    <row r="1123" spans="2:69" hidden="1" x14ac:dyDescent="0.2">
      <c r="B1123" s="13"/>
      <c r="C1123" s="13"/>
      <c r="D1123" s="13"/>
      <c r="E1123" s="13"/>
      <c r="F1123" s="13"/>
      <c r="G1123" s="13"/>
      <c r="H1123" s="13"/>
      <c r="I1123" s="13"/>
      <c r="J1123" s="13"/>
      <c r="K1123" s="13"/>
      <c r="L1123" s="13"/>
      <c r="M1123" s="13"/>
      <c r="N1123" s="13"/>
      <c r="O1123" s="13"/>
      <c r="P1123" s="13"/>
      <c r="Q1123" s="13"/>
      <c r="R1123" s="13"/>
      <c r="S1123" s="13"/>
      <c r="T1123" s="13"/>
      <c r="U1123" s="13"/>
      <c r="V1123" s="13"/>
      <c r="W1123" s="13"/>
      <c r="X1123" s="13"/>
      <c r="Y1123" s="13"/>
      <c r="Z1123" s="13"/>
      <c r="AA1123" s="13"/>
      <c r="AB1123" s="13"/>
      <c r="AM1123" s="6"/>
      <c r="AN1123" s="6"/>
      <c r="AO1123" s="6"/>
      <c r="AP1123" s="6"/>
      <c r="AQ1123" s="6"/>
      <c r="AR1123" s="6"/>
      <c r="AS1123" s="6"/>
      <c r="AT1123" s="6"/>
      <c r="AU1123" s="6"/>
      <c r="AV1123" s="6"/>
      <c r="AW1123" s="6"/>
      <c r="AX1123" s="6"/>
      <c r="AY1123" s="6"/>
      <c r="AZ1123" s="6"/>
      <c r="BA1123" s="6"/>
      <c r="BB1123" s="6"/>
      <c r="BC1123" s="6"/>
      <c r="BD1123" s="6"/>
      <c r="BE1123" s="6"/>
      <c r="BF1123" s="6"/>
      <c r="BG1123" s="6"/>
      <c r="BH1123" s="6"/>
      <c r="BI1123" s="6"/>
      <c r="BJ1123" s="6"/>
      <c r="BK1123" s="6"/>
      <c r="BL1123" s="6"/>
      <c r="BM1123" s="6"/>
      <c r="BN1123" s="6"/>
      <c r="BO1123" s="6"/>
      <c r="BP1123" s="6"/>
      <c r="BQ1123" s="6"/>
    </row>
    <row r="1124" spans="2:69" hidden="1" x14ac:dyDescent="0.2">
      <c r="B1124" s="13"/>
      <c r="C1124" s="13"/>
      <c r="D1124" s="13"/>
      <c r="E1124" s="13"/>
      <c r="F1124" s="13"/>
      <c r="G1124" s="13"/>
      <c r="H1124" s="13"/>
      <c r="I1124" s="13"/>
      <c r="J1124" s="13"/>
      <c r="K1124" s="13"/>
      <c r="L1124" s="13"/>
      <c r="M1124" s="13"/>
      <c r="N1124" s="13"/>
      <c r="O1124" s="13"/>
      <c r="P1124" s="13"/>
      <c r="Q1124" s="13"/>
      <c r="R1124" s="13"/>
      <c r="S1124" s="13"/>
      <c r="T1124" s="13"/>
      <c r="U1124" s="13"/>
      <c r="V1124" s="13"/>
      <c r="W1124" s="13"/>
      <c r="X1124" s="13"/>
      <c r="Y1124" s="13"/>
      <c r="Z1124" s="13"/>
      <c r="AA1124" s="13"/>
      <c r="AB1124" s="13"/>
      <c r="AM1124" s="6"/>
      <c r="AN1124" s="6"/>
      <c r="AO1124" s="6"/>
      <c r="AP1124" s="6"/>
      <c r="AQ1124" s="6"/>
      <c r="AR1124" s="6"/>
      <c r="AS1124" s="6"/>
      <c r="AT1124" s="6"/>
      <c r="AU1124" s="6"/>
      <c r="AV1124" s="6"/>
      <c r="AW1124" s="6"/>
      <c r="AX1124" s="6"/>
      <c r="AY1124" s="6"/>
      <c r="AZ1124" s="6"/>
      <c r="BA1124" s="6"/>
      <c r="BB1124" s="6"/>
      <c r="BC1124" s="6"/>
      <c r="BD1124" s="6"/>
      <c r="BE1124" s="6"/>
      <c r="BF1124" s="6"/>
      <c r="BG1124" s="6"/>
      <c r="BH1124" s="6"/>
      <c r="BI1124" s="6"/>
      <c r="BJ1124" s="6"/>
      <c r="BK1124" s="6"/>
      <c r="BL1124" s="6"/>
      <c r="BM1124" s="6"/>
      <c r="BN1124" s="6"/>
      <c r="BO1124" s="6"/>
      <c r="BP1124" s="6"/>
      <c r="BQ1124" s="6"/>
    </row>
    <row r="1125" spans="2:69" hidden="1" x14ac:dyDescent="0.2">
      <c r="B1125" s="13"/>
      <c r="C1125" s="13"/>
      <c r="D1125" s="13"/>
      <c r="E1125" s="13"/>
      <c r="F1125" s="13"/>
      <c r="G1125" s="13"/>
      <c r="H1125" s="13"/>
      <c r="I1125" s="13"/>
      <c r="J1125" s="13"/>
      <c r="K1125" s="13"/>
      <c r="L1125" s="13"/>
      <c r="M1125" s="13"/>
      <c r="N1125" s="13"/>
      <c r="O1125" s="13"/>
      <c r="P1125" s="13"/>
      <c r="Q1125" s="13"/>
      <c r="R1125" s="13"/>
      <c r="S1125" s="13"/>
      <c r="T1125" s="13"/>
      <c r="U1125" s="13"/>
      <c r="V1125" s="13"/>
      <c r="W1125" s="13"/>
      <c r="X1125" s="13"/>
      <c r="Y1125" s="13"/>
      <c r="Z1125" s="13"/>
      <c r="AA1125" s="13"/>
      <c r="AB1125" s="13"/>
      <c r="AM1125" s="6"/>
      <c r="AN1125" s="6"/>
      <c r="AO1125" s="6"/>
      <c r="AP1125" s="6"/>
      <c r="AQ1125" s="6"/>
      <c r="AR1125" s="6"/>
      <c r="AS1125" s="6"/>
      <c r="AT1125" s="6"/>
      <c r="AU1125" s="6"/>
      <c r="AV1125" s="6"/>
      <c r="AW1125" s="6"/>
      <c r="AX1125" s="6"/>
      <c r="AY1125" s="6"/>
      <c r="AZ1125" s="6"/>
      <c r="BA1125" s="6"/>
      <c r="BB1125" s="6"/>
      <c r="BC1125" s="6"/>
      <c r="BD1125" s="6"/>
      <c r="BE1125" s="6"/>
      <c r="BF1125" s="6"/>
      <c r="BG1125" s="6"/>
      <c r="BH1125" s="6"/>
      <c r="BI1125" s="6"/>
      <c r="BJ1125" s="6"/>
      <c r="BK1125" s="6"/>
      <c r="BL1125" s="6"/>
      <c r="BM1125" s="6"/>
      <c r="BN1125" s="6"/>
      <c r="BO1125" s="6"/>
      <c r="BP1125" s="6"/>
      <c r="BQ1125" s="6"/>
    </row>
    <row r="1126" spans="2:69" hidden="1" x14ac:dyDescent="0.2">
      <c r="B1126" s="13"/>
      <c r="C1126" s="13"/>
      <c r="D1126" s="13"/>
      <c r="E1126" s="13"/>
      <c r="F1126" s="13"/>
      <c r="G1126" s="13"/>
      <c r="H1126" s="13"/>
      <c r="I1126" s="13"/>
      <c r="J1126" s="13"/>
      <c r="K1126" s="13"/>
      <c r="L1126" s="13"/>
      <c r="M1126" s="13"/>
      <c r="N1126" s="13"/>
      <c r="O1126" s="13"/>
      <c r="P1126" s="13"/>
      <c r="Q1126" s="13"/>
      <c r="R1126" s="13"/>
      <c r="S1126" s="13"/>
      <c r="T1126" s="13"/>
      <c r="U1126" s="13"/>
      <c r="V1126" s="13"/>
      <c r="W1126" s="13"/>
      <c r="X1126" s="13"/>
      <c r="Y1126" s="13"/>
      <c r="Z1126" s="13"/>
      <c r="AA1126" s="13"/>
      <c r="AB1126" s="13"/>
      <c r="AM1126" s="6"/>
      <c r="AN1126" s="6"/>
      <c r="AO1126" s="6"/>
      <c r="AP1126" s="6"/>
      <c r="AQ1126" s="6"/>
      <c r="AR1126" s="6"/>
      <c r="AS1126" s="6"/>
      <c r="AT1126" s="6"/>
      <c r="AU1126" s="6"/>
      <c r="AV1126" s="6"/>
      <c r="AW1126" s="6"/>
      <c r="AX1126" s="6"/>
      <c r="AY1126" s="6"/>
      <c r="AZ1126" s="6"/>
      <c r="BA1126" s="6"/>
      <c r="BB1126" s="6"/>
      <c r="BC1126" s="6"/>
      <c r="BD1126" s="6"/>
      <c r="BE1126" s="6"/>
      <c r="BF1126" s="6"/>
      <c r="BG1126" s="6"/>
      <c r="BH1126" s="6"/>
      <c r="BI1126" s="6"/>
      <c r="BJ1126" s="6"/>
      <c r="BK1126" s="6"/>
      <c r="BL1126" s="6"/>
      <c r="BM1126" s="6"/>
      <c r="BN1126" s="6"/>
      <c r="BO1126" s="6"/>
      <c r="BP1126" s="6"/>
      <c r="BQ1126" s="6"/>
    </row>
    <row r="1127" spans="2:69" hidden="1" x14ac:dyDescent="0.2">
      <c r="B1127" s="13"/>
      <c r="C1127" s="13"/>
      <c r="D1127" s="13"/>
      <c r="E1127" s="13"/>
      <c r="F1127" s="13"/>
      <c r="G1127" s="13"/>
      <c r="H1127" s="13"/>
      <c r="I1127" s="13"/>
      <c r="J1127" s="13"/>
      <c r="K1127" s="13"/>
      <c r="L1127" s="13"/>
      <c r="M1127" s="13"/>
      <c r="N1127" s="13"/>
      <c r="O1127" s="13"/>
      <c r="P1127" s="13"/>
      <c r="Q1127" s="13"/>
      <c r="R1127" s="13"/>
      <c r="S1127" s="13"/>
      <c r="T1127" s="13"/>
      <c r="U1127" s="13"/>
      <c r="V1127" s="13"/>
      <c r="W1127" s="13"/>
      <c r="X1127" s="13"/>
      <c r="Y1127" s="13"/>
      <c r="Z1127" s="13"/>
      <c r="AA1127" s="13"/>
      <c r="AB1127" s="13"/>
      <c r="AM1127" s="6"/>
      <c r="AN1127" s="6"/>
      <c r="AO1127" s="6"/>
      <c r="AP1127" s="6"/>
      <c r="AQ1127" s="6"/>
      <c r="AR1127" s="6"/>
      <c r="AS1127" s="6"/>
      <c r="AT1127" s="6"/>
      <c r="AU1127" s="6"/>
      <c r="AV1127" s="6"/>
      <c r="AW1127" s="6"/>
      <c r="AX1127" s="6"/>
      <c r="AY1127" s="6"/>
      <c r="AZ1127" s="6"/>
      <c r="BA1127" s="6"/>
      <c r="BB1127" s="6"/>
      <c r="BC1127" s="6"/>
      <c r="BD1127" s="6"/>
      <c r="BE1127" s="6"/>
      <c r="BF1127" s="6"/>
      <c r="BG1127" s="6"/>
      <c r="BH1127" s="6"/>
      <c r="BI1127" s="6"/>
      <c r="BJ1127" s="6"/>
      <c r="BK1127" s="6"/>
      <c r="BL1127" s="6"/>
      <c r="BM1127" s="6"/>
      <c r="BN1127" s="6"/>
      <c r="BO1127" s="6"/>
      <c r="BP1127" s="6"/>
      <c r="BQ1127" s="6"/>
    </row>
    <row r="1128" spans="2:69" hidden="1" x14ac:dyDescent="0.2">
      <c r="B1128" s="13"/>
      <c r="C1128" s="13"/>
      <c r="D1128" s="13"/>
      <c r="E1128" s="13"/>
      <c r="F1128" s="13"/>
      <c r="G1128" s="13"/>
      <c r="H1128" s="13"/>
      <c r="I1128" s="13"/>
      <c r="J1128" s="13"/>
      <c r="K1128" s="13"/>
      <c r="L1128" s="13"/>
      <c r="M1128" s="13"/>
      <c r="N1128" s="13"/>
      <c r="O1128" s="13"/>
      <c r="P1128" s="13"/>
      <c r="Q1128" s="13"/>
      <c r="R1128" s="13"/>
      <c r="S1128" s="13"/>
      <c r="T1128" s="13"/>
      <c r="U1128" s="13"/>
      <c r="V1128" s="13"/>
      <c r="W1128" s="13"/>
      <c r="X1128" s="13"/>
      <c r="Y1128" s="13"/>
      <c r="Z1128" s="13"/>
      <c r="AA1128" s="13"/>
      <c r="AB1128" s="13"/>
      <c r="AM1128" s="6"/>
      <c r="AN1128" s="6"/>
      <c r="AO1128" s="6"/>
      <c r="AP1128" s="6"/>
      <c r="AQ1128" s="6"/>
      <c r="AR1128" s="6"/>
      <c r="AS1128" s="6"/>
      <c r="AT1128" s="6"/>
      <c r="AU1128" s="6"/>
      <c r="AV1128" s="6"/>
      <c r="AW1128" s="6"/>
      <c r="AX1128" s="6"/>
      <c r="AY1128" s="6"/>
      <c r="AZ1128" s="6"/>
      <c r="BA1128" s="6"/>
      <c r="BB1128" s="6"/>
      <c r="BC1128" s="6"/>
      <c r="BD1128" s="6"/>
      <c r="BE1128" s="6"/>
      <c r="BF1128" s="6"/>
      <c r="BG1128" s="6"/>
      <c r="BH1128" s="6"/>
      <c r="BI1128" s="6"/>
      <c r="BJ1128" s="6"/>
      <c r="BK1128" s="6"/>
      <c r="BL1128" s="6"/>
      <c r="BM1128" s="6"/>
      <c r="BN1128" s="6"/>
      <c r="BO1128" s="6"/>
      <c r="BP1128" s="6"/>
      <c r="BQ1128" s="6"/>
    </row>
    <row r="1129" spans="2:69" hidden="1" x14ac:dyDescent="0.2">
      <c r="B1129" s="13"/>
      <c r="C1129" s="13"/>
      <c r="D1129" s="13"/>
      <c r="E1129" s="13"/>
      <c r="F1129" s="13"/>
      <c r="G1129" s="13"/>
      <c r="H1129" s="13"/>
      <c r="I1129" s="13"/>
      <c r="J1129" s="13"/>
      <c r="K1129" s="13"/>
      <c r="L1129" s="13"/>
      <c r="M1129" s="13"/>
      <c r="N1129" s="13"/>
      <c r="O1129" s="13"/>
      <c r="P1129" s="13"/>
      <c r="Q1129" s="13"/>
      <c r="R1129" s="13"/>
      <c r="S1129" s="13"/>
      <c r="T1129" s="13"/>
      <c r="U1129" s="13"/>
      <c r="V1129" s="13"/>
      <c r="W1129" s="13"/>
      <c r="X1129" s="13"/>
      <c r="Y1129" s="13"/>
      <c r="Z1129" s="13"/>
      <c r="AA1129" s="13"/>
      <c r="AB1129" s="13"/>
      <c r="AM1129" s="6"/>
      <c r="AN1129" s="6"/>
      <c r="AO1129" s="6"/>
      <c r="AP1129" s="6"/>
      <c r="AQ1129" s="6"/>
      <c r="AR1129" s="6"/>
      <c r="AS1129" s="6"/>
      <c r="AT1129" s="6"/>
      <c r="AU1129" s="6"/>
      <c r="AV1129" s="6"/>
      <c r="AW1129" s="6"/>
      <c r="AX1129" s="6"/>
      <c r="AY1129" s="6"/>
      <c r="AZ1129" s="6"/>
      <c r="BA1129" s="6"/>
      <c r="BB1129" s="6"/>
      <c r="BC1129" s="6"/>
      <c r="BD1129" s="6"/>
      <c r="BE1129" s="6"/>
      <c r="BF1129" s="6"/>
      <c r="BG1129" s="6"/>
      <c r="BH1129" s="6"/>
      <c r="BI1129" s="6"/>
      <c r="BJ1129" s="6"/>
      <c r="BK1129" s="6"/>
      <c r="BL1129" s="6"/>
      <c r="BM1129" s="6"/>
      <c r="BN1129" s="6"/>
      <c r="BO1129" s="6"/>
      <c r="BP1129" s="6"/>
      <c r="BQ1129" s="6"/>
    </row>
    <row r="1130" spans="2:69" hidden="1" x14ac:dyDescent="0.2">
      <c r="B1130" s="13"/>
      <c r="C1130" s="13"/>
      <c r="D1130" s="13"/>
      <c r="E1130" s="13"/>
      <c r="F1130" s="13"/>
      <c r="G1130" s="13"/>
      <c r="H1130" s="13"/>
      <c r="I1130" s="13"/>
      <c r="J1130" s="13"/>
      <c r="K1130" s="13"/>
      <c r="L1130" s="13"/>
      <c r="M1130" s="13"/>
      <c r="N1130" s="13"/>
      <c r="O1130" s="13"/>
      <c r="P1130" s="13"/>
      <c r="Q1130" s="13"/>
      <c r="R1130" s="13"/>
      <c r="S1130" s="13"/>
      <c r="T1130" s="13"/>
      <c r="U1130" s="13"/>
      <c r="V1130" s="13"/>
      <c r="W1130" s="13"/>
      <c r="X1130" s="13"/>
      <c r="Y1130" s="13"/>
      <c r="Z1130" s="13"/>
      <c r="AA1130" s="13"/>
      <c r="AB1130" s="13"/>
      <c r="AM1130" s="6"/>
      <c r="AN1130" s="6"/>
      <c r="AO1130" s="6"/>
      <c r="AP1130" s="6"/>
      <c r="AQ1130" s="6"/>
      <c r="AR1130" s="6"/>
      <c r="AS1130" s="6"/>
      <c r="AT1130" s="6"/>
      <c r="AU1130" s="6"/>
      <c r="AV1130" s="6"/>
      <c r="AW1130" s="6"/>
      <c r="AX1130" s="6"/>
      <c r="AY1130" s="6"/>
      <c r="AZ1130" s="6"/>
      <c r="BA1130" s="6"/>
      <c r="BB1130" s="6"/>
      <c r="BC1130" s="6"/>
      <c r="BD1130" s="6"/>
      <c r="BE1130" s="6"/>
      <c r="BF1130" s="6"/>
      <c r="BG1130" s="6"/>
      <c r="BH1130" s="6"/>
      <c r="BI1130" s="6"/>
      <c r="BJ1130" s="6"/>
      <c r="BK1130" s="6"/>
      <c r="BL1130" s="6"/>
      <c r="BM1130" s="6"/>
      <c r="BN1130" s="6"/>
      <c r="BO1130" s="6"/>
      <c r="BP1130" s="6"/>
      <c r="BQ1130" s="6"/>
    </row>
    <row r="1131" spans="2:69" hidden="1" x14ac:dyDescent="0.2">
      <c r="B1131" s="13"/>
      <c r="C1131" s="13"/>
      <c r="D1131" s="13"/>
      <c r="E1131" s="13"/>
      <c r="F1131" s="13"/>
      <c r="G1131" s="13"/>
      <c r="H1131" s="13"/>
      <c r="I1131" s="13"/>
      <c r="J1131" s="13"/>
      <c r="K1131" s="13"/>
      <c r="L1131" s="13"/>
      <c r="M1131" s="13"/>
      <c r="N1131" s="13"/>
      <c r="O1131" s="13"/>
      <c r="P1131" s="13"/>
      <c r="Q1131" s="13"/>
      <c r="R1131" s="13"/>
      <c r="S1131" s="13"/>
      <c r="T1131" s="13"/>
      <c r="U1131" s="13"/>
      <c r="V1131" s="13"/>
      <c r="W1131" s="13"/>
      <c r="X1131" s="13"/>
      <c r="Y1131" s="13"/>
      <c r="Z1131" s="13"/>
      <c r="AA1131" s="13"/>
      <c r="AB1131" s="13"/>
      <c r="AM1131" s="6"/>
      <c r="AN1131" s="6"/>
      <c r="AO1131" s="6"/>
      <c r="AP1131" s="6"/>
      <c r="AQ1131" s="6"/>
      <c r="AR1131" s="6"/>
      <c r="AS1131" s="6"/>
      <c r="AT1131" s="6"/>
      <c r="AU1131" s="6"/>
      <c r="AV1131" s="6"/>
      <c r="AW1131" s="6"/>
      <c r="AX1131" s="6"/>
      <c r="AY1131" s="6"/>
      <c r="AZ1131" s="6"/>
      <c r="BA1131" s="6"/>
      <c r="BB1131" s="6"/>
      <c r="BC1131" s="6"/>
      <c r="BD1131" s="6"/>
      <c r="BE1131" s="6"/>
      <c r="BF1131" s="6"/>
      <c r="BG1131" s="6"/>
      <c r="BH1131" s="6"/>
      <c r="BI1131" s="6"/>
      <c r="BJ1131" s="6"/>
      <c r="BK1131" s="6"/>
      <c r="BL1131" s="6"/>
      <c r="BM1131" s="6"/>
      <c r="BN1131" s="6"/>
      <c r="BO1131" s="6"/>
      <c r="BP1131" s="6"/>
      <c r="BQ1131" s="6"/>
    </row>
    <row r="1132" spans="2:69" hidden="1" x14ac:dyDescent="0.2">
      <c r="B1132" s="13"/>
      <c r="C1132" s="13"/>
      <c r="D1132" s="13"/>
      <c r="E1132" s="13"/>
      <c r="F1132" s="13"/>
      <c r="G1132" s="13"/>
      <c r="H1132" s="13"/>
      <c r="I1132" s="13"/>
      <c r="J1132" s="13"/>
      <c r="K1132" s="13"/>
      <c r="L1132" s="13"/>
      <c r="M1132" s="13"/>
      <c r="N1132" s="13"/>
      <c r="O1132" s="13"/>
      <c r="P1132" s="13"/>
      <c r="Q1132" s="13"/>
      <c r="R1132" s="13"/>
      <c r="S1132" s="13"/>
      <c r="T1132" s="13"/>
      <c r="U1132" s="13"/>
      <c r="V1132" s="13"/>
      <c r="W1132" s="13"/>
      <c r="X1132" s="13"/>
      <c r="Y1132" s="13"/>
      <c r="Z1132" s="13"/>
      <c r="AA1132" s="13"/>
      <c r="AB1132" s="13"/>
      <c r="AM1132" s="6"/>
      <c r="AN1132" s="6"/>
      <c r="AO1132" s="6"/>
      <c r="AP1132" s="6"/>
      <c r="AQ1132" s="6"/>
      <c r="AR1132" s="6"/>
      <c r="AS1132" s="6"/>
      <c r="AT1132" s="6"/>
      <c r="AU1132" s="6"/>
      <c r="AV1132" s="6"/>
      <c r="AW1132" s="6"/>
      <c r="AX1132" s="6"/>
      <c r="AY1132" s="6"/>
      <c r="AZ1132" s="6"/>
      <c r="BA1132" s="6"/>
      <c r="BB1132" s="6"/>
      <c r="BC1132" s="6"/>
      <c r="BD1132" s="6"/>
      <c r="BE1132" s="6"/>
      <c r="BF1132" s="6"/>
      <c r="BG1132" s="6"/>
      <c r="BH1132" s="6"/>
      <c r="BI1132" s="6"/>
      <c r="BJ1132" s="6"/>
      <c r="BK1132" s="6"/>
      <c r="BL1132" s="6"/>
      <c r="BM1132" s="6"/>
      <c r="BN1132" s="6"/>
      <c r="BO1132" s="6"/>
      <c r="BP1132" s="6"/>
      <c r="BQ1132" s="6"/>
    </row>
    <row r="1133" spans="2:69" hidden="1" x14ac:dyDescent="0.2">
      <c r="B1133" s="13"/>
      <c r="C1133" s="13"/>
      <c r="D1133" s="13"/>
      <c r="E1133" s="13"/>
      <c r="F1133" s="13"/>
      <c r="G1133" s="13"/>
      <c r="H1133" s="13"/>
      <c r="I1133" s="13"/>
      <c r="J1133" s="13"/>
      <c r="K1133" s="13"/>
      <c r="L1133" s="13"/>
      <c r="M1133" s="13"/>
      <c r="N1133" s="13"/>
      <c r="O1133" s="13"/>
      <c r="P1133" s="13"/>
      <c r="Q1133" s="13"/>
      <c r="R1133" s="13"/>
      <c r="S1133" s="13"/>
      <c r="T1133" s="13"/>
      <c r="U1133" s="13"/>
      <c r="V1133" s="13"/>
      <c r="W1133" s="13"/>
      <c r="X1133" s="13"/>
      <c r="Y1133" s="13"/>
      <c r="Z1133" s="13"/>
      <c r="AA1133" s="13"/>
      <c r="AB1133" s="13"/>
      <c r="AM1133" s="6"/>
      <c r="AN1133" s="6"/>
      <c r="AO1133" s="6"/>
      <c r="AP1133" s="6"/>
      <c r="AQ1133" s="6"/>
      <c r="AR1133" s="6"/>
      <c r="AS1133" s="6"/>
      <c r="AT1133" s="6"/>
      <c r="AU1133" s="6"/>
      <c r="AV1133" s="6"/>
      <c r="AW1133" s="6"/>
      <c r="AX1133" s="6"/>
      <c r="AY1133" s="6"/>
      <c r="AZ1133" s="6"/>
      <c r="BA1133" s="6"/>
      <c r="BB1133" s="6"/>
      <c r="BC1133" s="6"/>
      <c r="BD1133" s="6"/>
      <c r="BE1133" s="6"/>
      <c r="BF1133" s="6"/>
      <c r="BG1133" s="6"/>
      <c r="BH1133" s="6"/>
      <c r="BI1133" s="6"/>
      <c r="BJ1133" s="6"/>
      <c r="BK1133" s="6"/>
      <c r="BL1133" s="6"/>
      <c r="BM1133" s="6"/>
      <c r="BN1133" s="6"/>
      <c r="BO1133" s="6"/>
      <c r="BP1133" s="6"/>
      <c r="BQ1133" s="6"/>
    </row>
    <row r="1134" spans="2:69" hidden="1" x14ac:dyDescent="0.2">
      <c r="B1134" s="13"/>
      <c r="C1134" s="13"/>
      <c r="D1134" s="13"/>
      <c r="E1134" s="13"/>
      <c r="F1134" s="13"/>
      <c r="G1134" s="13"/>
      <c r="H1134" s="13"/>
      <c r="I1134" s="13"/>
      <c r="J1134" s="13"/>
      <c r="K1134" s="13"/>
      <c r="L1134" s="13"/>
      <c r="M1134" s="13"/>
      <c r="N1134" s="13"/>
      <c r="O1134" s="13"/>
      <c r="P1134" s="13"/>
      <c r="Q1134" s="13"/>
      <c r="R1134" s="13"/>
      <c r="S1134" s="13"/>
      <c r="T1134" s="13"/>
      <c r="U1134" s="13"/>
      <c r="V1134" s="13"/>
      <c r="W1134" s="13"/>
      <c r="X1134" s="13"/>
      <c r="Y1134" s="13"/>
      <c r="Z1134" s="13"/>
      <c r="AA1134" s="13"/>
      <c r="AB1134" s="13"/>
      <c r="AM1134" s="6"/>
      <c r="AN1134" s="6"/>
      <c r="AO1134" s="6"/>
      <c r="AP1134" s="6"/>
      <c r="AQ1134" s="6"/>
      <c r="AR1134" s="6"/>
      <c r="AS1134" s="6"/>
      <c r="AT1134" s="6"/>
      <c r="AU1134" s="6"/>
      <c r="AV1134" s="6"/>
      <c r="AW1134" s="6"/>
      <c r="AX1134" s="6"/>
      <c r="AY1134" s="6"/>
      <c r="AZ1134" s="6"/>
      <c r="BA1134" s="6"/>
      <c r="BB1134" s="6"/>
      <c r="BC1134" s="6"/>
      <c r="BD1134" s="6"/>
      <c r="BE1134" s="6"/>
      <c r="BF1134" s="6"/>
      <c r="BG1134" s="6"/>
      <c r="BH1134" s="6"/>
      <c r="BI1134" s="6"/>
      <c r="BJ1134" s="6"/>
      <c r="BK1134" s="6"/>
      <c r="BL1134" s="6"/>
      <c r="BM1134" s="6"/>
      <c r="BN1134" s="6"/>
      <c r="BO1134" s="6"/>
      <c r="BP1134" s="6"/>
      <c r="BQ1134" s="6"/>
    </row>
    <row r="1135" spans="2:69" hidden="1" x14ac:dyDescent="0.2">
      <c r="B1135" s="13"/>
      <c r="C1135" s="13"/>
      <c r="D1135" s="13"/>
      <c r="E1135" s="13"/>
      <c r="F1135" s="13"/>
      <c r="G1135" s="13"/>
      <c r="H1135" s="13"/>
      <c r="I1135" s="13"/>
      <c r="J1135" s="13"/>
      <c r="K1135" s="13"/>
      <c r="L1135" s="13"/>
      <c r="M1135" s="13"/>
      <c r="N1135" s="13"/>
      <c r="O1135" s="13"/>
      <c r="P1135" s="13"/>
      <c r="Q1135" s="13"/>
      <c r="R1135" s="13"/>
      <c r="S1135" s="13"/>
      <c r="T1135" s="13"/>
      <c r="U1135" s="13"/>
      <c r="V1135" s="13"/>
      <c r="W1135" s="13"/>
      <c r="X1135" s="13"/>
      <c r="Y1135" s="13"/>
      <c r="Z1135" s="13"/>
      <c r="AA1135" s="13"/>
      <c r="AB1135" s="13"/>
      <c r="AM1135" s="6"/>
      <c r="AN1135" s="6"/>
      <c r="AO1135" s="6"/>
      <c r="AP1135" s="6"/>
      <c r="AQ1135" s="6"/>
      <c r="AR1135" s="6"/>
      <c r="AS1135" s="6"/>
      <c r="AT1135" s="6"/>
      <c r="AU1135" s="6"/>
      <c r="AV1135" s="6"/>
      <c r="AW1135" s="6"/>
      <c r="AX1135" s="6"/>
      <c r="AY1135" s="6"/>
      <c r="AZ1135" s="6"/>
      <c r="BA1135" s="6"/>
      <c r="BB1135" s="6"/>
      <c r="BC1135" s="6"/>
      <c r="BD1135" s="6"/>
      <c r="BE1135" s="6"/>
      <c r="BF1135" s="6"/>
      <c r="BG1135" s="6"/>
      <c r="BH1135" s="6"/>
      <c r="BI1135" s="6"/>
      <c r="BJ1135" s="6"/>
      <c r="BK1135" s="6"/>
      <c r="BL1135" s="6"/>
      <c r="BM1135" s="6"/>
      <c r="BN1135" s="6"/>
      <c r="BO1135" s="6"/>
      <c r="BP1135" s="6"/>
      <c r="BQ1135" s="6"/>
    </row>
    <row r="1136" spans="2:69" hidden="1" x14ac:dyDescent="0.2">
      <c r="B1136" s="13"/>
      <c r="C1136" s="13"/>
      <c r="D1136" s="13"/>
      <c r="E1136" s="13"/>
      <c r="F1136" s="13"/>
      <c r="G1136" s="13"/>
      <c r="H1136" s="13"/>
      <c r="I1136" s="13"/>
      <c r="J1136" s="13"/>
      <c r="K1136" s="13"/>
      <c r="L1136" s="13"/>
      <c r="M1136" s="13"/>
      <c r="N1136" s="13"/>
      <c r="O1136" s="13"/>
      <c r="P1136" s="13"/>
      <c r="Q1136" s="13"/>
      <c r="R1136" s="13"/>
      <c r="S1136" s="13"/>
      <c r="T1136" s="13"/>
      <c r="U1136" s="13"/>
      <c r="V1136" s="13"/>
      <c r="W1136" s="13"/>
      <c r="X1136" s="13"/>
      <c r="Y1136" s="13"/>
      <c r="Z1136" s="13"/>
      <c r="AA1136" s="13"/>
      <c r="AB1136" s="13"/>
      <c r="AM1136" s="6"/>
      <c r="AN1136" s="6"/>
      <c r="AO1136" s="6"/>
      <c r="AP1136" s="6"/>
      <c r="AQ1136" s="6"/>
      <c r="AR1136" s="6"/>
      <c r="AS1136" s="6"/>
      <c r="AT1136" s="6"/>
      <c r="AU1136" s="6"/>
      <c r="AV1136" s="6"/>
      <c r="AW1136" s="6"/>
      <c r="AX1136" s="6"/>
      <c r="AY1136" s="6"/>
      <c r="AZ1136" s="6"/>
      <c r="BA1136" s="6"/>
      <c r="BB1136" s="6"/>
      <c r="BC1136" s="6"/>
      <c r="BD1136" s="6"/>
      <c r="BE1136" s="6"/>
      <c r="BF1136" s="6"/>
      <c r="BG1136" s="6"/>
      <c r="BH1136" s="6"/>
      <c r="BI1136" s="6"/>
      <c r="BJ1136" s="6"/>
      <c r="BK1136" s="6"/>
      <c r="BL1136" s="6"/>
      <c r="BM1136" s="6"/>
      <c r="BN1136" s="6"/>
      <c r="BO1136" s="6"/>
      <c r="BP1136" s="6"/>
      <c r="BQ1136" s="6"/>
    </row>
    <row r="1137" spans="2:69" hidden="1" x14ac:dyDescent="0.2">
      <c r="B1137" s="13"/>
      <c r="C1137" s="13"/>
      <c r="D1137" s="13"/>
      <c r="E1137" s="13"/>
      <c r="F1137" s="13"/>
      <c r="G1137" s="13"/>
      <c r="H1137" s="13"/>
      <c r="I1137" s="13"/>
      <c r="J1137" s="13"/>
      <c r="K1137" s="13"/>
      <c r="L1137" s="13"/>
      <c r="M1137" s="13"/>
      <c r="N1137" s="13"/>
      <c r="O1137" s="13"/>
      <c r="P1137" s="13"/>
      <c r="Q1137" s="13"/>
      <c r="R1137" s="13"/>
      <c r="S1137" s="13"/>
      <c r="T1137" s="13"/>
      <c r="U1137" s="13"/>
      <c r="V1137" s="13"/>
      <c r="W1137" s="13"/>
      <c r="X1137" s="13"/>
      <c r="Y1137" s="13"/>
      <c r="Z1137" s="13"/>
      <c r="AA1137" s="13"/>
      <c r="AB1137" s="13"/>
      <c r="AM1137" s="6"/>
      <c r="AN1137" s="6"/>
      <c r="AO1137" s="6"/>
      <c r="AP1137" s="6"/>
      <c r="AQ1137" s="6"/>
      <c r="AR1137" s="6"/>
      <c r="AS1137" s="6"/>
      <c r="AT1137" s="6"/>
      <c r="AU1137" s="6"/>
      <c r="AV1137" s="6"/>
      <c r="AW1137" s="6"/>
      <c r="AX1137" s="6"/>
      <c r="AY1137" s="6"/>
      <c r="AZ1137" s="6"/>
      <c r="BA1137" s="6"/>
      <c r="BB1137" s="6"/>
      <c r="BC1137" s="6"/>
      <c r="BD1137" s="6"/>
      <c r="BE1137" s="6"/>
      <c r="BF1137" s="6"/>
      <c r="BG1137" s="6"/>
      <c r="BH1137" s="6"/>
      <c r="BI1137" s="6"/>
      <c r="BJ1137" s="6"/>
      <c r="BK1137" s="6"/>
      <c r="BL1137" s="6"/>
      <c r="BM1137" s="6"/>
      <c r="BN1137" s="6"/>
      <c r="BO1137" s="6"/>
      <c r="BP1137" s="6"/>
      <c r="BQ1137" s="6"/>
    </row>
    <row r="1138" spans="2:69" hidden="1" x14ac:dyDescent="0.2">
      <c r="B1138" s="13"/>
      <c r="C1138" s="13"/>
      <c r="D1138" s="13"/>
      <c r="E1138" s="13"/>
      <c r="F1138" s="13"/>
      <c r="G1138" s="13"/>
      <c r="H1138" s="13"/>
      <c r="I1138" s="13"/>
      <c r="J1138" s="13"/>
      <c r="K1138" s="13"/>
      <c r="L1138" s="13"/>
      <c r="M1138" s="13"/>
      <c r="N1138" s="13"/>
      <c r="O1138" s="13"/>
      <c r="P1138" s="13"/>
      <c r="Q1138" s="13"/>
      <c r="R1138" s="13"/>
      <c r="S1138" s="13"/>
      <c r="T1138" s="13"/>
      <c r="U1138" s="13"/>
      <c r="V1138" s="13"/>
      <c r="W1138" s="13"/>
      <c r="X1138" s="13"/>
      <c r="Y1138" s="13"/>
      <c r="Z1138" s="13"/>
      <c r="AA1138" s="13"/>
      <c r="AB1138" s="13"/>
      <c r="AM1138" s="6"/>
      <c r="AN1138" s="6"/>
      <c r="AO1138" s="6"/>
      <c r="AP1138" s="6"/>
      <c r="AQ1138" s="6"/>
      <c r="AR1138" s="6"/>
      <c r="AS1138" s="6"/>
      <c r="AT1138" s="6"/>
      <c r="AU1138" s="6"/>
      <c r="AV1138" s="6"/>
      <c r="AW1138" s="6"/>
      <c r="AX1138" s="6"/>
      <c r="AY1138" s="6"/>
      <c r="AZ1138" s="6"/>
      <c r="BA1138" s="6"/>
      <c r="BB1138" s="6"/>
      <c r="BC1138" s="6"/>
      <c r="BD1138" s="6"/>
      <c r="BE1138" s="6"/>
      <c r="BF1138" s="6"/>
      <c r="BG1138" s="6"/>
      <c r="BH1138" s="6"/>
      <c r="BI1138" s="6"/>
      <c r="BJ1138" s="6"/>
      <c r="BK1138" s="6"/>
      <c r="BL1138" s="6"/>
      <c r="BM1138" s="6"/>
      <c r="BN1138" s="6"/>
      <c r="BO1138" s="6"/>
      <c r="BP1138" s="6"/>
      <c r="BQ1138" s="6"/>
    </row>
    <row r="1139" spans="2:69" hidden="1" x14ac:dyDescent="0.2">
      <c r="B1139" s="13"/>
      <c r="C1139" s="13"/>
      <c r="D1139" s="13"/>
      <c r="E1139" s="13"/>
      <c r="F1139" s="13"/>
      <c r="G1139" s="13"/>
      <c r="H1139" s="13"/>
      <c r="I1139" s="13"/>
      <c r="J1139" s="13"/>
      <c r="K1139" s="13"/>
      <c r="L1139" s="13"/>
      <c r="M1139" s="13"/>
      <c r="N1139" s="13"/>
      <c r="O1139" s="13"/>
      <c r="P1139" s="13"/>
      <c r="Q1139" s="13"/>
      <c r="R1139" s="13"/>
      <c r="S1139" s="13"/>
      <c r="T1139" s="13"/>
      <c r="U1139" s="13"/>
      <c r="V1139" s="13"/>
      <c r="W1139" s="13"/>
      <c r="X1139" s="13"/>
      <c r="Y1139" s="13"/>
      <c r="Z1139" s="13"/>
      <c r="AA1139" s="13"/>
      <c r="AB1139" s="13"/>
      <c r="AM1139" s="6"/>
      <c r="AN1139" s="6"/>
      <c r="AO1139" s="6"/>
      <c r="AP1139" s="6"/>
      <c r="AQ1139" s="6"/>
      <c r="AR1139" s="6"/>
      <c r="AS1139" s="6"/>
      <c r="AT1139" s="6"/>
      <c r="AU1139" s="6"/>
      <c r="AV1139" s="6"/>
      <c r="AW1139" s="6"/>
      <c r="AX1139" s="6"/>
      <c r="AY1139" s="6"/>
      <c r="AZ1139" s="6"/>
      <c r="BA1139" s="6"/>
      <c r="BB1139" s="6"/>
      <c r="BC1139" s="6"/>
      <c r="BD1139" s="6"/>
      <c r="BE1139" s="6"/>
      <c r="BF1139" s="6"/>
      <c r="BG1139" s="6"/>
      <c r="BH1139" s="6"/>
      <c r="BI1139" s="6"/>
      <c r="BJ1139" s="6"/>
      <c r="BK1139" s="6"/>
      <c r="BL1139" s="6"/>
      <c r="BM1139" s="6"/>
      <c r="BN1139" s="6"/>
      <c r="BO1139" s="6"/>
      <c r="BP1139" s="6"/>
      <c r="BQ1139" s="6"/>
    </row>
    <row r="1140" spans="2:69" hidden="1" x14ac:dyDescent="0.2">
      <c r="B1140" s="13"/>
      <c r="C1140" s="13"/>
      <c r="D1140" s="13"/>
      <c r="E1140" s="13"/>
      <c r="F1140" s="13"/>
      <c r="G1140" s="13"/>
      <c r="H1140" s="13"/>
      <c r="I1140" s="13"/>
      <c r="J1140" s="13"/>
      <c r="K1140" s="13"/>
      <c r="L1140" s="13"/>
      <c r="M1140" s="13"/>
      <c r="N1140" s="13"/>
      <c r="O1140" s="13"/>
      <c r="P1140" s="13"/>
      <c r="Q1140" s="13"/>
      <c r="R1140" s="13"/>
      <c r="S1140" s="13"/>
      <c r="T1140" s="13"/>
      <c r="U1140" s="13"/>
      <c r="V1140" s="13"/>
      <c r="W1140" s="13"/>
      <c r="X1140" s="13"/>
      <c r="Y1140" s="13"/>
      <c r="Z1140" s="13"/>
      <c r="AA1140" s="13"/>
      <c r="AB1140" s="13"/>
      <c r="AM1140" s="6"/>
      <c r="AN1140" s="6"/>
      <c r="AO1140" s="6"/>
      <c r="AP1140" s="6"/>
      <c r="AQ1140" s="6"/>
      <c r="AR1140" s="6"/>
      <c r="AS1140" s="6"/>
      <c r="AT1140" s="6"/>
      <c r="AU1140" s="6"/>
      <c r="AV1140" s="6"/>
      <c r="AW1140" s="6"/>
      <c r="AX1140" s="6"/>
      <c r="AY1140" s="6"/>
      <c r="AZ1140" s="6"/>
      <c r="BA1140" s="6"/>
      <c r="BB1140" s="6"/>
      <c r="BC1140" s="6"/>
      <c r="BD1140" s="6"/>
      <c r="BE1140" s="6"/>
      <c r="BF1140" s="6"/>
      <c r="BG1140" s="6"/>
      <c r="BH1140" s="6"/>
      <c r="BI1140" s="6"/>
      <c r="BJ1140" s="6"/>
      <c r="BK1140" s="6"/>
      <c r="BL1140" s="6"/>
      <c r="BM1140" s="6"/>
      <c r="BN1140" s="6"/>
      <c r="BO1140" s="6"/>
      <c r="BP1140" s="6"/>
      <c r="BQ1140" s="6"/>
    </row>
    <row r="1141" spans="2:69" hidden="1" x14ac:dyDescent="0.2">
      <c r="B1141" s="13"/>
      <c r="C1141" s="13"/>
      <c r="D1141" s="13"/>
      <c r="E1141" s="13"/>
      <c r="F1141" s="13"/>
      <c r="G1141" s="13"/>
      <c r="H1141" s="13"/>
      <c r="I1141" s="13"/>
      <c r="J1141" s="13"/>
      <c r="K1141" s="13"/>
      <c r="L1141" s="13"/>
      <c r="M1141" s="13"/>
      <c r="N1141" s="13"/>
      <c r="O1141" s="13"/>
      <c r="P1141" s="13"/>
      <c r="Q1141" s="13"/>
      <c r="R1141" s="13"/>
      <c r="S1141" s="13"/>
      <c r="T1141" s="13"/>
      <c r="U1141" s="13"/>
      <c r="V1141" s="13"/>
      <c r="W1141" s="13"/>
      <c r="X1141" s="13"/>
      <c r="Y1141" s="13"/>
      <c r="Z1141" s="13"/>
      <c r="AA1141" s="13"/>
      <c r="AB1141" s="13"/>
      <c r="AM1141" s="6"/>
      <c r="AN1141" s="6"/>
      <c r="AO1141" s="6"/>
      <c r="AP1141" s="6"/>
      <c r="AQ1141" s="6"/>
      <c r="AR1141" s="6"/>
      <c r="AS1141" s="6"/>
      <c r="AT1141" s="6"/>
      <c r="AU1141" s="6"/>
      <c r="AV1141" s="6"/>
      <c r="AW1141" s="6"/>
      <c r="AX1141" s="6"/>
      <c r="AY1141" s="6"/>
      <c r="AZ1141" s="6"/>
      <c r="BA1141" s="6"/>
      <c r="BB1141" s="6"/>
      <c r="BC1141" s="6"/>
      <c r="BD1141" s="6"/>
      <c r="BE1141" s="6"/>
      <c r="BF1141" s="6"/>
      <c r="BG1141" s="6"/>
      <c r="BH1141" s="6"/>
      <c r="BI1141" s="6"/>
      <c r="BJ1141" s="6"/>
      <c r="BK1141" s="6"/>
      <c r="BL1141" s="6"/>
      <c r="BM1141" s="6"/>
      <c r="BN1141" s="6"/>
      <c r="BO1141" s="6"/>
      <c r="BP1141" s="6"/>
      <c r="BQ1141" s="6"/>
    </row>
    <row r="1142" spans="2:69" hidden="1" x14ac:dyDescent="0.2">
      <c r="B1142" s="13"/>
      <c r="C1142" s="13"/>
      <c r="D1142" s="13"/>
      <c r="E1142" s="13"/>
      <c r="F1142" s="13"/>
      <c r="G1142" s="13"/>
      <c r="H1142" s="13"/>
      <c r="I1142" s="13"/>
      <c r="J1142" s="13"/>
      <c r="K1142" s="13"/>
      <c r="L1142" s="13"/>
      <c r="M1142" s="13"/>
      <c r="N1142" s="13"/>
      <c r="O1142" s="13"/>
      <c r="P1142" s="13"/>
      <c r="Q1142" s="13"/>
      <c r="R1142" s="13"/>
      <c r="S1142" s="13"/>
      <c r="T1142" s="13"/>
      <c r="U1142" s="13"/>
      <c r="V1142" s="13"/>
      <c r="W1142" s="13"/>
      <c r="X1142" s="13"/>
      <c r="Y1142" s="13"/>
      <c r="Z1142" s="13"/>
      <c r="AA1142" s="13"/>
      <c r="AB1142" s="13"/>
      <c r="AM1142" s="6"/>
      <c r="AN1142" s="6"/>
      <c r="AO1142" s="6"/>
      <c r="AP1142" s="6"/>
      <c r="AQ1142" s="6"/>
      <c r="AR1142" s="6"/>
      <c r="AS1142" s="6"/>
      <c r="AT1142" s="6"/>
      <c r="AU1142" s="6"/>
      <c r="AV1142" s="6"/>
      <c r="AW1142" s="6"/>
      <c r="AX1142" s="6"/>
      <c r="AY1142" s="6"/>
      <c r="AZ1142" s="6"/>
      <c r="BA1142" s="6"/>
      <c r="BB1142" s="6"/>
      <c r="BC1142" s="6"/>
      <c r="BD1142" s="6"/>
      <c r="BE1142" s="6"/>
      <c r="BF1142" s="6"/>
      <c r="BG1142" s="6"/>
      <c r="BH1142" s="6"/>
      <c r="BI1142" s="6"/>
      <c r="BJ1142" s="6"/>
      <c r="BK1142" s="6"/>
      <c r="BL1142" s="6"/>
      <c r="BM1142" s="6"/>
      <c r="BN1142" s="6"/>
      <c r="BO1142" s="6"/>
      <c r="BP1142" s="6"/>
      <c r="BQ1142" s="6"/>
    </row>
    <row r="1143" spans="2:69" hidden="1" x14ac:dyDescent="0.2">
      <c r="B1143" s="13"/>
      <c r="C1143" s="13"/>
      <c r="D1143" s="13"/>
      <c r="E1143" s="13"/>
      <c r="F1143" s="13"/>
      <c r="G1143" s="13"/>
      <c r="H1143" s="13"/>
      <c r="I1143" s="13"/>
      <c r="J1143" s="13"/>
      <c r="K1143" s="13"/>
      <c r="L1143" s="13"/>
      <c r="M1143" s="13"/>
      <c r="N1143" s="13"/>
      <c r="O1143" s="13"/>
      <c r="P1143" s="13"/>
      <c r="Q1143" s="13"/>
      <c r="R1143" s="13"/>
      <c r="S1143" s="13"/>
      <c r="T1143" s="13"/>
      <c r="U1143" s="13"/>
      <c r="V1143" s="13"/>
      <c r="W1143" s="13"/>
      <c r="X1143" s="13"/>
      <c r="Y1143" s="13"/>
      <c r="Z1143" s="13"/>
      <c r="AA1143" s="13"/>
      <c r="AB1143" s="13"/>
      <c r="AM1143" s="6"/>
      <c r="AN1143" s="6"/>
      <c r="AO1143" s="6"/>
      <c r="AP1143" s="6"/>
      <c r="AQ1143" s="6"/>
      <c r="AR1143" s="6"/>
      <c r="AS1143" s="6"/>
      <c r="AT1143" s="6"/>
      <c r="AU1143" s="6"/>
      <c r="AV1143" s="6"/>
      <c r="AW1143" s="6"/>
      <c r="AX1143" s="6"/>
      <c r="AY1143" s="6"/>
      <c r="AZ1143" s="6"/>
      <c r="BA1143" s="6"/>
      <c r="BB1143" s="6"/>
      <c r="BC1143" s="6"/>
      <c r="BD1143" s="6"/>
      <c r="BE1143" s="6"/>
      <c r="BF1143" s="6"/>
      <c r="BG1143" s="6"/>
      <c r="BH1143" s="6"/>
      <c r="BI1143" s="6"/>
      <c r="BJ1143" s="6"/>
      <c r="BK1143" s="6"/>
      <c r="BL1143" s="6"/>
      <c r="BM1143" s="6"/>
      <c r="BN1143" s="6"/>
      <c r="BO1143" s="6"/>
      <c r="BP1143" s="6"/>
      <c r="BQ1143" s="6"/>
    </row>
    <row r="1144" spans="2:69" hidden="1" x14ac:dyDescent="0.2">
      <c r="B1144" s="13"/>
      <c r="C1144" s="13"/>
      <c r="D1144" s="13"/>
      <c r="E1144" s="13"/>
      <c r="F1144" s="13"/>
      <c r="G1144" s="13"/>
      <c r="H1144" s="13"/>
      <c r="I1144" s="13"/>
      <c r="J1144" s="13"/>
      <c r="K1144" s="13"/>
      <c r="L1144" s="13"/>
      <c r="M1144" s="13"/>
      <c r="N1144" s="13"/>
      <c r="O1144" s="13"/>
      <c r="P1144" s="13"/>
      <c r="Q1144" s="13"/>
      <c r="R1144" s="13"/>
      <c r="S1144" s="13"/>
      <c r="T1144" s="13"/>
      <c r="U1144" s="13"/>
      <c r="V1144" s="13"/>
      <c r="W1144" s="13"/>
      <c r="X1144" s="13"/>
      <c r="Y1144" s="13"/>
      <c r="Z1144" s="13"/>
      <c r="AA1144" s="13"/>
      <c r="AB1144" s="13"/>
      <c r="AM1144" s="6"/>
      <c r="AN1144" s="6"/>
      <c r="AO1144" s="6"/>
      <c r="AP1144" s="6"/>
      <c r="AQ1144" s="6"/>
      <c r="AR1144" s="6"/>
      <c r="AS1144" s="6"/>
      <c r="AT1144" s="6"/>
      <c r="AU1144" s="6"/>
      <c r="AV1144" s="6"/>
      <c r="AW1144" s="6"/>
      <c r="AX1144" s="6"/>
      <c r="AY1144" s="6"/>
      <c r="AZ1144" s="6"/>
      <c r="BA1144" s="6"/>
      <c r="BB1144" s="6"/>
      <c r="BC1144" s="6"/>
      <c r="BD1144" s="6"/>
      <c r="BE1144" s="6"/>
      <c r="BF1144" s="6"/>
      <c r="BG1144" s="6"/>
      <c r="BH1144" s="6"/>
      <c r="BI1144" s="6"/>
      <c r="BJ1144" s="6"/>
      <c r="BK1144" s="6"/>
      <c r="BL1144" s="6"/>
      <c r="BM1144" s="6"/>
      <c r="BN1144" s="6"/>
      <c r="BO1144" s="6"/>
      <c r="BP1144" s="6"/>
      <c r="BQ1144" s="6"/>
    </row>
    <row r="1145" spans="2:69" hidden="1" x14ac:dyDescent="0.2">
      <c r="B1145" s="13"/>
      <c r="C1145" s="13"/>
      <c r="D1145" s="13"/>
      <c r="E1145" s="13"/>
      <c r="F1145" s="13"/>
      <c r="G1145" s="13"/>
      <c r="H1145" s="13"/>
      <c r="I1145" s="13"/>
      <c r="J1145" s="13"/>
      <c r="K1145" s="13"/>
      <c r="L1145" s="13"/>
      <c r="M1145" s="13"/>
      <c r="N1145" s="13"/>
      <c r="O1145" s="13"/>
      <c r="P1145" s="13"/>
      <c r="Q1145" s="13"/>
      <c r="R1145" s="13"/>
      <c r="S1145" s="13"/>
      <c r="T1145" s="13"/>
      <c r="U1145" s="13"/>
      <c r="V1145" s="13"/>
      <c r="W1145" s="13"/>
      <c r="X1145" s="13"/>
      <c r="Y1145" s="13"/>
      <c r="Z1145" s="13"/>
      <c r="AA1145" s="13"/>
      <c r="AB1145" s="13"/>
      <c r="AM1145" s="6"/>
      <c r="AN1145" s="6"/>
      <c r="AO1145" s="6"/>
      <c r="AP1145" s="6"/>
      <c r="AQ1145" s="6"/>
      <c r="AR1145" s="6"/>
      <c r="AS1145" s="6"/>
      <c r="AT1145" s="6"/>
      <c r="AU1145" s="6"/>
      <c r="AV1145" s="6"/>
      <c r="AW1145" s="6"/>
      <c r="AX1145" s="6"/>
      <c r="AY1145" s="6"/>
      <c r="AZ1145" s="6"/>
      <c r="BA1145" s="6"/>
      <c r="BB1145" s="6"/>
      <c r="BC1145" s="6"/>
      <c r="BD1145" s="6"/>
      <c r="BE1145" s="6"/>
      <c r="BF1145" s="6"/>
      <c r="BG1145" s="6"/>
      <c r="BH1145" s="6"/>
      <c r="BI1145" s="6"/>
      <c r="BJ1145" s="6"/>
      <c r="BK1145" s="6"/>
      <c r="BL1145" s="6"/>
      <c r="BM1145" s="6"/>
      <c r="BN1145" s="6"/>
      <c r="BO1145" s="6"/>
      <c r="BP1145" s="6"/>
      <c r="BQ1145" s="6"/>
    </row>
    <row r="1146" spans="2:69" hidden="1" x14ac:dyDescent="0.2">
      <c r="B1146" s="13"/>
      <c r="C1146" s="13"/>
      <c r="D1146" s="13"/>
      <c r="E1146" s="13"/>
      <c r="F1146" s="13"/>
      <c r="G1146" s="13"/>
      <c r="H1146" s="13"/>
      <c r="I1146" s="13"/>
      <c r="J1146" s="13"/>
      <c r="K1146" s="13"/>
      <c r="L1146" s="13"/>
      <c r="M1146" s="13"/>
      <c r="N1146" s="13"/>
      <c r="O1146" s="13"/>
      <c r="P1146" s="13"/>
      <c r="Q1146" s="13"/>
      <c r="R1146" s="13"/>
      <c r="S1146" s="13"/>
      <c r="T1146" s="13"/>
      <c r="U1146" s="13"/>
      <c r="V1146" s="13"/>
      <c r="W1146" s="13"/>
      <c r="X1146" s="13"/>
      <c r="Y1146" s="13"/>
      <c r="Z1146" s="13"/>
      <c r="AA1146" s="13"/>
      <c r="AB1146" s="13"/>
      <c r="AM1146" s="6"/>
      <c r="AN1146" s="6"/>
      <c r="AO1146" s="6"/>
      <c r="AP1146" s="6"/>
      <c r="AQ1146" s="6"/>
      <c r="AR1146" s="6"/>
      <c r="AS1146" s="6"/>
      <c r="AT1146" s="6"/>
      <c r="AU1146" s="6"/>
      <c r="AV1146" s="6"/>
      <c r="AW1146" s="6"/>
      <c r="AX1146" s="6"/>
      <c r="AY1146" s="6"/>
      <c r="AZ1146" s="6"/>
      <c r="BA1146" s="6"/>
      <c r="BB1146" s="6"/>
      <c r="BC1146" s="6"/>
      <c r="BD1146" s="6"/>
      <c r="BE1146" s="6"/>
      <c r="BF1146" s="6"/>
      <c r="BG1146" s="6"/>
      <c r="BH1146" s="6"/>
      <c r="BI1146" s="6"/>
      <c r="BJ1146" s="6"/>
      <c r="BK1146" s="6"/>
      <c r="BL1146" s="6"/>
      <c r="BM1146" s="6"/>
      <c r="BN1146" s="6"/>
      <c r="BO1146" s="6"/>
      <c r="BP1146" s="6"/>
      <c r="BQ1146" s="6"/>
    </row>
    <row r="1147" spans="2:69" hidden="1" x14ac:dyDescent="0.2">
      <c r="B1147" s="13"/>
      <c r="C1147" s="13"/>
      <c r="D1147" s="13"/>
      <c r="E1147" s="13"/>
      <c r="F1147" s="13"/>
      <c r="G1147" s="13"/>
      <c r="H1147" s="13"/>
      <c r="I1147" s="13"/>
      <c r="J1147" s="13"/>
      <c r="K1147" s="13"/>
      <c r="L1147" s="13"/>
      <c r="M1147" s="13"/>
      <c r="N1147" s="13"/>
      <c r="O1147" s="13"/>
      <c r="P1147" s="13"/>
      <c r="Q1147" s="13"/>
      <c r="R1147" s="13"/>
      <c r="S1147" s="13"/>
      <c r="T1147" s="13"/>
      <c r="U1147" s="13"/>
      <c r="V1147" s="13"/>
      <c r="W1147" s="13"/>
      <c r="X1147" s="13"/>
      <c r="Y1147" s="13"/>
      <c r="Z1147" s="13"/>
      <c r="AA1147" s="13"/>
      <c r="AB1147" s="13"/>
      <c r="AM1147" s="6"/>
      <c r="AN1147" s="6"/>
      <c r="AO1147" s="6"/>
      <c r="AP1147" s="6"/>
      <c r="AQ1147" s="6"/>
      <c r="AR1147" s="6"/>
      <c r="AS1147" s="6"/>
      <c r="AT1147" s="6"/>
      <c r="AU1147" s="6"/>
      <c r="AV1147" s="6"/>
      <c r="AW1147" s="6"/>
      <c r="AX1147" s="6"/>
      <c r="AY1147" s="6"/>
      <c r="AZ1147" s="6"/>
      <c r="BA1147" s="6"/>
      <c r="BB1147" s="6"/>
      <c r="BC1147" s="6"/>
      <c r="BD1147" s="6"/>
      <c r="BE1147" s="6"/>
      <c r="BF1147" s="6"/>
      <c r="BG1147" s="6"/>
      <c r="BH1147" s="6"/>
      <c r="BI1147" s="6"/>
      <c r="BJ1147" s="6"/>
      <c r="BK1147" s="6"/>
      <c r="BL1147" s="6"/>
      <c r="BM1147" s="6"/>
      <c r="BN1147" s="6"/>
      <c r="BO1147" s="6"/>
      <c r="BP1147" s="6"/>
      <c r="BQ1147" s="6"/>
    </row>
    <row r="1148" spans="2:69" hidden="1" x14ac:dyDescent="0.2">
      <c r="B1148" s="13"/>
      <c r="C1148" s="13"/>
      <c r="D1148" s="13"/>
      <c r="E1148" s="13"/>
      <c r="F1148" s="13"/>
      <c r="G1148" s="13"/>
      <c r="H1148" s="13"/>
      <c r="I1148" s="13"/>
      <c r="J1148" s="13"/>
      <c r="K1148" s="13"/>
      <c r="L1148" s="13"/>
      <c r="M1148" s="13"/>
      <c r="N1148" s="13"/>
      <c r="O1148" s="13"/>
      <c r="P1148" s="13"/>
      <c r="Q1148" s="13"/>
      <c r="R1148" s="13"/>
      <c r="S1148" s="13"/>
      <c r="T1148" s="13"/>
      <c r="U1148" s="13"/>
      <c r="V1148" s="13"/>
      <c r="W1148" s="13"/>
      <c r="X1148" s="13"/>
      <c r="Y1148" s="13"/>
      <c r="Z1148" s="13"/>
      <c r="AA1148" s="13"/>
      <c r="AB1148" s="13"/>
      <c r="AM1148" s="6"/>
      <c r="AN1148" s="6"/>
      <c r="AO1148" s="6"/>
      <c r="AP1148" s="6"/>
      <c r="AQ1148" s="6"/>
      <c r="AR1148" s="6"/>
      <c r="AS1148" s="6"/>
      <c r="AT1148" s="6"/>
      <c r="AU1148" s="6"/>
      <c r="AV1148" s="6"/>
      <c r="AW1148" s="6"/>
      <c r="AX1148" s="6"/>
      <c r="AY1148" s="6"/>
      <c r="AZ1148" s="6"/>
      <c r="BA1148" s="6"/>
      <c r="BB1148" s="6"/>
      <c r="BC1148" s="6"/>
      <c r="BD1148" s="6"/>
      <c r="BE1148" s="6"/>
      <c r="BF1148" s="6"/>
      <c r="BG1148" s="6"/>
      <c r="BH1148" s="6"/>
      <c r="BI1148" s="6"/>
      <c r="BJ1148" s="6"/>
      <c r="BK1148" s="6"/>
      <c r="BL1148" s="6"/>
      <c r="BM1148" s="6"/>
      <c r="BN1148" s="6"/>
      <c r="BO1148" s="6"/>
      <c r="BP1148" s="6"/>
      <c r="BQ1148" s="6"/>
    </row>
    <row r="1149" spans="2:69" hidden="1" x14ac:dyDescent="0.2">
      <c r="B1149" s="13"/>
      <c r="C1149" s="13"/>
      <c r="D1149" s="13"/>
      <c r="E1149" s="13"/>
      <c r="F1149" s="13"/>
      <c r="G1149" s="13"/>
      <c r="H1149" s="13"/>
      <c r="I1149" s="13"/>
      <c r="J1149" s="13"/>
      <c r="K1149" s="13"/>
      <c r="L1149" s="13"/>
      <c r="M1149" s="13"/>
      <c r="N1149" s="13"/>
      <c r="O1149" s="13"/>
      <c r="P1149" s="13"/>
      <c r="Q1149" s="13"/>
      <c r="R1149" s="13"/>
      <c r="S1149" s="13"/>
      <c r="T1149" s="13"/>
      <c r="U1149" s="13"/>
      <c r="V1149" s="13"/>
      <c r="W1149" s="13"/>
      <c r="X1149" s="13"/>
      <c r="Y1149" s="13"/>
      <c r="Z1149" s="13"/>
      <c r="AA1149" s="13"/>
      <c r="AB1149" s="13"/>
      <c r="AM1149" s="6"/>
      <c r="AN1149" s="6"/>
      <c r="AO1149" s="6"/>
      <c r="AP1149" s="6"/>
      <c r="AQ1149" s="6"/>
      <c r="AR1149" s="6"/>
      <c r="AS1149" s="6"/>
      <c r="AT1149" s="6"/>
      <c r="AU1149" s="6"/>
      <c r="AV1149" s="6"/>
      <c r="AW1149" s="6"/>
      <c r="AX1149" s="6"/>
      <c r="AY1149" s="6"/>
      <c r="AZ1149" s="6"/>
      <c r="BA1149" s="6"/>
      <c r="BB1149" s="6"/>
      <c r="BC1149" s="6"/>
      <c r="BD1149" s="6"/>
      <c r="BE1149" s="6"/>
      <c r="BF1149" s="6"/>
      <c r="BG1149" s="6"/>
      <c r="BH1149" s="6"/>
      <c r="BI1149" s="6"/>
      <c r="BJ1149" s="6"/>
      <c r="BK1149" s="6"/>
      <c r="BL1149" s="6"/>
      <c r="BM1149" s="6"/>
      <c r="BN1149" s="6"/>
      <c r="BO1149" s="6"/>
      <c r="BP1149" s="6"/>
      <c r="BQ1149" s="6"/>
    </row>
    <row r="1150" spans="2:69" hidden="1" x14ac:dyDescent="0.2">
      <c r="B1150" s="13"/>
      <c r="C1150" s="13"/>
      <c r="D1150" s="13"/>
      <c r="E1150" s="13"/>
      <c r="F1150" s="13"/>
      <c r="G1150" s="13"/>
      <c r="H1150" s="13"/>
      <c r="I1150" s="13"/>
      <c r="J1150" s="13"/>
      <c r="K1150" s="13"/>
      <c r="L1150" s="13"/>
      <c r="M1150" s="13"/>
      <c r="N1150" s="13"/>
      <c r="O1150" s="13"/>
      <c r="P1150" s="13"/>
      <c r="Q1150" s="13"/>
      <c r="R1150" s="13"/>
      <c r="S1150" s="13"/>
      <c r="T1150" s="13"/>
      <c r="U1150" s="13"/>
      <c r="V1150" s="13"/>
      <c r="W1150" s="13"/>
      <c r="X1150" s="13"/>
      <c r="Y1150" s="13"/>
      <c r="Z1150" s="13"/>
      <c r="AA1150" s="13"/>
      <c r="AB1150" s="13"/>
      <c r="AM1150" s="6"/>
      <c r="AN1150" s="6"/>
      <c r="AO1150" s="6"/>
      <c r="AP1150" s="6"/>
      <c r="AQ1150" s="6"/>
      <c r="AR1150" s="6"/>
      <c r="AS1150" s="6"/>
      <c r="AT1150" s="6"/>
      <c r="AU1150" s="6"/>
      <c r="AV1150" s="6"/>
      <c r="AW1150" s="6"/>
      <c r="AX1150" s="6"/>
      <c r="AY1150" s="6"/>
      <c r="AZ1150" s="6"/>
      <c r="BA1150" s="6"/>
      <c r="BB1150" s="6"/>
      <c r="BC1150" s="6"/>
      <c r="BD1150" s="6"/>
      <c r="BE1150" s="6"/>
      <c r="BF1150" s="6"/>
      <c r="BG1150" s="6"/>
      <c r="BH1150" s="6"/>
      <c r="BI1150" s="6"/>
      <c r="BJ1150" s="6"/>
      <c r="BK1150" s="6"/>
      <c r="BL1150" s="6"/>
      <c r="BM1150" s="6"/>
      <c r="BN1150" s="6"/>
      <c r="BO1150" s="6"/>
      <c r="BP1150" s="6"/>
      <c r="BQ1150" s="6"/>
    </row>
    <row r="1151" spans="2:69" hidden="1" x14ac:dyDescent="0.2">
      <c r="B1151" s="13"/>
      <c r="C1151" s="13"/>
      <c r="D1151" s="13"/>
      <c r="E1151" s="13"/>
      <c r="F1151" s="13"/>
      <c r="G1151" s="13"/>
      <c r="H1151" s="13"/>
      <c r="I1151" s="13"/>
      <c r="J1151" s="13"/>
      <c r="K1151" s="13"/>
      <c r="L1151" s="13"/>
      <c r="M1151" s="13"/>
      <c r="N1151" s="13"/>
      <c r="O1151" s="13"/>
      <c r="P1151" s="13"/>
      <c r="Q1151" s="13"/>
      <c r="R1151" s="13"/>
      <c r="S1151" s="13"/>
      <c r="T1151" s="13"/>
      <c r="U1151" s="13"/>
      <c r="V1151" s="13"/>
      <c r="W1151" s="13"/>
      <c r="X1151" s="13"/>
      <c r="Y1151" s="13"/>
      <c r="Z1151" s="13"/>
      <c r="AA1151" s="13"/>
      <c r="AB1151" s="13"/>
      <c r="AM1151" s="6"/>
      <c r="AN1151" s="6"/>
      <c r="AO1151" s="6"/>
      <c r="AP1151" s="6"/>
      <c r="AQ1151" s="6"/>
      <c r="AR1151" s="6"/>
      <c r="AS1151" s="6"/>
      <c r="AT1151" s="6"/>
      <c r="AU1151" s="6"/>
      <c r="AV1151" s="6"/>
      <c r="AW1151" s="6"/>
      <c r="AX1151" s="6"/>
      <c r="AY1151" s="6"/>
      <c r="AZ1151" s="6"/>
      <c r="BA1151" s="6"/>
      <c r="BB1151" s="6"/>
      <c r="BC1151" s="6"/>
      <c r="BD1151" s="6"/>
      <c r="BE1151" s="6"/>
      <c r="BF1151" s="6"/>
      <c r="BG1151" s="6"/>
      <c r="BH1151" s="6"/>
      <c r="BI1151" s="6"/>
      <c r="BJ1151" s="6"/>
      <c r="BK1151" s="6"/>
      <c r="BL1151" s="6"/>
      <c r="BM1151" s="6"/>
      <c r="BN1151" s="6"/>
      <c r="BO1151" s="6"/>
      <c r="BP1151" s="6"/>
      <c r="BQ1151" s="6"/>
    </row>
    <row r="1152" spans="2:69" hidden="1" x14ac:dyDescent="0.2">
      <c r="B1152" s="13"/>
      <c r="C1152" s="13"/>
      <c r="D1152" s="13"/>
      <c r="E1152" s="13"/>
      <c r="F1152" s="13"/>
      <c r="G1152" s="13"/>
      <c r="H1152" s="13"/>
      <c r="I1152" s="13"/>
      <c r="J1152" s="13"/>
      <c r="K1152" s="13"/>
      <c r="L1152" s="13"/>
      <c r="M1152" s="13"/>
      <c r="N1152" s="13"/>
      <c r="O1152" s="13"/>
      <c r="P1152" s="13"/>
      <c r="Q1152" s="13"/>
      <c r="R1152" s="13"/>
      <c r="S1152" s="13"/>
      <c r="T1152" s="13"/>
      <c r="U1152" s="13"/>
      <c r="V1152" s="13"/>
      <c r="W1152" s="13"/>
      <c r="X1152" s="13"/>
      <c r="Y1152" s="13"/>
      <c r="Z1152" s="13"/>
      <c r="AA1152" s="13"/>
      <c r="AB1152" s="13"/>
      <c r="AM1152" s="6"/>
      <c r="AN1152" s="6"/>
      <c r="AO1152" s="6"/>
      <c r="AP1152" s="6"/>
      <c r="AQ1152" s="6"/>
      <c r="AR1152" s="6"/>
      <c r="AS1152" s="6"/>
      <c r="AT1152" s="6"/>
      <c r="AU1152" s="6"/>
      <c r="AV1152" s="6"/>
      <c r="AW1152" s="6"/>
      <c r="AX1152" s="6"/>
      <c r="AY1152" s="6"/>
      <c r="AZ1152" s="6"/>
      <c r="BA1152" s="6"/>
      <c r="BB1152" s="6"/>
      <c r="BC1152" s="6"/>
      <c r="BD1152" s="6"/>
      <c r="BE1152" s="6"/>
      <c r="BF1152" s="6"/>
      <c r="BG1152" s="6"/>
      <c r="BH1152" s="6"/>
      <c r="BI1152" s="6"/>
      <c r="BJ1152" s="6"/>
      <c r="BK1152" s="6"/>
      <c r="BL1152" s="6"/>
      <c r="BM1152" s="6"/>
      <c r="BN1152" s="6"/>
      <c r="BO1152" s="6"/>
      <c r="BP1152" s="6"/>
      <c r="BQ1152" s="6"/>
    </row>
    <row r="1153" spans="2:69" hidden="1" x14ac:dyDescent="0.2">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M1153" s="6"/>
      <c r="AN1153" s="6"/>
      <c r="AO1153" s="6"/>
      <c r="AP1153" s="6"/>
      <c r="AQ1153" s="6"/>
      <c r="AR1153" s="6"/>
      <c r="AS1153" s="6"/>
      <c r="AT1153" s="6"/>
      <c r="AU1153" s="6"/>
      <c r="AV1153" s="6"/>
      <c r="AW1153" s="6"/>
      <c r="AX1153" s="6"/>
      <c r="AY1153" s="6"/>
      <c r="AZ1153" s="6"/>
      <c r="BA1153" s="6"/>
      <c r="BB1153" s="6"/>
      <c r="BC1153" s="6"/>
      <c r="BD1153" s="6"/>
      <c r="BE1153" s="6"/>
      <c r="BF1153" s="6"/>
      <c r="BG1153" s="6"/>
      <c r="BH1153" s="6"/>
      <c r="BI1153" s="6"/>
      <c r="BJ1153" s="6"/>
      <c r="BK1153" s="6"/>
      <c r="BL1153" s="6"/>
      <c r="BM1153" s="6"/>
      <c r="BN1153" s="6"/>
      <c r="BO1153" s="6"/>
      <c r="BP1153" s="6"/>
      <c r="BQ1153" s="6"/>
    </row>
    <row r="1154" spans="2:69" hidden="1" x14ac:dyDescent="0.2">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M1154" s="6"/>
      <c r="AN1154" s="6"/>
      <c r="AO1154" s="6"/>
      <c r="AP1154" s="6"/>
      <c r="AQ1154" s="6"/>
      <c r="AR1154" s="6"/>
      <c r="AS1154" s="6"/>
      <c r="AT1154" s="6"/>
      <c r="AU1154" s="6"/>
      <c r="AV1154" s="6"/>
      <c r="AW1154" s="6"/>
      <c r="AX1154" s="6"/>
      <c r="AY1154" s="6"/>
      <c r="AZ1154" s="6"/>
      <c r="BA1154" s="6"/>
      <c r="BB1154" s="6"/>
      <c r="BC1154" s="6"/>
      <c r="BD1154" s="6"/>
      <c r="BE1154" s="6"/>
      <c r="BF1154" s="6"/>
      <c r="BG1154" s="6"/>
      <c r="BH1154" s="6"/>
      <c r="BI1154" s="6"/>
      <c r="BJ1154" s="6"/>
      <c r="BK1154" s="6"/>
      <c r="BL1154" s="6"/>
      <c r="BM1154" s="6"/>
      <c r="BN1154" s="6"/>
      <c r="BO1154" s="6"/>
      <c r="BP1154" s="6"/>
      <c r="BQ1154" s="6"/>
    </row>
    <row r="1155" spans="2:69" hidden="1" x14ac:dyDescent="0.2">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M1155" s="6"/>
      <c r="AN1155" s="6"/>
      <c r="AO1155" s="6"/>
      <c r="AP1155" s="6"/>
      <c r="AQ1155" s="6"/>
      <c r="AR1155" s="6"/>
      <c r="AS1155" s="6"/>
      <c r="AT1155" s="6"/>
      <c r="AU1155" s="6"/>
      <c r="AV1155" s="6"/>
      <c r="AW1155" s="6"/>
      <c r="AX1155" s="6"/>
      <c r="AY1155" s="6"/>
      <c r="AZ1155" s="6"/>
      <c r="BA1155" s="6"/>
      <c r="BB1155" s="6"/>
      <c r="BC1155" s="6"/>
      <c r="BD1155" s="6"/>
      <c r="BE1155" s="6"/>
      <c r="BF1155" s="6"/>
      <c r="BG1155" s="6"/>
      <c r="BH1155" s="6"/>
      <c r="BI1155" s="6"/>
      <c r="BJ1155" s="6"/>
      <c r="BK1155" s="6"/>
      <c r="BL1155" s="6"/>
      <c r="BM1155" s="6"/>
      <c r="BN1155" s="6"/>
      <c r="BO1155" s="6"/>
      <c r="BP1155" s="6"/>
      <c r="BQ1155" s="6"/>
    </row>
    <row r="1156" spans="2:69" hidden="1" x14ac:dyDescent="0.2">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M1156" s="6"/>
      <c r="AN1156" s="6"/>
      <c r="AO1156" s="6"/>
      <c r="AP1156" s="6"/>
      <c r="AQ1156" s="6"/>
      <c r="AR1156" s="6"/>
      <c r="AS1156" s="6"/>
      <c r="AT1156" s="6"/>
      <c r="AU1156" s="6"/>
      <c r="AV1156" s="6"/>
      <c r="AW1156" s="6"/>
      <c r="AX1156" s="6"/>
      <c r="AY1156" s="6"/>
      <c r="AZ1156" s="6"/>
      <c r="BA1156" s="6"/>
      <c r="BB1156" s="6"/>
      <c r="BC1156" s="6"/>
      <c r="BD1156" s="6"/>
      <c r="BE1156" s="6"/>
      <c r="BF1156" s="6"/>
      <c r="BG1156" s="6"/>
      <c r="BH1156" s="6"/>
      <c r="BI1156" s="6"/>
      <c r="BJ1156" s="6"/>
      <c r="BK1156" s="6"/>
      <c r="BL1156" s="6"/>
      <c r="BM1156" s="6"/>
      <c r="BN1156" s="6"/>
      <c r="BO1156" s="6"/>
      <c r="BP1156" s="6"/>
      <c r="BQ1156" s="6"/>
    </row>
    <row r="1157" spans="2:69" hidden="1" x14ac:dyDescent="0.2">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M1157" s="6"/>
      <c r="AN1157" s="6"/>
      <c r="AO1157" s="6"/>
      <c r="AP1157" s="6"/>
      <c r="AQ1157" s="6"/>
      <c r="AR1157" s="6"/>
      <c r="AS1157" s="6"/>
      <c r="AT1157" s="6"/>
      <c r="AU1157" s="6"/>
      <c r="AV1157" s="6"/>
      <c r="AW1157" s="6"/>
      <c r="AX1157" s="6"/>
      <c r="AY1157" s="6"/>
      <c r="AZ1157" s="6"/>
      <c r="BA1157" s="6"/>
      <c r="BB1157" s="6"/>
      <c r="BC1157" s="6"/>
      <c r="BD1157" s="6"/>
      <c r="BE1157" s="6"/>
      <c r="BF1157" s="6"/>
      <c r="BG1157" s="6"/>
      <c r="BH1157" s="6"/>
      <c r="BI1157" s="6"/>
      <c r="BJ1157" s="6"/>
      <c r="BK1157" s="6"/>
      <c r="BL1157" s="6"/>
      <c r="BM1157" s="6"/>
      <c r="BN1157" s="6"/>
      <c r="BO1157" s="6"/>
      <c r="BP1157" s="6"/>
      <c r="BQ1157" s="6"/>
    </row>
    <row r="1158" spans="2:69" hidden="1" x14ac:dyDescent="0.2">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M1158" s="6"/>
      <c r="AN1158" s="6"/>
      <c r="AO1158" s="6"/>
      <c r="AP1158" s="6"/>
      <c r="AQ1158" s="6"/>
      <c r="AR1158" s="6"/>
      <c r="AS1158" s="6"/>
      <c r="AT1158" s="6"/>
      <c r="AU1158" s="6"/>
      <c r="AV1158" s="6"/>
      <c r="AW1158" s="6"/>
      <c r="AX1158" s="6"/>
      <c r="AY1158" s="6"/>
      <c r="AZ1158" s="6"/>
      <c r="BA1158" s="6"/>
      <c r="BB1158" s="6"/>
      <c r="BC1158" s="6"/>
      <c r="BD1158" s="6"/>
      <c r="BE1158" s="6"/>
      <c r="BF1158" s="6"/>
      <c r="BG1158" s="6"/>
      <c r="BH1158" s="6"/>
      <c r="BI1158" s="6"/>
      <c r="BJ1158" s="6"/>
      <c r="BK1158" s="6"/>
      <c r="BL1158" s="6"/>
      <c r="BM1158" s="6"/>
      <c r="BN1158" s="6"/>
      <c r="BO1158" s="6"/>
      <c r="BP1158" s="6"/>
      <c r="BQ1158" s="6"/>
    </row>
    <row r="1159" spans="2:69" hidden="1" x14ac:dyDescent="0.2">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M1159" s="6"/>
      <c r="AN1159" s="6"/>
      <c r="AO1159" s="6"/>
      <c r="AP1159" s="6"/>
      <c r="AQ1159" s="6"/>
      <c r="AR1159" s="6"/>
      <c r="AS1159" s="6"/>
      <c r="AT1159" s="6"/>
      <c r="AU1159" s="6"/>
      <c r="AV1159" s="6"/>
      <c r="AW1159" s="6"/>
      <c r="AX1159" s="6"/>
      <c r="AY1159" s="6"/>
      <c r="AZ1159" s="6"/>
      <c r="BA1159" s="6"/>
      <c r="BB1159" s="6"/>
      <c r="BC1159" s="6"/>
      <c r="BD1159" s="6"/>
      <c r="BE1159" s="6"/>
      <c r="BF1159" s="6"/>
      <c r="BG1159" s="6"/>
      <c r="BH1159" s="6"/>
      <c r="BI1159" s="6"/>
      <c r="BJ1159" s="6"/>
      <c r="BK1159" s="6"/>
      <c r="BL1159" s="6"/>
      <c r="BM1159" s="6"/>
      <c r="BN1159" s="6"/>
      <c r="BO1159" s="6"/>
      <c r="BP1159" s="6"/>
      <c r="BQ1159" s="6"/>
    </row>
    <row r="1160" spans="2:69" hidden="1" x14ac:dyDescent="0.2">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M1160" s="6"/>
      <c r="AN1160" s="6"/>
      <c r="AO1160" s="6"/>
      <c r="AP1160" s="6"/>
      <c r="AQ1160" s="6"/>
      <c r="AR1160" s="6"/>
      <c r="AS1160" s="6"/>
      <c r="AT1160" s="6"/>
      <c r="AU1160" s="6"/>
      <c r="AV1160" s="6"/>
      <c r="AW1160" s="6"/>
      <c r="AX1160" s="6"/>
      <c r="AY1160" s="6"/>
      <c r="AZ1160" s="6"/>
      <c r="BA1160" s="6"/>
      <c r="BB1160" s="6"/>
      <c r="BC1160" s="6"/>
      <c r="BD1160" s="6"/>
      <c r="BE1160" s="6"/>
      <c r="BF1160" s="6"/>
      <c r="BG1160" s="6"/>
      <c r="BH1160" s="6"/>
      <c r="BI1160" s="6"/>
      <c r="BJ1160" s="6"/>
      <c r="BK1160" s="6"/>
      <c r="BL1160" s="6"/>
      <c r="BM1160" s="6"/>
      <c r="BN1160" s="6"/>
      <c r="BO1160" s="6"/>
      <c r="BP1160" s="6"/>
      <c r="BQ1160" s="6"/>
    </row>
    <row r="1161" spans="2:69" hidden="1" x14ac:dyDescent="0.2">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M1161" s="6"/>
      <c r="AN1161" s="6"/>
      <c r="AO1161" s="6"/>
      <c r="AP1161" s="6"/>
      <c r="AQ1161" s="6"/>
      <c r="AR1161" s="6"/>
      <c r="AS1161" s="6"/>
      <c r="AT1161" s="6"/>
      <c r="AU1161" s="6"/>
      <c r="AV1161" s="6"/>
      <c r="AW1161" s="6"/>
      <c r="AX1161" s="6"/>
      <c r="AY1161" s="6"/>
      <c r="AZ1161" s="6"/>
      <c r="BA1161" s="6"/>
      <c r="BB1161" s="6"/>
      <c r="BC1161" s="6"/>
      <c r="BD1161" s="6"/>
      <c r="BE1161" s="6"/>
      <c r="BF1161" s="6"/>
      <c r="BG1161" s="6"/>
      <c r="BH1161" s="6"/>
      <c r="BI1161" s="6"/>
      <c r="BJ1161" s="6"/>
      <c r="BK1161" s="6"/>
      <c r="BL1161" s="6"/>
      <c r="BM1161" s="6"/>
      <c r="BN1161" s="6"/>
      <c r="BO1161" s="6"/>
      <c r="BP1161" s="6"/>
      <c r="BQ1161" s="6"/>
    </row>
    <row r="1162" spans="2:69" hidden="1" x14ac:dyDescent="0.2">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M1162" s="6"/>
      <c r="AN1162" s="6"/>
      <c r="AO1162" s="6"/>
      <c r="AP1162" s="6"/>
      <c r="AQ1162" s="6"/>
      <c r="AR1162" s="6"/>
      <c r="AS1162" s="6"/>
      <c r="AT1162" s="6"/>
      <c r="AU1162" s="6"/>
      <c r="AV1162" s="6"/>
      <c r="AW1162" s="6"/>
      <c r="AX1162" s="6"/>
      <c r="AY1162" s="6"/>
      <c r="AZ1162" s="6"/>
      <c r="BA1162" s="6"/>
      <c r="BB1162" s="6"/>
      <c r="BC1162" s="6"/>
      <c r="BD1162" s="6"/>
      <c r="BE1162" s="6"/>
      <c r="BF1162" s="6"/>
      <c r="BG1162" s="6"/>
      <c r="BH1162" s="6"/>
      <c r="BI1162" s="6"/>
      <c r="BJ1162" s="6"/>
      <c r="BK1162" s="6"/>
      <c r="BL1162" s="6"/>
      <c r="BM1162" s="6"/>
      <c r="BN1162" s="6"/>
      <c r="BO1162" s="6"/>
      <c r="BP1162" s="6"/>
      <c r="BQ1162" s="6"/>
    </row>
    <row r="1163" spans="2:69" hidden="1" x14ac:dyDescent="0.2">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M1163" s="6"/>
      <c r="AN1163" s="6"/>
      <c r="AO1163" s="6"/>
      <c r="AP1163" s="6"/>
      <c r="AQ1163" s="6"/>
      <c r="AR1163" s="6"/>
      <c r="AS1163" s="6"/>
      <c r="AT1163" s="6"/>
      <c r="AU1163" s="6"/>
      <c r="AV1163" s="6"/>
      <c r="AW1163" s="6"/>
      <c r="AX1163" s="6"/>
      <c r="AY1163" s="6"/>
      <c r="AZ1163" s="6"/>
      <c r="BA1163" s="6"/>
      <c r="BB1163" s="6"/>
      <c r="BC1163" s="6"/>
      <c r="BD1163" s="6"/>
      <c r="BE1163" s="6"/>
      <c r="BF1163" s="6"/>
      <c r="BG1163" s="6"/>
      <c r="BH1163" s="6"/>
      <c r="BI1163" s="6"/>
      <c r="BJ1163" s="6"/>
      <c r="BK1163" s="6"/>
      <c r="BL1163" s="6"/>
      <c r="BM1163" s="6"/>
      <c r="BN1163" s="6"/>
      <c r="BO1163" s="6"/>
      <c r="BP1163" s="6"/>
      <c r="BQ1163" s="6"/>
    </row>
    <row r="1164" spans="2:69" hidden="1" x14ac:dyDescent="0.2">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M1164" s="6"/>
      <c r="AN1164" s="6"/>
      <c r="AO1164" s="6"/>
      <c r="AP1164" s="6"/>
      <c r="AQ1164" s="6"/>
      <c r="AR1164" s="6"/>
      <c r="AS1164" s="6"/>
      <c r="AT1164" s="6"/>
      <c r="AU1164" s="6"/>
      <c r="AV1164" s="6"/>
      <c r="AW1164" s="6"/>
      <c r="AX1164" s="6"/>
      <c r="AY1164" s="6"/>
      <c r="AZ1164" s="6"/>
      <c r="BA1164" s="6"/>
      <c r="BB1164" s="6"/>
      <c r="BC1164" s="6"/>
      <c r="BD1164" s="6"/>
      <c r="BE1164" s="6"/>
      <c r="BF1164" s="6"/>
      <c r="BG1164" s="6"/>
      <c r="BH1164" s="6"/>
      <c r="BI1164" s="6"/>
      <c r="BJ1164" s="6"/>
      <c r="BK1164" s="6"/>
      <c r="BL1164" s="6"/>
      <c r="BM1164" s="6"/>
      <c r="BN1164" s="6"/>
      <c r="BO1164" s="6"/>
      <c r="BP1164" s="6"/>
      <c r="BQ1164" s="6"/>
    </row>
    <row r="1165" spans="2:69" hidden="1" x14ac:dyDescent="0.2">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M1165" s="6"/>
      <c r="AN1165" s="6"/>
      <c r="AO1165" s="6"/>
      <c r="AP1165" s="6"/>
      <c r="AQ1165" s="6"/>
      <c r="AR1165" s="6"/>
      <c r="AS1165" s="6"/>
      <c r="AT1165" s="6"/>
      <c r="AU1165" s="6"/>
      <c r="AV1165" s="6"/>
      <c r="AW1165" s="6"/>
      <c r="AX1165" s="6"/>
      <c r="AY1165" s="6"/>
      <c r="AZ1165" s="6"/>
      <c r="BA1165" s="6"/>
      <c r="BB1165" s="6"/>
      <c r="BC1165" s="6"/>
      <c r="BD1165" s="6"/>
      <c r="BE1165" s="6"/>
      <c r="BF1165" s="6"/>
      <c r="BG1165" s="6"/>
      <c r="BH1165" s="6"/>
      <c r="BI1165" s="6"/>
      <c r="BJ1165" s="6"/>
      <c r="BK1165" s="6"/>
      <c r="BL1165" s="6"/>
      <c r="BM1165" s="6"/>
      <c r="BN1165" s="6"/>
      <c r="BO1165" s="6"/>
      <c r="BP1165" s="6"/>
      <c r="BQ1165" s="6"/>
    </row>
    <row r="1166" spans="2:69" hidden="1" x14ac:dyDescent="0.2">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M1166" s="6"/>
      <c r="AN1166" s="6"/>
      <c r="AO1166" s="6"/>
      <c r="AP1166" s="6"/>
      <c r="AQ1166" s="6"/>
      <c r="AR1166" s="6"/>
      <c r="AS1166" s="6"/>
      <c r="AT1166" s="6"/>
      <c r="AU1166" s="6"/>
      <c r="AV1166" s="6"/>
      <c r="AW1166" s="6"/>
      <c r="AX1166" s="6"/>
      <c r="AY1166" s="6"/>
      <c r="AZ1166" s="6"/>
      <c r="BA1166" s="6"/>
      <c r="BB1166" s="6"/>
      <c r="BC1166" s="6"/>
      <c r="BD1166" s="6"/>
      <c r="BE1166" s="6"/>
      <c r="BF1166" s="6"/>
      <c r="BG1166" s="6"/>
      <c r="BH1166" s="6"/>
      <c r="BI1166" s="6"/>
      <c r="BJ1166" s="6"/>
      <c r="BK1166" s="6"/>
      <c r="BL1166" s="6"/>
      <c r="BM1166" s="6"/>
      <c r="BN1166" s="6"/>
      <c r="BO1166" s="6"/>
      <c r="BP1166" s="6"/>
      <c r="BQ1166" s="6"/>
    </row>
    <row r="1167" spans="2:69" hidden="1" x14ac:dyDescent="0.2">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M1167" s="6"/>
      <c r="AN1167" s="6"/>
      <c r="AO1167" s="6"/>
      <c r="AP1167" s="6"/>
      <c r="AQ1167" s="6"/>
      <c r="AR1167" s="6"/>
      <c r="AS1167" s="6"/>
      <c r="AT1167" s="6"/>
      <c r="AU1167" s="6"/>
      <c r="AV1167" s="6"/>
      <c r="AW1167" s="6"/>
      <c r="AX1167" s="6"/>
      <c r="AY1167" s="6"/>
      <c r="AZ1167" s="6"/>
      <c r="BA1167" s="6"/>
      <c r="BB1167" s="6"/>
      <c r="BC1167" s="6"/>
      <c r="BD1167" s="6"/>
      <c r="BE1167" s="6"/>
      <c r="BF1167" s="6"/>
      <c r="BG1167" s="6"/>
      <c r="BH1167" s="6"/>
      <c r="BI1167" s="6"/>
      <c r="BJ1167" s="6"/>
      <c r="BK1167" s="6"/>
      <c r="BL1167" s="6"/>
      <c r="BM1167" s="6"/>
      <c r="BN1167" s="6"/>
      <c r="BO1167" s="6"/>
      <c r="BP1167" s="6"/>
      <c r="BQ1167" s="6"/>
    </row>
    <row r="1168" spans="2:69" hidden="1" x14ac:dyDescent="0.2">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M1168" s="6"/>
      <c r="AN1168" s="6"/>
      <c r="AO1168" s="6"/>
      <c r="AP1168" s="6"/>
      <c r="AQ1168" s="6"/>
      <c r="AR1168" s="6"/>
      <c r="AS1168" s="6"/>
      <c r="AT1168" s="6"/>
      <c r="AU1168" s="6"/>
      <c r="AV1168" s="6"/>
      <c r="AW1168" s="6"/>
      <c r="AX1168" s="6"/>
      <c r="AY1168" s="6"/>
      <c r="AZ1168" s="6"/>
      <c r="BA1168" s="6"/>
      <c r="BB1168" s="6"/>
      <c r="BC1168" s="6"/>
      <c r="BD1168" s="6"/>
      <c r="BE1168" s="6"/>
      <c r="BF1168" s="6"/>
      <c r="BG1168" s="6"/>
      <c r="BH1168" s="6"/>
      <c r="BI1168" s="6"/>
      <c r="BJ1168" s="6"/>
      <c r="BK1168" s="6"/>
      <c r="BL1168" s="6"/>
      <c r="BM1168" s="6"/>
      <c r="BN1168" s="6"/>
      <c r="BO1168" s="6"/>
      <c r="BP1168" s="6"/>
      <c r="BQ1168" s="6"/>
    </row>
    <row r="1169" spans="2:69" hidden="1" x14ac:dyDescent="0.2">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M1169" s="6"/>
      <c r="AN1169" s="6"/>
      <c r="AO1169" s="6"/>
      <c r="AP1169" s="6"/>
      <c r="AQ1169" s="6"/>
      <c r="AR1169" s="6"/>
      <c r="AS1169" s="6"/>
      <c r="AT1169" s="6"/>
      <c r="AU1169" s="6"/>
      <c r="AV1169" s="6"/>
      <c r="AW1169" s="6"/>
      <c r="AX1169" s="6"/>
      <c r="AY1169" s="6"/>
      <c r="AZ1169" s="6"/>
      <c r="BA1169" s="6"/>
      <c r="BB1169" s="6"/>
      <c r="BC1169" s="6"/>
      <c r="BD1169" s="6"/>
      <c r="BE1169" s="6"/>
      <c r="BF1169" s="6"/>
      <c r="BG1169" s="6"/>
      <c r="BH1169" s="6"/>
      <c r="BI1169" s="6"/>
      <c r="BJ1169" s="6"/>
      <c r="BK1169" s="6"/>
      <c r="BL1169" s="6"/>
      <c r="BM1169" s="6"/>
      <c r="BN1169" s="6"/>
      <c r="BO1169" s="6"/>
      <c r="BP1169" s="6"/>
      <c r="BQ1169" s="6"/>
    </row>
    <row r="1170" spans="2:69" hidden="1" x14ac:dyDescent="0.2">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M1170" s="6"/>
      <c r="AN1170" s="6"/>
      <c r="AO1170" s="6"/>
      <c r="AP1170" s="6"/>
      <c r="AQ1170" s="6"/>
      <c r="AR1170" s="6"/>
      <c r="AS1170" s="6"/>
      <c r="AT1170" s="6"/>
      <c r="AU1170" s="6"/>
      <c r="AV1170" s="6"/>
      <c r="AW1170" s="6"/>
      <c r="AX1170" s="6"/>
      <c r="AY1170" s="6"/>
      <c r="AZ1170" s="6"/>
      <c r="BA1170" s="6"/>
      <c r="BB1170" s="6"/>
      <c r="BC1170" s="6"/>
      <c r="BD1170" s="6"/>
      <c r="BE1170" s="6"/>
      <c r="BF1170" s="6"/>
      <c r="BG1170" s="6"/>
      <c r="BH1170" s="6"/>
      <c r="BI1170" s="6"/>
      <c r="BJ1170" s="6"/>
      <c r="BK1170" s="6"/>
      <c r="BL1170" s="6"/>
      <c r="BM1170" s="6"/>
      <c r="BN1170" s="6"/>
      <c r="BO1170" s="6"/>
      <c r="BP1170" s="6"/>
      <c r="BQ1170" s="6"/>
    </row>
    <row r="1171" spans="2:69" hidden="1" x14ac:dyDescent="0.2">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M1171" s="6"/>
      <c r="AN1171" s="6"/>
      <c r="AO1171" s="6"/>
      <c r="AP1171" s="6"/>
      <c r="AQ1171" s="6"/>
      <c r="AR1171" s="6"/>
      <c r="AS1171" s="6"/>
      <c r="AT1171" s="6"/>
      <c r="AU1171" s="6"/>
      <c r="AV1171" s="6"/>
      <c r="AW1171" s="6"/>
      <c r="AX1171" s="6"/>
      <c r="AY1171" s="6"/>
      <c r="AZ1171" s="6"/>
      <c r="BA1171" s="6"/>
      <c r="BB1171" s="6"/>
      <c r="BC1171" s="6"/>
      <c r="BD1171" s="6"/>
      <c r="BE1171" s="6"/>
      <c r="BF1171" s="6"/>
      <c r="BG1171" s="6"/>
      <c r="BH1171" s="6"/>
      <c r="BI1171" s="6"/>
      <c r="BJ1171" s="6"/>
      <c r="BK1171" s="6"/>
      <c r="BL1171" s="6"/>
      <c r="BM1171" s="6"/>
      <c r="BN1171" s="6"/>
      <c r="BO1171" s="6"/>
      <c r="BP1171" s="6"/>
      <c r="BQ1171" s="6"/>
    </row>
    <row r="1172" spans="2:69" hidden="1" x14ac:dyDescent="0.2">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M1172" s="6"/>
      <c r="AN1172" s="6"/>
      <c r="AO1172" s="6"/>
      <c r="AP1172" s="6"/>
      <c r="AQ1172" s="6"/>
      <c r="AR1172" s="6"/>
      <c r="AS1172" s="6"/>
      <c r="AT1172" s="6"/>
      <c r="AU1172" s="6"/>
      <c r="AV1172" s="6"/>
      <c r="AW1172" s="6"/>
      <c r="AX1172" s="6"/>
      <c r="AY1172" s="6"/>
      <c r="AZ1172" s="6"/>
      <c r="BA1172" s="6"/>
      <c r="BB1172" s="6"/>
      <c r="BC1172" s="6"/>
      <c r="BD1172" s="6"/>
      <c r="BE1172" s="6"/>
      <c r="BF1172" s="6"/>
      <c r="BG1172" s="6"/>
      <c r="BH1172" s="6"/>
      <c r="BI1172" s="6"/>
      <c r="BJ1172" s="6"/>
      <c r="BK1172" s="6"/>
      <c r="BL1172" s="6"/>
      <c r="BM1172" s="6"/>
      <c r="BN1172" s="6"/>
      <c r="BO1172" s="6"/>
      <c r="BP1172" s="6"/>
      <c r="BQ1172" s="6"/>
    </row>
    <row r="1173" spans="2:69" hidden="1" x14ac:dyDescent="0.2">
      <c r="B1173" s="13"/>
      <c r="C1173" s="13"/>
      <c r="D1173" s="13"/>
      <c r="E1173" s="13"/>
      <c r="F1173" s="13"/>
      <c r="G1173" s="13"/>
      <c r="H1173" s="13"/>
      <c r="I1173" s="13"/>
      <c r="J1173" s="13"/>
      <c r="K1173" s="13"/>
      <c r="L1173" s="13"/>
      <c r="M1173" s="13"/>
      <c r="N1173" s="13"/>
      <c r="O1173" s="13"/>
      <c r="P1173" s="13"/>
      <c r="Q1173" s="13"/>
      <c r="R1173" s="13"/>
      <c r="S1173" s="13"/>
      <c r="T1173" s="13"/>
      <c r="U1173" s="13"/>
      <c r="V1173" s="13"/>
      <c r="W1173" s="13"/>
      <c r="X1173" s="13"/>
      <c r="Y1173" s="13"/>
      <c r="Z1173" s="13"/>
      <c r="AA1173" s="13"/>
      <c r="AB1173" s="13"/>
      <c r="AM1173" s="6"/>
      <c r="AN1173" s="6"/>
      <c r="AO1173" s="6"/>
      <c r="AP1173" s="6"/>
      <c r="AQ1173" s="6"/>
      <c r="AR1173" s="6"/>
      <c r="AS1173" s="6"/>
      <c r="AT1173" s="6"/>
      <c r="AU1173" s="6"/>
      <c r="AV1173" s="6"/>
      <c r="AW1173" s="6"/>
      <c r="AX1173" s="6"/>
      <c r="AY1173" s="6"/>
      <c r="AZ1173" s="6"/>
      <c r="BA1173" s="6"/>
      <c r="BB1173" s="6"/>
      <c r="BC1173" s="6"/>
      <c r="BD1173" s="6"/>
      <c r="BE1173" s="6"/>
      <c r="BF1173" s="6"/>
      <c r="BG1173" s="6"/>
      <c r="BH1173" s="6"/>
      <c r="BI1173" s="6"/>
      <c r="BJ1173" s="6"/>
      <c r="BK1173" s="6"/>
      <c r="BL1173" s="6"/>
      <c r="BM1173" s="6"/>
      <c r="BN1173" s="6"/>
      <c r="BO1173" s="6"/>
      <c r="BP1173" s="6"/>
      <c r="BQ1173" s="6"/>
    </row>
    <row r="1174" spans="2:69" hidden="1" x14ac:dyDescent="0.2">
      <c r="B1174" s="13"/>
      <c r="C1174" s="13"/>
      <c r="D1174" s="13"/>
      <c r="E1174" s="13"/>
      <c r="F1174" s="13"/>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M1174" s="6"/>
      <c r="AN1174" s="6"/>
      <c r="AO1174" s="6"/>
      <c r="AP1174" s="6"/>
      <c r="AQ1174" s="6"/>
      <c r="AR1174" s="6"/>
      <c r="AS1174" s="6"/>
      <c r="AT1174" s="6"/>
      <c r="AU1174" s="6"/>
      <c r="AV1174" s="6"/>
      <c r="AW1174" s="6"/>
      <c r="AX1174" s="6"/>
      <c r="AY1174" s="6"/>
      <c r="AZ1174" s="6"/>
      <c r="BA1174" s="6"/>
      <c r="BB1174" s="6"/>
      <c r="BC1174" s="6"/>
      <c r="BD1174" s="6"/>
      <c r="BE1174" s="6"/>
      <c r="BF1174" s="6"/>
      <c r="BG1174" s="6"/>
      <c r="BH1174" s="6"/>
      <c r="BI1174" s="6"/>
      <c r="BJ1174" s="6"/>
      <c r="BK1174" s="6"/>
      <c r="BL1174" s="6"/>
      <c r="BM1174" s="6"/>
      <c r="BN1174" s="6"/>
      <c r="BO1174" s="6"/>
      <c r="BP1174" s="6"/>
      <c r="BQ1174" s="6"/>
    </row>
    <row r="1175" spans="2:69" hidden="1" x14ac:dyDescent="0.2">
      <c r="B1175" s="13"/>
      <c r="C1175" s="13"/>
      <c r="D1175" s="13"/>
      <c r="E1175" s="13"/>
      <c r="F1175" s="13"/>
      <c r="G1175" s="13"/>
      <c r="H1175" s="13"/>
      <c r="I1175" s="13"/>
      <c r="J1175" s="13"/>
      <c r="K1175" s="13"/>
      <c r="L1175" s="13"/>
      <c r="M1175" s="13"/>
      <c r="N1175" s="13"/>
      <c r="O1175" s="13"/>
      <c r="P1175" s="13"/>
      <c r="Q1175" s="13"/>
      <c r="R1175" s="13"/>
      <c r="S1175" s="13"/>
      <c r="T1175" s="13"/>
      <c r="U1175" s="13"/>
      <c r="V1175" s="13"/>
      <c r="W1175" s="13"/>
      <c r="X1175" s="13"/>
      <c r="Y1175" s="13"/>
      <c r="Z1175" s="13"/>
      <c r="AA1175" s="13"/>
      <c r="AB1175" s="13"/>
      <c r="AM1175" s="6"/>
      <c r="AN1175" s="6"/>
      <c r="AO1175" s="6"/>
      <c r="AP1175" s="6"/>
      <c r="AQ1175" s="6"/>
      <c r="AR1175" s="6"/>
      <c r="AS1175" s="6"/>
      <c r="AT1175" s="6"/>
      <c r="AU1175" s="6"/>
      <c r="AV1175" s="6"/>
      <c r="AW1175" s="6"/>
      <c r="AX1175" s="6"/>
      <c r="AY1175" s="6"/>
      <c r="AZ1175" s="6"/>
      <c r="BA1175" s="6"/>
      <c r="BB1175" s="6"/>
      <c r="BC1175" s="6"/>
      <c r="BD1175" s="6"/>
      <c r="BE1175" s="6"/>
      <c r="BF1175" s="6"/>
      <c r="BG1175" s="6"/>
      <c r="BH1175" s="6"/>
      <c r="BI1175" s="6"/>
      <c r="BJ1175" s="6"/>
      <c r="BK1175" s="6"/>
      <c r="BL1175" s="6"/>
      <c r="BM1175" s="6"/>
      <c r="BN1175" s="6"/>
      <c r="BO1175" s="6"/>
      <c r="BP1175" s="6"/>
      <c r="BQ1175" s="6"/>
    </row>
    <row r="1176" spans="2:69" hidden="1" x14ac:dyDescent="0.2">
      <c r="B1176" s="13"/>
      <c r="C1176" s="13"/>
      <c r="D1176" s="13"/>
      <c r="E1176" s="13"/>
      <c r="F1176" s="13"/>
      <c r="G1176" s="13"/>
      <c r="H1176" s="13"/>
      <c r="I1176" s="13"/>
      <c r="J1176" s="13"/>
      <c r="K1176" s="13"/>
      <c r="L1176" s="13"/>
      <c r="M1176" s="13"/>
      <c r="N1176" s="13"/>
      <c r="O1176" s="13"/>
      <c r="P1176" s="13"/>
      <c r="Q1176" s="13"/>
      <c r="R1176" s="13"/>
      <c r="S1176" s="13"/>
      <c r="T1176" s="13"/>
      <c r="U1176" s="13"/>
      <c r="V1176" s="13"/>
      <c r="W1176" s="13"/>
      <c r="X1176" s="13"/>
      <c r="Y1176" s="13"/>
      <c r="Z1176" s="13"/>
      <c r="AA1176" s="13"/>
      <c r="AB1176" s="13"/>
      <c r="AM1176" s="6"/>
      <c r="AN1176" s="6"/>
      <c r="AO1176" s="6"/>
      <c r="AP1176" s="6"/>
      <c r="AQ1176" s="6"/>
      <c r="AR1176" s="6"/>
      <c r="AS1176" s="6"/>
      <c r="AT1176" s="6"/>
      <c r="AU1176" s="6"/>
      <c r="AV1176" s="6"/>
      <c r="AW1176" s="6"/>
      <c r="AX1176" s="6"/>
      <c r="AY1176" s="6"/>
      <c r="AZ1176" s="6"/>
      <c r="BA1176" s="6"/>
      <c r="BB1176" s="6"/>
      <c r="BC1176" s="6"/>
      <c r="BD1176" s="6"/>
      <c r="BE1176" s="6"/>
      <c r="BF1176" s="6"/>
      <c r="BG1176" s="6"/>
      <c r="BH1176" s="6"/>
      <c r="BI1176" s="6"/>
      <c r="BJ1176" s="6"/>
      <c r="BK1176" s="6"/>
      <c r="BL1176" s="6"/>
      <c r="BM1176" s="6"/>
      <c r="BN1176" s="6"/>
      <c r="BO1176" s="6"/>
      <c r="BP1176" s="6"/>
      <c r="BQ1176" s="6"/>
    </row>
    <row r="1177" spans="2:69" hidden="1" x14ac:dyDescent="0.2">
      <c r="B1177" s="13"/>
      <c r="C1177" s="13"/>
      <c r="D1177" s="13"/>
      <c r="E1177" s="13"/>
      <c r="F1177" s="13"/>
      <c r="G1177" s="13"/>
      <c r="H1177" s="13"/>
      <c r="I1177" s="13"/>
      <c r="J1177" s="13"/>
      <c r="K1177" s="13"/>
      <c r="L1177" s="13"/>
      <c r="M1177" s="13"/>
      <c r="N1177" s="13"/>
      <c r="O1177" s="13"/>
      <c r="P1177" s="13"/>
      <c r="Q1177" s="13"/>
      <c r="R1177" s="13"/>
      <c r="S1177" s="13"/>
      <c r="T1177" s="13"/>
      <c r="U1177" s="13"/>
      <c r="V1177" s="13"/>
      <c r="W1177" s="13"/>
      <c r="X1177" s="13"/>
      <c r="Y1177" s="13"/>
      <c r="Z1177" s="13"/>
      <c r="AA1177" s="13"/>
      <c r="AB1177" s="13"/>
      <c r="AM1177" s="6"/>
      <c r="AN1177" s="6"/>
      <c r="AO1177" s="6"/>
      <c r="AP1177" s="6"/>
      <c r="AQ1177" s="6"/>
      <c r="AR1177" s="6"/>
      <c r="AS1177" s="6"/>
      <c r="AT1177" s="6"/>
      <c r="AU1177" s="6"/>
      <c r="AV1177" s="6"/>
      <c r="AW1177" s="6"/>
      <c r="AX1177" s="6"/>
      <c r="AY1177" s="6"/>
      <c r="AZ1177" s="6"/>
      <c r="BA1177" s="6"/>
      <c r="BB1177" s="6"/>
      <c r="BC1177" s="6"/>
      <c r="BD1177" s="6"/>
      <c r="BE1177" s="6"/>
      <c r="BF1177" s="6"/>
      <c r="BG1177" s="6"/>
      <c r="BH1177" s="6"/>
      <c r="BI1177" s="6"/>
      <c r="BJ1177" s="6"/>
      <c r="BK1177" s="6"/>
      <c r="BL1177" s="6"/>
      <c r="BM1177" s="6"/>
      <c r="BN1177" s="6"/>
      <c r="BO1177" s="6"/>
      <c r="BP1177" s="6"/>
      <c r="BQ1177" s="6"/>
    </row>
    <row r="1178" spans="2:69" hidden="1" x14ac:dyDescent="0.2">
      <c r="B1178" s="13"/>
      <c r="C1178" s="13"/>
      <c r="D1178" s="13"/>
      <c r="E1178" s="13"/>
      <c r="F1178" s="13"/>
      <c r="G1178" s="13"/>
      <c r="H1178" s="13"/>
      <c r="I1178" s="13"/>
      <c r="J1178" s="13"/>
      <c r="K1178" s="13"/>
      <c r="L1178" s="13"/>
      <c r="M1178" s="13"/>
      <c r="N1178" s="13"/>
      <c r="O1178" s="13"/>
      <c r="P1178" s="13"/>
      <c r="Q1178" s="13"/>
      <c r="R1178" s="13"/>
      <c r="S1178" s="13"/>
      <c r="T1178" s="13"/>
      <c r="U1178" s="13"/>
      <c r="V1178" s="13"/>
      <c r="W1178" s="13"/>
      <c r="X1178" s="13"/>
      <c r="Y1178" s="13"/>
      <c r="Z1178" s="13"/>
      <c r="AA1178" s="13"/>
      <c r="AB1178" s="13"/>
      <c r="AM1178" s="6"/>
      <c r="AN1178" s="6"/>
      <c r="AO1178" s="6"/>
      <c r="AP1178" s="6"/>
      <c r="AQ1178" s="6"/>
      <c r="AR1178" s="6"/>
      <c r="AS1178" s="6"/>
      <c r="AT1178" s="6"/>
      <c r="AU1178" s="6"/>
      <c r="AV1178" s="6"/>
      <c r="AW1178" s="6"/>
      <c r="AX1178" s="6"/>
      <c r="AY1178" s="6"/>
      <c r="AZ1178" s="6"/>
      <c r="BA1178" s="6"/>
      <c r="BB1178" s="6"/>
      <c r="BC1178" s="6"/>
      <c r="BD1178" s="6"/>
      <c r="BE1178" s="6"/>
      <c r="BF1178" s="6"/>
      <c r="BG1178" s="6"/>
      <c r="BH1178" s="6"/>
      <c r="BI1178" s="6"/>
      <c r="BJ1178" s="6"/>
      <c r="BK1178" s="6"/>
      <c r="BL1178" s="6"/>
      <c r="BM1178" s="6"/>
      <c r="BN1178" s="6"/>
      <c r="BO1178" s="6"/>
      <c r="BP1178" s="6"/>
      <c r="BQ1178" s="6"/>
    </row>
    <row r="1179" spans="2:69" hidden="1" x14ac:dyDescent="0.2">
      <c r="B1179" s="13"/>
      <c r="C1179" s="13"/>
      <c r="D1179" s="13"/>
      <c r="E1179" s="13"/>
      <c r="F1179" s="13"/>
      <c r="G1179" s="13"/>
      <c r="H1179" s="13"/>
      <c r="I1179" s="13"/>
      <c r="J1179" s="13"/>
      <c r="K1179" s="13"/>
      <c r="L1179" s="13"/>
      <c r="M1179" s="13"/>
      <c r="N1179" s="13"/>
      <c r="O1179" s="13"/>
      <c r="P1179" s="13"/>
      <c r="Q1179" s="13"/>
      <c r="R1179" s="13"/>
      <c r="S1179" s="13"/>
      <c r="T1179" s="13"/>
      <c r="U1179" s="13"/>
      <c r="V1179" s="13"/>
      <c r="W1179" s="13"/>
      <c r="X1179" s="13"/>
      <c r="Y1179" s="13"/>
      <c r="Z1179" s="13"/>
      <c r="AA1179" s="13"/>
      <c r="AB1179" s="13"/>
      <c r="AM1179" s="6"/>
      <c r="AN1179" s="6"/>
      <c r="AO1179" s="6"/>
      <c r="AP1179" s="6"/>
      <c r="AQ1179" s="6"/>
      <c r="AR1179" s="6"/>
      <c r="AS1179" s="6"/>
      <c r="AT1179" s="6"/>
      <c r="AU1179" s="6"/>
      <c r="AV1179" s="6"/>
      <c r="AW1179" s="6"/>
      <c r="AX1179" s="6"/>
      <c r="AY1179" s="6"/>
      <c r="AZ1179" s="6"/>
      <c r="BA1179" s="6"/>
      <c r="BB1179" s="6"/>
      <c r="BC1179" s="6"/>
      <c r="BD1179" s="6"/>
      <c r="BE1179" s="6"/>
      <c r="BF1179" s="6"/>
      <c r="BG1179" s="6"/>
      <c r="BH1179" s="6"/>
      <c r="BI1179" s="6"/>
      <c r="BJ1179" s="6"/>
      <c r="BK1179" s="6"/>
      <c r="BL1179" s="6"/>
      <c r="BM1179" s="6"/>
      <c r="BN1179" s="6"/>
      <c r="BO1179" s="6"/>
      <c r="BP1179" s="6"/>
      <c r="BQ1179" s="6"/>
    </row>
    <row r="1180" spans="2:69" hidden="1" x14ac:dyDescent="0.2">
      <c r="B1180" s="13"/>
      <c r="C1180" s="13"/>
      <c r="D1180" s="13"/>
      <c r="E1180" s="13"/>
      <c r="F1180" s="13"/>
      <c r="G1180" s="13"/>
      <c r="H1180" s="13"/>
      <c r="I1180" s="13"/>
      <c r="J1180" s="13"/>
      <c r="K1180" s="13"/>
      <c r="L1180" s="13"/>
      <c r="M1180" s="13"/>
      <c r="N1180" s="13"/>
      <c r="O1180" s="13"/>
      <c r="P1180" s="13"/>
      <c r="Q1180" s="13"/>
      <c r="R1180" s="13"/>
      <c r="S1180" s="13"/>
      <c r="T1180" s="13"/>
      <c r="U1180" s="13"/>
      <c r="V1180" s="13"/>
      <c r="W1180" s="13"/>
      <c r="X1180" s="13"/>
      <c r="Y1180" s="13"/>
      <c r="Z1180" s="13"/>
      <c r="AA1180" s="13"/>
      <c r="AB1180" s="13"/>
      <c r="AM1180" s="6"/>
      <c r="AN1180" s="6"/>
      <c r="AO1180" s="6"/>
      <c r="AP1180" s="6"/>
      <c r="AQ1180" s="6"/>
      <c r="AR1180" s="6"/>
      <c r="AS1180" s="6"/>
      <c r="AT1180" s="6"/>
      <c r="AU1180" s="6"/>
      <c r="AV1180" s="6"/>
      <c r="AW1180" s="6"/>
      <c r="AX1180" s="6"/>
      <c r="AY1180" s="6"/>
      <c r="AZ1180" s="6"/>
      <c r="BA1180" s="6"/>
      <c r="BB1180" s="6"/>
      <c r="BC1180" s="6"/>
      <c r="BD1180" s="6"/>
      <c r="BE1180" s="6"/>
      <c r="BF1180" s="6"/>
      <c r="BG1180" s="6"/>
      <c r="BH1180" s="6"/>
      <c r="BI1180" s="6"/>
      <c r="BJ1180" s="6"/>
      <c r="BK1180" s="6"/>
      <c r="BL1180" s="6"/>
      <c r="BM1180" s="6"/>
      <c r="BN1180" s="6"/>
      <c r="BO1180" s="6"/>
      <c r="BP1180" s="6"/>
      <c r="BQ1180" s="6"/>
    </row>
    <row r="1181" spans="2:69" hidden="1" x14ac:dyDescent="0.2">
      <c r="B1181" s="13"/>
      <c r="C1181" s="13"/>
      <c r="D1181" s="13"/>
      <c r="E1181" s="13"/>
      <c r="F1181" s="13"/>
      <c r="G1181" s="13"/>
      <c r="H1181" s="13"/>
      <c r="I1181" s="13"/>
      <c r="J1181" s="13"/>
      <c r="K1181" s="13"/>
      <c r="L1181" s="13"/>
      <c r="M1181" s="13"/>
      <c r="N1181" s="13"/>
      <c r="O1181" s="13"/>
      <c r="P1181" s="13"/>
      <c r="Q1181" s="13"/>
      <c r="R1181" s="13"/>
      <c r="S1181" s="13"/>
      <c r="T1181" s="13"/>
      <c r="U1181" s="13"/>
      <c r="V1181" s="13"/>
      <c r="W1181" s="13"/>
      <c r="X1181" s="13"/>
      <c r="Y1181" s="13"/>
      <c r="Z1181" s="13"/>
      <c r="AA1181" s="13"/>
      <c r="AB1181" s="13"/>
      <c r="AM1181" s="6"/>
      <c r="AN1181" s="6"/>
      <c r="AO1181" s="6"/>
      <c r="AP1181" s="6"/>
      <c r="AQ1181" s="6"/>
      <c r="AR1181" s="6"/>
      <c r="AS1181" s="6"/>
      <c r="AT1181" s="6"/>
      <c r="AU1181" s="6"/>
      <c r="AV1181" s="6"/>
      <c r="AW1181" s="6"/>
      <c r="AX1181" s="6"/>
      <c r="AY1181" s="6"/>
      <c r="AZ1181" s="6"/>
      <c r="BA1181" s="6"/>
      <c r="BB1181" s="6"/>
      <c r="BC1181" s="6"/>
      <c r="BD1181" s="6"/>
      <c r="BE1181" s="6"/>
      <c r="BF1181" s="6"/>
      <c r="BG1181" s="6"/>
      <c r="BH1181" s="6"/>
      <c r="BI1181" s="6"/>
      <c r="BJ1181" s="6"/>
      <c r="BK1181" s="6"/>
      <c r="BL1181" s="6"/>
      <c r="BM1181" s="6"/>
      <c r="BN1181" s="6"/>
      <c r="BO1181" s="6"/>
      <c r="BP1181" s="6"/>
      <c r="BQ1181" s="6"/>
    </row>
    <row r="1182" spans="2:69" hidden="1" x14ac:dyDescent="0.2">
      <c r="B1182" s="13"/>
      <c r="C1182" s="13"/>
      <c r="D1182" s="13"/>
      <c r="E1182" s="13"/>
      <c r="F1182" s="13"/>
      <c r="G1182" s="13"/>
      <c r="H1182" s="13"/>
      <c r="I1182" s="13"/>
      <c r="J1182" s="13"/>
      <c r="K1182" s="13"/>
      <c r="L1182" s="13"/>
      <c r="M1182" s="13"/>
      <c r="N1182" s="13"/>
      <c r="O1182" s="13"/>
      <c r="P1182" s="13"/>
      <c r="Q1182" s="13"/>
      <c r="R1182" s="13"/>
      <c r="S1182" s="13"/>
      <c r="T1182" s="13"/>
      <c r="U1182" s="13"/>
      <c r="V1182" s="13"/>
      <c r="W1182" s="13"/>
      <c r="X1182" s="13"/>
      <c r="Y1182" s="13"/>
      <c r="Z1182" s="13"/>
      <c r="AA1182" s="13"/>
      <c r="AB1182" s="13"/>
      <c r="AM1182" s="6"/>
      <c r="AN1182" s="6"/>
      <c r="AO1182" s="6"/>
      <c r="AP1182" s="6"/>
      <c r="AQ1182" s="6"/>
      <c r="AR1182" s="6"/>
      <c r="AS1182" s="6"/>
      <c r="AT1182" s="6"/>
      <c r="AU1182" s="6"/>
      <c r="AV1182" s="6"/>
      <c r="AW1182" s="6"/>
      <c r="AX1182" s="6"/>
      <c r="AY1182" s="6"/>
      <c r="AZ1182" s="6"/>
      <c r="BA1182" s="6"/>
      <c r="BB1182" s="6"/>
      <c r="BC1182" s="6"/>
      <c r="BD1182" s="6"/>
      <c r="BE1182" s="6"/>
      <c r="BF1182" s="6"/>
      <c r="BG1182" s="6"/>
      <c r="BH1182" s="6"/>
      <c r="BI1182" s="6"/>
      <c r="BJ1182" s="6"/>
      <c r="BK1182" s="6"/>
      <c r="BL1182" s="6"/>
      <c r="BM1182" s="6"/>
      <c r="BN1182" s="6"/>
      <c r="BO1182" s="6"/>
      <c r="BP1182" s="6"/>
      <c r="BQ1182" s="6"/>
    </row>
    <row r="1183" spans="2:69" hidden="1" x14ac:dyDescent="0.2">
      <c r="B1183" s="13"/>
      <c r="C1183" s="13"/>
      <c r="D1183" s="13"/>
      <c r="E1183" s="13"/>
      <c r="F1183" s="13"/>
      <c r="G1183" s="13"/>
      <c r="H1183" s="13"/>
      <c r="I1183" s="13"/>
      <c r="J1183" s="13"/>
      <c r="K1183" s="13"/>
      <c r="L1183" s="13"/>
      <c r="M1183" s="13"/>
      <c r="N1183" s="13"/>
      <c r="O1183" s="13"/>
      <c r="P1183" s="13"/>
      <c r="Q1183" s="13"/>
      <c r="R1183" s="13"/>
      <c r="S1183" s="13"/>
      <c r="T1183" s="13"/>
      <c r="U1183" s="13"/>
      <c r="V1183" s="13"/>
      <c r="W1183" s="13"/>
      <c r="X1183" s="13"/>
      <c r="Y1183" s="13"/>
      <c r="Z1183" s="13"/>
      <c r="AA1183" s="13"/>
      <c r="AB1183" s="13"/>
      <c r="AM1183" s="6"/>
      <c r="AN1183" s="6"/>
      <c r="AO1183" s="6"/>
      <c r="AP1183" s="6"/>
      <c r="AQ1183" s="6"/>
      <c r="AR1183" s="6"/>
      <c r="AS1183" s="6"/>
      <c r="AT1183" s="6"/>
      <c r="AU1183" s="6"/>
      <c r="AV1183" s="6"/>
      <c r="AW1183" s="6"/>
      <c r="AX1183" s="6"/>
      <c r="AY1183" s="6"/>
      <c r="AZ1183" s="6"/>
      <c r="BA1183" s="6"/>
      <c r="BB1183" s="6"/>
      <c r="BC1183" s="6"/>
      <c r="BD1183" s="6"/>
      <c r="BE1183" s="6"/>
      <c r="BF1183" s="6"/>
      <c r="BG1183" s="6"/>
      <c r="BH1183" s="6"/>
      <c r="BI1183" s="6"/>
      <c r="BJ1183" s="6"/>
      <c r="BK1183" s="6"/>
      <c r="BL1183" s="6"/>
      <c r="BM1183" s="6"/>
      <c r="BN1183" s="6"/>
      <c r="BO1183" s="6"/>
      <c r="BP1183" s="6"/>
      <c r="BQ1183" s="6"/>
    </row>
    <row r="1184" spans="2:69" hidden="1" x14ac:dyDescent="0.2">
      <c r="B1184" s="13"/>
      <c r="C1184" s="13"/>
      <c r="D1184" s="13"/>
      <c r="E1184" s="13"/>
      <c r="F1184" s="13"/>
      <c r="G1184" s="13"/>
      <c r="H1184" s="13"/>
      <c r="I1184" s="13"/>
      <c r="J1184" s="13"/>
      <c r="K1184" s="13"/>
      <c r="L1184" s="13"/>
      <c r="M1184" s="13"/>
      <c r="N1184" s="13"/>
      <c r="O1184" s="13"/>
      <c r="P1184" s="13"/>
      <c r="Q1184" s="13"/>
      <c r="R1184" s="13"/>
      <c r="S1184" s="13"/>
      <c r="T1184" s="13"/>
      <c r="U1184" s="13"/>
      <c r="V1184" s="13"/>
      <c r="W1184" s="13"/>
      <c r="X1184" s="13"/>
      <c r="Y1184" s="13"/>
      <c r="Z1184" s="13"/>
      <c r="AA1184" s="13"/>
      <c r="AB1184" s="13"/>
      <c r="AM1184" s="6"/>
      <c r="AN1184" s="6"/>
      <c r="AO1184" s="6"/>
      <c r="AP1184" s="6"/>
      <c r="AQ1184" s="6"/>
      <c r="AR1184" s="6"/>
      <c r="AS1184" s="6"/>
      <c r="AT1184" s="6"/>
      <c r="AU1184" s="6"/>
      <c r="AV1184" s="6"/>
      <c r="AW1184" s="6"/>
      <c r="AX1184" s="6"/>
      <c r="AY1184" s="6"/>
      <c r="AZ1184" s="6"/>
      <c r="BA1184" s="6"/>
      <c r="BB1184" s="6"/>
      <c r="BC1184" s="6"/>
      <c r="BD1184" s="6"/>
      <c r="BE1184" s="6"/>
      <c r="BF1184" s="6"/>
      <c r="BG1184" s="6"/>
      <c r="BH1184" s="6"/>
      <c r="BI1184" s="6"/>
      <c r="BJ1184" s="6"/>
      <c r="BK1184" s="6"/>
      <c r="BL1184" s="6"/>
      <c r="BM1184" s="6"/>
      <c r="BN1184" s="6"/>
      <c r="BO1184" s="6"/>
      <c r="BP1184" s="6"/>
      <c r="BQ1184" s="6"/>
    </row>
    <row r="1185" spans="2:69" hidden="1" x14ac:dyDescent="0.2">
      <c r="B1185" s="13"/>
      <c r="C1185" s="13"/>
      <c r="D1185" s="13"/>
      <c r="E1185" s="13"/>
      <c r="F1185" s="13"/>
      <c r="G1185" s="13"/>
      <c r="H1185" s="13"/>
      <c r="I1185" s="13"/>
      <c r="J1185" s="13"/>
      <c r="K1185" s="13"/>
      <c r="L1185" s="13"/>
      <c r="M1185" s="13"/>
      <c r="N1185" s="13"/>
      <c r="O1185" s="13"/>
      <c r="P1185" s="13"/>
      <c r="Q1185" s="13"/>
      <c r="R1185" s="13"/>
      <c r="S1185" s="13"/>
      <c r="T1185" s="13"/>
      <c r="U1185" s="13"/>
      <c r="V1185" s="13"/>
      <c r="W1185" s="13"/>
      <c r="X1185" s="13"/>
      <c r="Y1185" s="13"/>
      <c r="Z1185" s="13"/>
      <c r="AA1185" s="13"/>
      <c r="AB1185" s="13"/>
      <c r="AM1185" s="6"/>
      <c r="AN1185" s="6"/>
      <c r="AO1185" s="6"/>
      <c r="AP1185" s="6"/>
      <c r="AQ1185" s="6"/>
      <c r="AR1185" s="6"/>
      <c r="AS1185" s="6"/>
      <c r="AT1185" s="6"/>
      <c r="AU1185" s="6"/>
      <c r="AV1185" s="6"/>
      <c r="AW1185" s="6"/>
      <c r="AX1185" s="6"/>
      <c r="AY1185" s="6"/>
      <c r="AZ1185" s="6"/>
      <c r="BA1185" s="6"/>
      <c r="BB1185" s="6"/>
      <c r="BC1185" s="6"/>
      <c r="BD1185" s="6"/>
      <c r="BE1185" s="6"/>
      <c r="BF1185" s="6"/>
      <c r="BG1185" s="6"/>
      <c r="BH1185" s="6"/>
      <c r="BI1185" s="6"/>
      <c r="BJ1185" s="6"/>
      <c r="BK1185" s="6"/>
      <c r="BL1185" s="6"/>
      <c r="BM1185" s="6"/>
      <c r="BN1185" s="6"/>
      <c r="BO1185" s="6"/>
      <c r="BP1185" s="6"/>
      <c r="BQ1185" s="6"/>
    </row>
    <row r="1186" spans="2:69" hidden="1" x14ac:dyDescent="0.2">
      <c r="B1186" s="13"/>
      <c r="C1186" s="13"/>
      <c r="D1186" s="13"/>
      <c r="E1186" s="13"/>
      <c r="F1186" s="13"/>
      <c r="G1186" s="13"/>
      <c r="H1186" s="13"/>
      <c r="I1186" s="13"/>
      <c r="J1186" s="13"/>
      <c r="K1186" s="13"/>
      <c r="L1186" s="13"/>
      <c r="M1186" s="13"/>
      <c r="N1186" s="13"/>
      <c r="O1186" s="13"/>
      <c r="P1186" s="13"/>
      <c r="Q1186" s="13"/>
      <c r="R1186" s="13"/>
      <c r="S1186" s="13"/>
      <c r="T1186" s="13"/>
      <c r="U1186" s="13"/>
      <c r="V1186" s="13"/>
      <c r="W1186" s="13"/>
      <c r="X1186" s="13"/>
      <c r="Y1186" s="13"/>
      <c r="Z1186" s="13"/>
      <c r="AA1186" s="13"/>
      <c r="AB1186" s="13"/>
      <c r="AM1186" s="6"/>
      <c r="AN1186" s="6"/>
      <c r="AO1186" s="6"/>
      <c r="AP1186" s="6"/>
      <c r="AQ1186" s="6"/>
      <c r="AR1186" s="6"/>
      <c r="AS1186" s="6"/>
      <c r="AT1186" s="6"/>
      <c r="AU1186" s="6"/>
      <c r="AV1186" s="6"/>
      <c r="AW1186" s="6"/>
      <c r="AX1186" s="6"/>
      <c r="AY1186" s="6"/>
      <c r="AZ1186" s="6"/>
      <c r="BA1186" s="6"/>
      <c r="BB1186" s="6"/>
      <c r="BC1186" s="6"/>
      <c r="BD1186" s="6"/>
      <c r="BE1186" s="6"/>
      <c r="BF1186" s="6"/>
      <c r="BG1186" s="6"/>
      <c r="BH1186" s="6"/>
      <c r="BI1186" s="6"/>
      <c r="BJ1186" s="6"/>
      <c r="BK1186" s="6"/>
      <c r="BL1186" s="6"/>
      <c r="BM1186" s="6"/>
      <c r="BN1186" s="6"/>
      <c r="BO1186" s="6"/>
      <c r="BP1186" s="6"/>
      <c r="BQ1186" s="6"/>
    </row>
    <row r="1187" spans="2:69" hidden="1" x14ac:dyDescent="0.2">
      <c r="B1187" s="13"/>
      <c r="C1187" s="13"/>
      <c r="D1187" s="13"/>
      <c r="E1187" s="13"/>
      <c r="F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M1187" s="6"/>
      <c r="AN1187" s="6"/>
      <c r="AO1187" s="6"/>
      <c r="AP1187" s="6"/>
      <c r="AQ1187" s="6"/>
      <c r="AR1187" s="6"/>
      <c r="AS1187" s="6"/>
      <c r="AT1187" s="6"/>
      <c r="AU1187" s="6"/>
      <c r="AV1187" s="6"/>
      <c r="AW1187" s="6"/>
      <c r="AX1187" s="6"/>
      <c r="AY1187" s="6"/>
      <c r="AZ1187" s="6"/>
      <c r="BA1187" s="6"/>
      <c r="BB1187" s="6"/>
      <c r="BC1187" s="6"/>
      <c r="BD1187" s="6"/>
      <c r="BE1187" s="6"/>
      <c r="BF1187" s="6"/>
      <c r="BG1187" s="6"/>
      <c r="BH1187" s="6"/>
      <c r="BI1187" s="6"/>
      <c r="BJ1187" s="6"/>
      <c r="BK1187" s="6"/>
      <c r="BL1187" s="6"/>
      <c r="BM1187" s="6"/>
      <c r="BN1187" s="6"/>
      <c r="BO1187" s="6"/>
      <c r="BP1187" s="6"/>
      <c r="BQ1187" s="6"/>
    </row>
    <row r="1188" spans="2:69" hidden="1" x14ac:dyDescent="0.2">
      <c r="B1188" s="13"/>
      <c r="C1188" s="13"/>
      <c r="D1188" s="13"/>
      <c r="E1188" s="13"/>
      <c r="F1188" s="13"/>
      <c r="G1188" s="13"/>
      <c r="H1188" s="13"/>
      <c r="I1188" s="13"/>
      <c r="J1188" s="13"/>
      <c r="K1188" s="13"/>
      <c r="L1188" s="13"/>
      <c r="M1188" s="13"/>
      <c r="N1188" s="13"/>
      <c r="O1188" s="13"/>
      <c r="P1188" s="13"/>
      <c r="Q1188" s="13"/>
      <c r="R1188" s="13"/>
      <c r="S1188" s="13"/>
      <c r="T1188" s="13"/>
      <c r="U1188" s="13"/>
      <c r="V1188" s="13"/>
      <c r="W1188" s="13"/>
      <c r="X1188" s="13"/>
      <c r="Y1188" s="13"/>
      <c r="Z1188" s="13"/>
      <c r="AA1188" s="13"/>
      <c r="AB1188" s="13"/>
      <c r="AM1188" s="6"/>
      <c r="AN1188" s="6"/>
      <c r="AO1188" s="6"/>
      <c r="AP1188" s="6"/>
      <c r="AQ1188" s="6"/>
      <c r="AR1188" s="6"/>
      <c r="AS1188" s="6"/>
      <c r="AT1188" s="6"/>
      <c r="AU1188" s="6"/>
      <c r="AV1188" s="6"/>
      <c r="AW1188" s="6"/>
      <c r="AX1188" s="6"/>
      <c r="AY1188" s="6"/>
      <c r="AZ1188" s="6"/>
      <c r="BA1188" s="6"/>
      <c r="BB1188" s="6"/>
      <c r="BC1188" s="6"/>
      <c r="BD1188" s="6"/>
      <c r="BE1188" s="6"/>
      <c r="BF1188" s="6"/>
      <c r="BG1188" s="6"/>
      <c r="BH1188" s="6"/>
      <c r="BI1188" s="6"/>
      <c r="BJ1188" s="6"/>
      <c r="BK1188" s="6"/>
      <c r="BL1188" s="6"/>
      <c r="BM1188" s="6"/>
      <c r="BN1188" s="6"/>
      <c r="BO1188" s="6"/>
      <c r="BP1188" s="6"/>
      <c r="BQ1188" s="6"/>
    </row>
    <row r="1189" spans="2:69" hidden="1" x14ac:dyDescent="0.2">
      <c r="B1189" s="13"/>
      <c r="C1189" s="13"/>
      <c r="D1189" s="13"/>
      <c r="E1189" s="13"/>
      <c r="F1189" s="13"/>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M1189" s="6"/>
      <c r="AN1189" s="6"/>
      <c r="AO1189" s="6"/>
      <c r="AP1189" s="6"/>
      <c r="AQ1189" s="6"/>
      <c r="AR1189" s="6"/>
      <c r="AS1189" s="6"/>
      <c r="AT1189" s="6"/>
      <c r="AU1189" s="6"/>
      <c r="AV1189" s="6"/>
      <c r="AW1189" s="6"/>
      <c r="AX1189" s="6"/>
      <c r="AY1189" s="6"/>
      <c r="AZ1189" s="6"/>
      <c r="BA1189" s="6"/>
      <c r="BB1189" s="6"/>
      <c r="BC1189" s="6"/>
      <c r="BD1189" s="6"/>
      <c r="BE1189" s="6"/>
      <c r="BF1189" s="6"/>
      <c r="BG1189" s="6"/>
      <c r="BH1189" s="6"/>
      <c r="BI1189" s="6"/>
      <c r="BJ1189" s="6"/>
      <c r="BK1189" s="6"/>
      <c r="BL1189" s="6"/>
      <c r="BM1189" s="6"/>
      <c r="BN1189" s="6"/>
      <c r="BO1189" s="6"/>
      <c r="BP1189" s="6"/>
      <c r="BQ1189" s="6"/>
    </row>
    <row r="1190" spans="2:69" hidden="1" x14ac:dyDescent="0.2">
      <c r="B1190" s="13"/>
      <c r="C1190" s="13"/>
      <c r="D1190" s="13"/>
      <c r="E1190" s="13"/>
      <c r="F1190" s="13"/>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M1190" s="6"/>
      <c r="AN1190" s="6"/>
      <c r="AO1190" s="6"/>
      <c r="AP1190" s="6"/>
      <c r="AQ1190" s="6"/>
      <c r="AR1190" s="6"/>
      <c r="AS1190" s="6"/>
      <c r="AT1190" s="6"/>
      <c r="AU1190" s="6"/>
      <c r="AV1190" s="6"/>
      <c r="AW1190" s="6"/>
      <c r="AX1190" s="6"/>
      <c r="AY1190" s="6"/>
      <c r="AZ1190" s="6"/>
      <c r="BA1190" s="6"/>
      <c r="BB1190" s="6"/>
      <c r="BC1190" s="6"/>
      <c r="BD1190" s="6"/>
      <c r="BE1190" s="6"/>
      <c r="BF1190" s="6"/>
      <c r="BG1190" s="6"/>
      <c r="BH1190" s="6"/>
      <c r="BI1190" s="6"/>
      <c r="BJ1190" s="6"/>
      <c r="BK1190" s="6"/>
      <c r="BL1190" s="6"/>
      <c r="BM1190" s="6"/>
      <c r="BN1190" s="6"/>
      <c r="BO1190" s="6"/>
      <c r="BP1190" s="6"/>
      <c r="BQ1190" s="6"/>
    </row>
    <row r="1191" spans="2:69" hidden="1" x14ac:dyDescent="0.2">
      <c r="B1191" s="13"/>
      <c r="C1191" s="13"/>
      <c r="D1191" s="13"/>
      <c r="E1191" s="13"/>
      <c r="F1191" s="13"/>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M1191" s="6"/>
      <c r="AN1191" s="6"/>
      <c r="AO1191" s="6"/>
      <c r="AP1191" s="6"/>
      <c r="AQ1191" s="6"/>
      <c r="AR1191" s="6"/>
      <c r="AS1191" s="6"/>
      <c r="AT1191" s="6"/>
      <c r="AU1191" s="6"/>
      <c r="AV1191" s="6"/>
      <c r="AW1191" s="6"/>
      <c r="AX1191" s="6"/>
      <c r="AY1191" s="6"/>
      <c r="AZ1191" s="6"/>
      <c r="BA1191" s="6"/>
      <c r="BB1191" s="6"/>
      <c r="BC1191" s="6"/>
      <c r="BD1191" s="6"/>
      <c r="BE1191" s="6"/>
      <c r="BF1191" s="6"/>
      <c r="BG1191" s="6"/>
      <c r="BH1191" s="6"/>
      <c r="BI1191" s="6"/>
      <c r="BJ1191" s="6"/>
      <c r="BK1191" s="6"/>
      <c r="BL1191" s="6"/>
      <c r="BM1191" s="6"/>
      <c r="BN1191" s="6"/>
      <c r="BO1191" s="6"/>
      <c r="BP1191" s="6"/>
      <c r="BQ1191" s="6"/>
    </row>
    <row r="1192" spans="2:69" hidden="1" x14ac:dyDescent="0.2">
      <c r="B1192" s="13"/>
      <c r="C1192" s="13"/>
      <c r="D1192" s="13"/>
      <c r="E1192" s="13"/>
      <c r="F1192" s="13"/>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M1192" s="6"/>
      <c r="AN1192" s="6"/>
      <c r="AO1192" s="6"/>
      <c r="AP1192" s="6"/>
      <c r="AQ1192" s="6"/>
      <c r="AR1192" s="6"/>
      <c r="AS1192" s="6"/>
      <c r="AT1192" s="6"/>
      <c r="AU1192" s="6"/>
      <c r="AV1192" s="6"/>
      <c r="AW1192" s="6"/>
      <c r="AX1192" s="6"/>
      <c r="AY1192" s="6"/>
      <c r="AZ1192" s="6"/>
      <c r="BA1192" s="6"/>
      <c r="BB1192" s="6"/>
      <c r="BC1192" s="6"/>
      <c r="BD1192" s="6"/>
      <c r="BE1192" s="6"/>
      <c r="BF1192" s="6"/>
      <c r="BG1192" s="6"/>
      <c r="BH1192" s="6"/>
      <c r="BI1192" s="6"/>
      <c r="BJ1192" s="6"/>
      <c r="BK1192" s="6"/>
      <c r="BL1192" s="6"/>
      <c r="BM1192" s="6"/>
      <c r="BN1192" s="6"/>
      <c r="BO1192" s="6"/>
      <c r="BP1192" s="6"/>
      <c r="BQ1192" s="6"/>
    </row>
    <row r="1193" spans="2:69" hidden="1" x14ac:dyDescent="0.2">
      <c r="B1193" s="13"/>
      <c r="C1193" s="13"/>
      <c r="D1193" s="13"/>
      <c r="E1193" s="13"/>
      <c r="F1193" s="13"/>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M1193" s="6"/>
      <c r="AN1193" s="6"/>
      <c r="AO1193" s="6"/>
      <c r="AP1193" s="6"/>
      <c r="AQ1193" s="6"/>
      <c r="AR1193" s="6"/>
      <c r="AS1193" s="6"/>
      <c r="AT1193" s="6"/>
      <c r="AU1193" s="6"/>
      <c r="AV1193" s="6"/>
      <c r="AW1193" s="6"/>
      <c r="AX1193" s="6"/>
      <c r="AY1193" s="6"/>
      <c r="AZ1193" s="6"/>
      <c r="BA1193" s="6"/>
      <c r="BB1193" s="6"/>
      <c r="BC1193" s="6"/>
      <c r="BD1193" s="6"/>
      <c r="BE1193" s="6"/>
      <c r="BF1193" s="6"/>
      <c r="BG1193" s="6"/>
      <c r="BH1193" s="6"/>
      <c r="BI1193" s="6"/>
      <c r="BJ1193" s="6"/>
      <c r="BK1193" s="6"/>
      <c r="BL1193" s="6"/>
      <c r="BM1193" s="6"/>
      <c r="BN1193" s="6"/>
      <c r="BO1193" s="6"/>
      <c r="BP1193" s="6"/>
      <c r="BQ1193" s="6"/>
    </row>
    <row r="1194" spans="2:69" hidden="1" x14ac:dyDescent="0.2">
      <c r="B1194" s="13"/>
      <c r="C1194" s="13"/>
      <c r="D1194" s="13"/>
      <c r="E1194" s="13"/>
      <c r="F1194" s="13"/>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M1194" s="6"/>
      <c r="AN1194" s="6"/>
      <c r="AO1194" s="6"/>
      <c r="AP1194" s="6"/>
      <c r="AQ1194" s="6"/>
      <c r="AR1194" s="6"/>
      <c r="AS1194" s="6"/>
      <c r="AT1194" s="6"/>
      <c r="AU1194" s="6"/>
      <c r="AV1194" s="6"/>
      <c r="AW1194" s="6"/>
      <c r="AX1194" s="6"/>
      <c r="AY1194" s="6"/>
      <c r="AZ1194" s="6"/>
      <c r="BA1194" s="6"/>
      <c r="BB1194" s="6"/>
      <c r="BC1194" s="6"/>
      <c r="BD1194" s="6"/>
      <c r="BE1194" s="6"/>
      <c r="BF1194" s="6"/>
      <c r="BG1194" s="6"/>
      <c r="BH1194" s="6"/>
      <c r="BI1194" s="6"/>
      <c r="BJ1194" s="6"/>
      <c r="BK1194" s="6"/>
      <c r="BL1194" s="6"/>
      <c r="BM1194" s="6"/>
      <c r="BN1194" s="6"/>
      <c r="BO1194" s="6"/>
      <c r="BP1194" s="6"/>
      <c r="BQ1194" s="6"/>
    </row>
    <row r="1195" spans="2:69" hidden="1" x14ac:dyDescent="0.2">
      <c r="B1195" s="13"/>
      <c r="C1195" s="13"/>
      <c r="D1195" s="13"/>
      <c r="E1195" s="13"/>
      <c r="F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M1195" s="6"/>
      <c r="AN1195" s="6"/>
      <c r="AO1195" s="6"/>
      <c r="AP1195" s="6"/>
      <c r="AQ1195" s="6"/>
      <c r="AR1195" s="6"/>
      <c r="AS1195" s="6"/>
      <c r="AT1195" s="6"/>
      <c r="AU1195" s="6"/>
      <c r="AV1195" s="6"/>
      <c r="AW1195" s="6"/>
      <c r="AX1195" s="6"/>
      <c r="AY1195" s="6"/>
      <c r="AZ1195" s="6"/>
      <c r="BA1195" s="6"/>
      <c r="BB1195" s="6"/>
      <c r="BC1195" s="6"/>
      <c r="BD1195" s="6"/>
      <c r="BE1195" s="6"/>
      <c r="BF1195" s="6"/>
      <c r="BG1195" s="6"/>
      <c r="BH1195" s="6"/>
      <c r="BI1195" s="6"/>
      <c r="BJ1195" s="6"/>
      <c r="BK1195" s="6"/>
      <c r="BL1195" s="6"/>
      <c r="BM1195" s="6"/>
      <c r="BN1195" s="6"/>
      <c r="BO1195" s="6"/>
      <c r="BP1195" s="6"/>
      <c r="BQ1195" s="6"/>
    </row>
    <row r="1196" spans="2:69" hidden="1" x14ac:dyDescent="0.2">
      <c r="B1196" s="13"/>
      <c r="C1196" s="13"/>
      <c r="D1196" s="13"/>
      <c r="E1196" s="13"/>
      <c r="F1196" s="13"/>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M1196" s="6"/>
      <c r="AN1196" s="6"/>
      <c r="AO1196" s="6"/>
      <c r="AP1196" s="6"/>
      <c r="AQ1196" s="6"/>
      <c r="AR1196" s="6"/>
      <c r="AS1196" s="6"/>
      <c r="AT1196" s="6"/>
      <c r="AU1196" s="6"/>
      <c r="AV1196" s="6"/>
      <c r="AW1196" s="6"/>
      <c r="AX1196" s="6"/>
      <c r="AY1196" s="6"/>
      <c r="AZ1196" s="6"/>
      <c r="BA1196" s="6"/>
      <c r="BB1196" s="6"/>
      <c r="BC1196" s="6"/>
      <c r="BD1196" s="6"/>
      <c r="BE1196" s="6"/>
      <c r="BF1196" s="6"/>
      <c r="BG1196" s="6"/>
      <c r="BH1196" s="6"/>
      <c r="BI1196" s="6"/>
      <c r="BJ1196" s="6"/>
      <c r="BK1196" s="6"/>
      <c r="BL1196" s="6"/>
      <c r="BM1196" s="6"/>
      <c r="BN1196" s="6"/>
      <c r="BO1196" s="6"/>
      <c r="BP1196" s="6"/>
      <c r="BQ1196" s="6"/>
    </row>
    <row r="1197" spans="2:69" hidden="1" x14ac:dyDescent="0.2">
      <c r="B1197" s="13"/>
      <c r="C1197" s="13"/>
      <c r="D1197" s="13"/>
      <c r="E1197" s="13"/>
      <c r="F1197" s="13"/>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M1197" s="6"/>
      <c r="AN1197" s="6"/>
      <c r="AO1197" s="6"/>
      <c r="AP1197" s="6"/>
      <c r="AQ1197" s="6"/>
      <c r="AR1197" s="6"/>
      <c r="AS1197" s="6"/>
      <c r="AT1197" s="6"/>
      <c r="AU1197" s="6"/>
      <c r="AV1197" s="6"/>
      <c r="AW1197" s="6"/>
      <c r="AX1197" s="6"/>
      <c r="AY1197" s="6"/>
      <c r="AZ1197" s="6"/>
      <c r="BA1197" s="6"/>
      <c r="BB1197" s="6"/>
      <c r="BC1197" s="6"/>
      <c r="BD1197" s="6"/>
      <c r="BE1197" s="6"/>
      <c r="BF1197" s="6"/>
      <c r="BG1197" s="6"/>
      <c r="BH1197" s="6"/>
      <c r="BI1197" s="6"/>
      <c r="BJ1197" s="6"/>
      <c r="BK1197" s="6"/>
      <c r="BL1197" s="6"/>
      <c r="BM1197" s="6"/>
      <c r="BN1197" s="6"/>
      <c r="BO1197" s="6"/>
      <c r="BP1197" s="6"/>
      <c r="BQ1197" s="6"/>
    </row>
    <row r="1198" spans="2:69" hidden="1" x14ac:dyDescent="0.2">
      <c r="B1198" s="13"/>
      <c r="C1198" s="13"/>
      <c r="D1198" s="13"/>
      <c r="E1198" s="13"/>
      <c r="F1198" s="13"/>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M1198" s="6"/>
      <c r="AN1198" s="6"/>
      <c r="AO1198" s="6"/>
      <c r="AP1198" s="6"/>
      <c r="AQ1198" s="6"/>
      <c r="AR1198" s="6"/>
      <c r="AS1198" s="6"/>
      <c r="AT1198" s="6"/>
      <c r="AU1198" s="6"/>
      <c r="AV1198" s="6"/>
      <c r="AW1198" s="6"/>
      <c r="AX1198" s="6"/>
      <c r="AY1198" s="6"/>
      <c r="AZ1198" s="6"/>
      <c r="BA1198" s="6"/>
      <c r="BB1198" s="6"/>
      <c r="BC1198" s="6"/>
      <c r="BD1198" s="6"/>
      <c r="BE1198" s="6"/>
      <c r="BF1198" s="6"/>
      <c r="BG1198" s="6"/>
      <c r="BH1198" s="6"/>
      <c r="BI1198" s="6"/>
      <c r="BJ1198" s="6"/>
      <c r="BK1198" s="6"/>
      <c r="BL1198" s="6"/>
      <c r="BM1198" s="6"/>
      <c r="BN1198" s="6"/>
      <c r="BO1198" s="6"/>
      <c r="BP1198" s="6"/>
      <c r="BQ1198" s="6"/>
    </row>
    <row r="1199" spans="2:69" hidden="1" x14ac:dyDescent="0.2">
      <c r="B1199" s="13"/>
      <c r="C1199" s="13"/>
      <c r="D1199" s="13"/>
      <c r="E1199" s="13"/>
      <c r="F1199" s="13"/>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M1199" s="6"/>
      <c r="AN1199" s="6"/>
      <c r="AO1199" s="6"/>
      <c r="AP1199" s="6"/>
      <c r="AQ1199" s="6"/>
      <c r="AR1199" s="6"/>
      <c r="AS1199" s="6"/>
      <c r="AT1199" s="6"/>
      <c r="AU1199" s="6"/>
      <c r="AV1199" s="6"/>
      <c r="AW1199" s="6"/>
      <c r="AX1199" s="6"/>
      <c r="AY1199" s="6"/>
      <c r="AZ1199" s="6"/>
      <c r="BA1199" s="6"/>
      <c r="BB1199" s="6"/>
      <c r="BC1199" s="6"/>
      <c r="BD1199" s="6"/>
      <c r="BE1199" s="6"/>
      <c r="BF1199" s="6"/>
      <c r="BG1199" s="6"/>
      <c r="BH1199" s="6"/>
      <c r="BI1199" s="6"/>
      <c r="BJ1199" s="6"/>
      <c r="BK1199" s="6"/>
      <c r="BL1199" s="6"/>
      <c r="BM1199" s="6"/>
      <c r="BN1199" s="6"/>
      <c r="BO1199" s="6"/>
      <c r="BP1199" s="6"/>
      <c r="BQ1199" s="6"/>
    </row>
    <row r="1200" spans="2:69" hidden="1" x14ac:dyDescent="0.2">
      <c r="B1200" s="13"/>
      <c r="C1200" s="13"/>
      <c r="D1200" s="13"/>
      <c r="E1200" s="13"/>
      <c r="F1200" s="13"/>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M1200" s="6"/>
      <c r="AN1200" s="6"/>
      <c r="AO1200" s="6"/>
      <c r="AP1200" s="6"/>
      <c r="AQ1200" s="6"/>
      <c r="AR1200" s="6"/>
      <c r="AS1200" s="6"/>
      <c r="AT1200" s="6"/>
      <c r="AU1200" s="6"/>
      <c r="AV1200" s="6"/>
      <c r="AW1200" s="6"/>
      <c r="AX1200" s="6"/>
      <c r="AY1200" s="6"/>
      <c r="AZ1200" s="6"/>
      <c r="BA1200" s="6"/>
      <c r="BB1200" s="6"/>
      <c r="BC1200" s="6"/>
      <c r="BD1200" s="6"/>
      <c r="BE1200" s="6"/>
      <c r="BF1200" s="6"/>
      <c r="BG1200" s="6"/>
      <c r="BH1200" s="6"/>
      <c r="BI1200" s="6"/>
      <c r="BJ1200" s="6"/>
      <c r="BK1200" s="6"/>
      <c r="BL1200" s="6"/>
      <c r="BM1200" s="6"/>
      <c r="BN1200" s="6"/>
      <c r="BO1200" s="6"/>
      <c r="BP1200" s="6"/>
      <c r="BQ1200" s="6"/>
    </row>
    <row r="1201" spans="2:69" hidden="1" x14ac:dyDescent="0.2">
      <c r="B1201" s="13"/>
      <c r="C1201" s="13"/>
      <c r="D1201" s="13"/>
      <c r="E1201" s="13"/>
      <c r="F1201" s="13"/>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M1201" s="6"/>
      <c r="AN1201" s="6"/>
      <c r="AO1201" s="6"/>
      <c r="AP1201" s="6"/>
      <c r="AQ1201" s="6"/>
      <c r="AR1201" s="6"/>
      <c r="AS1201" s="6"/>
      <c r="AT1201" s="6"/>
      <c r="AU1201" s="6"/>
      <c r="AV1201" s="6"/>
      <c r="AW1201" s="6"/>
      <c r="AX1201" s="6"/>
      <c r="AY1201" s="6"/>
      <c r="AZ1201" s="6"/>
      <c r="BA1201" s="6"/>
      <c r="BB1201" s="6"/>
      <c r="BC1201" s="6"/>
      <c r="BD1201" s="6"/>
      <c r="BE1201" s="6"/>
      <c r="BF1201" s="6"/>
      <c r="BG1201" s="6"/>
      <c r="BH1201" s="6"/>
      <c r="BI1201" s="6"/>
      <c r="BJ1201" s="6"/>
      <c r="BK1201" s="6"/>
      <c r="BL1201" s="6"/>
      <c r="BM1201" s="6"/>
      <c r="BN1201" s="6"/>
      <c r="BO1201" s="6"/>
      <c r="BP1201" s="6"/>
      <c r="BQ1201" s="6"/>
    </row>
    <row r="1202" spans="2:69" hidden="1" x14ac:dyDescent="0.2">
      <c r="B1202" s="13"/>
      <c r="C1202" s="13"/>
      <c r="D1202" s="13"/>
      <c r="E1202" s="13"/>
      <c r="F1202" s="13"/>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M1202" s="6"/>
      <c r="AN1202" s="6"/>
      <c r="AO1202" s="6"/>
      <c r="AP1202" s="6"/>
      <c r="AQ1202" s="6"/>
      <c r="AR1202" s="6"/>
      <c r="AS1202" s="6"/>
      <c r="AT1202" s="6"/>
      <c r="AU1202" s="6"/>
      <c r="AV1202" s="6"/>
      <c r="AW1202" s="6"/>
      <c r="AX1202" s="6"/>
      <c r="AY1202" s="6"/>
      <c r="AZ1202" s="6"/>
      <c r="BA1202" s="6"/>
      <c r="BB1202" s="6"/>
      <c r="BC1202" s="6"/>
      <c r="BD1202" s="6"/>
      <c r="BE1202" s="6"/>
      <c r="BF1202" s="6"/>
      <c r="BG1202" s="6"/>
      <c r="BH1202" s="6"/>
      <c r="BI1202" s="6"/>
      <c r="BJ1202" s="6"/>
      <c r="BK1202" s="6"/>
      <c r="BL1202" s="6"/>
      <c r="BM1202" s="6"/>
      <c r="BN1202" s="6"/>
      <c r="BO1202" s="6"/>
      <c r="BP1202" s="6"/>
      <c r="BQ1202" s="6"/>
    </row>
    <row r="1203" spans="2:69" hidden="1" x14ac:dyDescent="0.2">
      <c r="B1203" s="13"/>
      <c r="C1203" s="13"/>
      <c r="D1203" s="13"/>
      <c r="E1203" s="13"/>
      <c r="F1203" s="13"/>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M1203" s="6"/>
      <c r="AN1203" s="6"/>
      <c r="AO1203" s="6"/>
      <c r="AP1203" s="6"/>
      <c r="AQ1203" s="6"/>
      <c r="AR1203" s="6"/>
      <c r="AS1203" s="6"/>
      <c r="AT1203" s="6"/>
      <c r="AU1203" s="6"/>
      <c r="AV1203" s="6"/>
      <c r="AW1203" s="6"/>
      <c r="AX1203" s="6"/>
      <c r="AY1203" s="6"/>
      <c r="AZ1203" s="6"/>
      <c r="BA1203" s="6"/>
      <c r="BB1203" s="6"/>
      <c r="BC1203" s="6"/>
      <c r="BD1203" s="6"/>
      <c r="BE1203" s="6"/>
      <c r="BF1203" s="6"/>
      <c r="BG1203" s="6"/>
      <c r="BH1203" s="6"/>
      <c r="BI1203" s="6"/>
      <c r="BJ1203" s="6"/>
      <c r="BK1203" s="6"/>
      <c r="BL1203" s="6"/>
      <c r="BM1203" s="6"/>
      <c r="BN1203" s="6"/>
      <c r="BO1203" s="6"/>
      <c r="BP1203" s="6"/>
      <c r="BQ1203" s="6"/>
    </row>
    <row r="1204" spans="2:69" hidden="1" x14ac:dyDescent="0.2">
      <c r="B1204" s="13"/>
      <c r="C1204" s="13"/>
      <c r="D1204" s="13"/>
      <c r="E1204" s="13"/>
      <c r="F1204" s="13"/>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M1204" s="6"/>
      <c r="AN1204" s="6"/>
      <c r="AO1204" s="6"/>
      <c r="AP1204" s="6"/>
      <c r="AQ1204" s="6"/>
      <c r="AR1204" s="6"/>
      <c r="AS1204" s="6"/>
      <c r="AT1204" s="6"/>
      <c r="AU1204" s="6"/>
      <c r="AV1204" s="6"/>
      <c r="AW1204" s="6"/>
      <c r="AX1204" s="6"/>
      <c r="AY1204" s="6"/>
      <c r="AZ1204" s="6"/>
      <c r="BA1204" s="6"/>
      <c r="BB1204" s="6"/>
      <c r="BC1204" s="6"/>
      <c r="BD1204" s="6"/>
      <c r="BE1204" s="6"/>
      <c r="BF1204" s="6"/>
      <c r="BG1204" s="6"/>
      <c r="BH1204" s="6"/>
      <c r="BI1204" s="6"/>
      <c r="BJ1204" s="6"/>
      <c r="BK1204" s="6"/>
      <c r="BL1204" s="6"/>
      <c r="BM1204" s="6"/>
      <c r="BN1204" s="6"/>
      <c r="BO1204" s="6"/>
      <c r="BP1204" s="6"/>
      <c r="BQ1204" s="6"/>
    </row>
    <row r="1205" spans="2:69" hidden="1" x14ac:dyDescent="0.2">
      <c r="B1205" s="13"/>
      <c r="C1205" s="13"/>
      <c r="D1205" s="13"/>
      <c r="E1205" s="13"/>
      <c r="F1205" s="13"/>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M1205" s="6"/>
      <c r="AN1205" s="6"/>
      <c r="AO1205" s="6"/>
      <c r="AP1205" s="6"/>
      <c r="AQ1205" s="6"/>
      <c r="AR1205" s="6"/>
      <c r="AS1205" s="6"/>
      <c r="AT1205" s="6"/>
      <c r="AU1205" s="6"/>
      <c r="AV1205" s="6"/>
      <c r="AW1205" s="6"/>
      <c r="AX1205" s="6"/>
      <c r="AY1205" s="6"/>
      <c r="AZ1205" s="6"/>
      <c r="BA1205" s="6"/>
      <c r="BB1205" s="6"/>
      <c r="BC1205" s="6"/>
      <c r="BD1205" s="6"/>
      <c r="BE1205" s="6"/>
      <c r="BF1205" s="6"/>
      <c r="BG1205" s="6"/>
      <c r="BH1205" s="6"/>
      <c r="BI1205" s="6"/>
      <c r="BJ1205" s="6"/>
      <c r="BK1205" s="6"/>
      <c r="BL1205" s="6"/>
      <c r="BM1205" s="6"/>
      <c r="BN1205" s="6"/>
      <c r="BO1205" s="6"/>
      <c r="BP1205" s="6"/>
      <c r="BQ1205" s="6"/>
    </row>
    <row r="1206" spans="2:69" hidden="1" x14ac:dyDescent="0.2">
      <c r="B1206" s="13"/>
      <c r="C1206" s="13"/>
      <c r="D1206" s="13"/>
      <c r="E1206" s="13"/>
      <c r="F1206" s="13"/>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M1206" s="6"/>
      <c r="AN1206" s="6"/>
      <c r="AO1206" s="6"/>
      <c r="AP1206" s="6"/>
      <c r="AQ1206" s="6"/>
      <c r="AR1206" s="6"/>
      <c r="AS1206" s="6"/>
      <c r="AT1206" s="6"/>
      <c r="AU1206" s="6"/>
      <c r="AV1206" s="6"/>
      <c r="AW1206" s="6"/>
      <c r="AX1206" s="6"/>
      <c r="AY1206" s="6"/>
      <c r="AZ1206" s="6"/>
      <c r="BA1206" s="6"/>
      <c r="BB1206" s="6"/>
      <c r="BC1206" s="6"/>
      <c r="BD1206" s="6"/>
      <c r="BE1206" s="6"/>
      <c r="BF1206" s="6"/>
      <c r="BG1206" s="6"/>
      <c r="BH1206" s="6"/>
      <c r="BI1206" s="6"/>
      <c r="BJ1206" s="6"/>
      <c r="BK1206" s="6"/>
      <c r="BL1206" s="6"/>
      <c r="BM1206" s="6"/>
      <c r="BN1206" s="6"/>
      <c r="BO1206" s="6"/>
      <c r="BP1206" s="6"/>
      <c r="BQ1206" s="6"/>
    </row>
    <row r="1207" spans="2:69" hidden="1" x14ac:dyDescent="0.2">
      <c r="B1207" s="13"/>
      <c r="C1207" s="13"/>
      <c r="D1207" s="13"/>
      <c r="E1207" s="13"/>
      <c r="F1207" s="13"/>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M1207" s="6"/>
      <c r="AN1207" s="6"/>
      <c r="AO1207" s="6"/>
      <c r="AP1207" s="6"/>
      <c r="AQ1207" s="6"/>
      <c r="AR1207" s="6"/>
      <c r="AS1207" s="6"/>
      <c r="AT1207" s="6"/>
      <c r="AU1207" s="6"/>
      <c r="AV1207" s="6"/>
      <c r="AW1207" s="6"/>
      <c r="AX1207" s="6"/>
      <c r="AY1207" s="6"/>
      <c r="AZ1207" s="6"/>
      <c r="BA1207" s="6"/>
      <c r="BB1207" s="6"/>
      <c r="BC1207" s="6"/>
      <c r="BD1207" s="6"/>
      <c r="BE1207" s="6"/>
      <c r="BF1207" s="6"/>
      <c r="BG1207" s="6"/>
      <c r="BH1207" s="6"/>
      <c r="BI1207" s="6"/>
      <c r="BJ1207" s="6"/>
      <c r="BK1207" s="6"/>
      <c r="BL1207" s="6"/>
      <c r="BM1207" s="6"/>
      <c r="BN1207" s="6"/>
      <c r="BO1207" s="6"/>
      <c r="BP1207" s="6"/>
      <c r="BQ1207" s="6"/>
    </row>
    <row r="1208" spans="2:69" hidden="1" x14ac:dyDescent="0.2">
      <c r="B1208" s="13"/>
      <c r="C1208" s="13"/>
      <c r="D1208" s="13"/>
      <c r="E1208" s="13"/>
      <c r="F1208" s="13"/>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M1208" s="6"/>
      <c r="AN1208" s="6"/>
      <c r="AO1208" s="6"/>
      <c r="AP1208" s="6"/>
      <c r="AQ1208" s="6"/>
      <c r="AR1208" s="6"/>
      <c r="AS1208" s="6"/>
      <c r="AT1208" s="6"/>
      <c r="AU1208" s="6"/>
      <c r="AV1208" s="6"/>
      <c r="AW1208" s="6"/>
      <c r="AX1208" s="6"/>
      <c r="AY1208" s="6"/>
      <c r="AZ1208" s="6"/>
      <c r="BA1208" s="6"/>
      <c r="BB1208" s="6"/>
      <c r="BC1208" s="6"/>
      <c r="BD1208" s="6"/>
      <c r="BE1208" s="6"/>
      <c r="BF1208" s="6"/>
      <c r="BG1208" s="6"/>
      <c r="BH1208" s="6"/>
      <c r="BI1208" s="6"/>
      <c r="BJ1208" s="6"/>
      <c r="BK1208" s="6"/>
      <c r="BL1208" s="6"/>
      <c r="BM1208" s="6"/>
      <c r="BN1208" s="6"/>
      <c r="BO1208" s="6"/>
      <c r="BP1208" s="6"/>
      <c r="BQ1208" s="6"/>
    </row>
    <row r="1209" spans="2:69" hidden="1" x14ac:dyDescent="0.2">
      <c r="B1209" s="13"/>
      <c r="C1209" s="13"/>
      <c r="D1209" s="13"/>
      <c r="E1209" s="13"/>
      <c r="F1209" s="13"/>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M1209" s="6"/>
      <c r="AN1209" s="6"/>
      <c r="AO1209" s="6"/>
      <c r="AP1209" s="6"/>
      <c r="AQ1209" s="6"/>
      <c r="AR1209" s="6"/>
      <c r="AS1209" s="6"/>
      <c r="AT1209" s="6"/>
      <c r="AU1209" s="6"/>
      <c r="AV1209" s="6"/>
      <c r="AW1209" s="6"/>
      <c r="AX1209" s="6"/>
      <c r="AY1209" s="6"/>
      <c r="AZ1209" s="6"/>
      <c r="BA1209" s="6"/>
      <c r="BB1209" s="6"/>
      <c r="BC1209" s="6"/>
      <c r="BD1209" s="6"/>
      <c r="BE1209" s="6"/>
      <c r="BF1209" s="6"/>
      <c r="BG1209" s="6"/>
      <c r="BH1209" s="6"/>
      <c r="BI1209" s="6"/>
      <c r="BJ1209" s="6"/>
      <c r="BK1209" s="6"/>
      <c r="BL1209" s="6"/>
      <c r="BM1209" s="6"/>
      <c r="BN1209" s="6"/>
      <c r="BO1209" s="6"/>
      <c r="BP1209" s="6"/>
      <c r="BQ1209" s="6"/>
    </row>
    <row r="1210" spans="2:69" hidden="1" x14ac:dyDescent="0.2">
      <c r="B1210" s="13"/>
      <c r="C1210" s="13"/>
      <c r="D1210" s="13"/>
      <c r="E1210" s="13"/>
      <c r="F1210" s="13"/>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M1210" s="6"/>
      <c r="AN1210" s="6"/>
      <c r="AO1210" s="6"/>
      <c r="AP1210" s="6"/>
      <c r="AQ1210" s="6"/>
      <c r="AR1210" s="6"/>
      <c r="AS1210" s="6"/>
      <c r="AT1210" s="6"/>
      <c r="AU1210" s="6"/>
      <c r="AV1210" s="6"/>
      <c r="AW1210" s="6"/>
      <c r="AX1210" s="6"/>
      <c r="AY1210" s="6"/>
      <c r="AZ1210" s="6"/>
      <c r="BA1210" s="6"/>
      <c r="BB1210" s="6"/>
      <c r="BC1210" s="6"/>
      <c r="BD1210" s="6"/>
      <c r="BE1210" s="6"/>
      <c r="BF1210" s="6"/>
      <c r="BG1210" s="6"/>
      <c r="BH1210" s="6"/>
      <c r="BI1210" s="6"/>
      <c r="BJ1210" s="6"/>
      <c r="BK1210" s="6"/>
      <c r="BL1210" s="6"/>
      <c r="BM1210" s="6"/>
      <c r="BN1210" s="6"/>
      <c r="BO1210" s="6"/>
      <c r="BP1210" s="6"/>
      <c r="BQ1210" s="6"/>
    </row>
    <row r="1211" spans="2:69" hidden="1" x14ac:dyDescent="0.2">
      <c r="B1211" s="13"/>
      <c r="C1211" s="13"/>
      <c r="D1211" s="13"/>
      <c r="E1211" s="13"/>
      <c r="F1211" s="13"/>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M1211" s="6"/>
      <c r="AN1211" s="6"/>
      <c r="AO1211" s="6"/>
      <c r="AP1211" s="6"/>
      <c r="AQ1211" s="6"/>
      <c r="AR1211" s="6"/>
      <c r="AS1211" s="6"/>
      <c r="AT1211" s="6"/>
      <c r="AU1211" s="6"/>
      <c r="AV1211" s="6"/>
      <c r="AW1211" s="6"/>
      <c r="AX1211" s="6"/>
      <c r="AY1211" s="6"/>
      <c r="AZ1211" s="6"/>
      <c r="BA1211" s="6"/>
      <c r="BB1211" s="6"/>
      <c r="BC1211" s="6"/>
      <c r="BD1211" s="6"/>
      <c r="BE1211" s="6"/>
      <c r="BF1211" s="6"/>
      <c r="BG1211" s="6"/>
      <c r="BH1211" s="6"/>
      <c r="BI1211" s="6"/>
      <c r="BJ1211" s="6"/>
      <c r="BK1211" s="6"/>
      <c r="BL1211" s="6"/>
      <c r="BM1211" s="6"/>
      <c r="BN1211" s="6"/>
      <c r="BO1211" s="6"/>
      <c r="BP1211" s="6"/>
      <c r="BQ1211" s="6"/>
    </row>
    <row r="1212" spans="2:69" hidden="1" x14ac:dyDescent="0.2">
      <c r="B1212" s="13"/>
      <c r="C1212" s="13"/>
      <c r="D1212" s="13"/>
      <c r="E1212" s="13"/>
      <c r="F1212" s="13"/>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M1212" s="6"/>
      <c r="AN1212" s="6"/>
      <c r="AO1212" s="6"/>
      <c r="AP1212" s="6"/>
      <c r="AQ1212" s="6"/>
      <c r="AR1212" s="6"/>
      <c r="AS1212" s="6"/>
      <c r="AT1212" s="6"/>
      <c r="AU1212" s="6"/>
      <c r="AV1212" s="6"/>
      <c r="AW1212" s="6"/>
      <c r="AX1212" s="6"/>
      <c r="AY1212" s="6"/>
      <c r="AZ1212" s="6"/>
      <c r="BA1212" s="6"/>
      <c r="BB1212" s="6"/>
      <c r="BC1212" s="6"/>
      <c r="BD1212" s="6"/>
      <c r="BE1212" s="6"/>
      <c r="BF1212" s="6"/>
      <c r="BG1212" s="6"/>
      <c r="BH1212" s="6"/>
      <c r="BI1212" s="6"/>
      <c r="BJ1212" s="6"/>
      <c r="BK1212" s="6"/>
      <c r="BL1212" s="6"/>
      <c r="BM1212" s="6"/>
      <c r="BN1212" s="6"/>
      <c r="BO1212" s="6"/>
      <c r="BP1212" s="6"/>
      <c r="BQ1212" s="6"/>
    </row>
    <row r="1213" spans="2:69" hidden="1" x14ac:dyDescent="0.2">
      <c r="B1213" s="13"/>
      <c r="C1213" s="13"/>
      <c r="D1213" s="13"/>
      <c r="E1213" s="13"/>
      <c r="F1213" s="13"/>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M1213" s="6"/>
      <c r="AN1213" s="6"/>
      <c r="AO1213" s="6"/>
      <c r="AP1213" s="6"/>
      <c r="AQ1213" s="6"/>
      <c r="AR1213" s="6"/>
      <c r="AS1213" s="6"/>
      <c r="AT1213" s="6"/>
      <c r="AU1213" s="6"/>
      <c r="AV1213" s="6"/>
      <c r="AW1213" s="6"/>
      <c r="AX1213" s="6"/>
      <c r="AY1213" s="6"/>
      <c r="AZ1213" s="6"/>
      <c r="BA1213" s="6"/>
      <c r="BB1213" s="6"/>
      <c r="BC1213" s="6"/>
      <c r="BD1213" s="6"/>
      <c r="BE1213" s="6"/>
      <c r="BF1213" s="6"/>
      <c r="BG1213" s="6"/>
      <c r="BH1213" s="6"/>
      <c r="BI1213" s="6"/>
      <c r="BJ1213" s="6"/>
      <c r="BK1213" s="6"/>
      <c r="BL1213" s="6"/>
      <c r="BM1213" s="6"/>
      <c r="BN1213" s="6"/>
      <c r="BO1213" s="6"/>
      <c r="BP1213" s="6"/>
      <c r="BQ1213" s="6"/>
    </row>
    <row r="1214" spans="2:69" hidden="1" x14ac:dyDescent="0.2">
      <c r="B1214" s="13"/>
      <c r="C1214" s="13"/>
      <c r="D1214" s="13"/>
      <c r="E1214" s="13"/>
      <c r="F1214" s="13"/>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M1214" s="6"/>
      <c r="AN1214" s="6"/>
      <c r="AO1214" s="6"/>
      <c r="AP1214" s="6"/>
      <c r="AQ1214" s="6"/>
      <c r="AR1214" s="6"/>
      <c r="AS1214" s="6"/>
      <c r="AT1214" s="6"/>
      <c r="AU1214" s="6"/>
      <c r="AV1214" s="6"/>
      <c r="AW1214" s="6"/>
      <c r="AX1214" s="6"/>
      <c r="AY1214" s="6"/>
      <c r="AZ1214" s="6"/>
      <c r="BA1214" s="6"/>
      <c r="BB1214" s="6"/>
      <c r="BC1214" s="6"/>
      <c r="BD1214" s="6"/>
      <c r="BE1214" s="6"/>
      <c r="BF1214" s="6"/>
      <c r="BG1214" s="6"/>
      <c r="BH1214" s="6"/>
      <c r="BI1214" s="6"/>
      <c r="BJ1214" s="6"/>
      <c r="BK1214" s="6"/>
      <c r="BL1214" s="6"/>
      <c r="BM1214" s="6"/>
      <c r="BN1214" s="6"/>
      <c r="BO1214" s="6"/>
      <c r="BP1214" s="6"/>
      <c r="BQ1214" s="6"/>
    </row>
    <row r="1215" spans="2:69" hidden="1" x14ac:dyDescent="0.2">
      <c r="B1215" s="13"/>
      <c r="C1215" s="13"/>
      <c r="D1215" s="13"/>
      <c r="E1215" s="13"/>
      <c r="F1215" s="13"/>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M1215" s="6"/>
      <c r="AN1215" s="6"/>
      <c r="AO1215" s="6"/>
      <c r="AP1215" s="6"/>
      <c r="AQ1215" s="6"/>
      <c r="AR1215" s="6"/>
      <c r="AS1215" s="6"/>
      <c r="AT1215" s="6"/>
      <c r="AU1215" s="6"/>
      <c r="AV1215" s="6"/>
      <c r="AW1215" s="6"/>
      <c r="AX1215" s="6"/>
      <c r="AY1215" s="6"/>
      <c r="AZ1215" s="6"/>
      <c r="BA1215" s="6"/>
      <c r="BB1215" s="6"/>
      <c r="BC1215" s="6"/>
      <c r="BD1215" s="6"/>
      <c r="BE1215" s="6"/>
      <c r="BF1215" s="6"/>
      <c r="BG1215" s="6"/>
      <c r="BH1215" s="6"/>
      <c r="BI1215" s="6"/>
      <c r="BJ1215" s="6"/>
      <c r="BK1215" s="6"/>
      <c r="BL1215" s="6"/>
      <c r="BM1215" s="6"/>
      <c r="BN1215" s="6"/>
      <c r="BO1215" s="6"/>
      <c r="BP1215" s="6"/>
      <c r="BQ1215" s="6"/>
    </row>
    <row r="1216" spans="2:69" hidden="1" x14ac:dyDescent="0.2">
      <c r="B1216" s="13"/>
      <c r="C1216" s="13"/>
      <c r="D1216" s="13"/>
      <c r="E1216" s="13"/>
      <c r="F1216" s="13"/>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M1216" s="6"/>
      <c r="AN1216" s="6"/>
      <c r="AO1216" s="6"/>
      <c r="AP1216" s="6"/>
      <c r="AQ1216" s="6"/>
      <c r="AR1216" s="6"/>
      <c r="AS1216" s="6"/>
      <c r="AT1216" s="6"/>
      <c r="AU1216" s="6"/>
      <c r="AV1216" s="6"/>
      <c r="AW1216" s="6"/>
      <c r="AX1216" s="6"/>
      <c r="AY1216" s="6"/>
      <c r="AZ1216" s="6"/>
      <c r="BA1216" s="6"/>
      <c r="BB1216" s="6"/>
      <c r="BC1216" s="6"/>
      <c r="BD1216" s="6"/>
      <c r="BE1216" s="6"/>
      <c r="BF1216" s="6"/>
      <c r="BG1216" s="6"/>
      <c r="BH1216" s="6"/>
      <c r="BI1216" s="6"/>
      <c r="BJ1216" s="6"/>
      <c r="BK1216" s="6"/>
      <c r="BL1216" s="6"/>
      <c r="BM1216" s="6"/>
      <c r="BN1216" s="6"/>
      <c r="BO1216" s="6"/>
      <c r="BP1216" s="6"/>
      <c r="BQ1216" s="6"/>
    </row>
    <row r="1217" spans="2:69" hidden="1" x14ac:dyDescent="0.2">
      <c r="B1217" s="13"/>
      <c r="C1217" s="13"/>
      <c r="D1217" s="13"/>
      <c r="E1217" s="13"/>
      <c r="F1217" s="13"/>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M1217" s="6"/>
      <c r="AN1217" s="6"/>
      <c r="AO1217" s="6"/>
      <c r="AP1217" s="6"/>
      <c r="AQ1217" s="6"/>
      <c r="AR1217" s="6"/>
      <c r="AS1217" s="6"/>
      <c r="AT1217" s="6"/>
      <c r="AU1217" s="6"/>
      <c r="AV1217" s="6"/>
      <c r="AW1217" s="6"/>
      <c r="AX1217" s="6"/>
      <c r="AY1217" s="6"/>
      <c r="AZ1217" s="6"/>
      <c r="BA1217" s="6"/>
      <c r="BB1217" s="6"/>
      <c r="BC1217" s="6"/>
      <c r="BD1217" s="6"/>
      <c r="BE1217" s="6"/>
      <c r="BF1217" s="6"/>
      <c r="BG1217" s="6"/>
      <c r="BH1217" s="6"/>
      <c r="BI1217" s="6"/>
      <c r="BJ1217" s="6"/>
      <c r="BK1217" s="6"/>
      <c r="BL1217" s="6"/>
      <c r="BM1217" s="6"/>
      <c r="BN1217" s="6"/>
      <c r="BO1217" s="6"/>
      <c r="BP1217" s="6"/>
      <c r="BQ1217" s="6"/>
    </row>
    <row r="1218" spans="2:69" hidden="1" x14ac:dyDescent="0.2">
      <c r="B1218" s="13"/>
      <c r="C1218" s="13"/>
      <c r="D1218" s="13"/>
      <c r="E1218" s="13"/>
      <c r="F1218" s="13"/>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M1218" s="6"/>
      <c r="AN1218" s="6"/>
      <c r="AO1218" s="6"/>
      <c r="AP1218" s="6"/>
      <c r="AQ1218" s="6"/>
      <c r="AR1218" s="6"/>
      <c r="AS1218" s="6"/>
      <c r="AT1218" s="6"/>
      <c r="AU1218" s="6"/>
      <c r="AV1218" s="6"/>
      <c r="AW1218" s="6"/>
      <c r="AX1218" s="6"/>
      <c r="AY1218" s="6"/>
      <c r="AZ1218" s="6"/>
      <c r="BA1218" s="6"/>
      <c r="BB1218" s="6"/>
      <c r="BC1218" s="6"/>
      <c r="BD1218" s="6"/>
      <c r="BE1218" s="6"/>
      <c r="BF1218" s="6"/>
      <c r="BG1218" s="6"/>
      <c r="BH1218" s="6"/>
      <c r="BI1218" s="6"/>
      <c r="BJ1218" s="6"/>
      <c r="BK1218" s="6"/>
      <c r="BL1218" s="6"/>
      <c r="BM1218" s="6"/>
      <c r="BN1218" s="6"/>
      <c r="BO1218" s="6"/>
      <c r="BP1218" s="6"/>
      <c r="BQ1218" s="6"/>
    </row>
    <row r="1219" spans="2:69" hidden="1" x14ac:dyDescent="0.2">
      <c r="B1219" s="13"/>
      <c r="C1219" s="13"/>
      <c r="D1219" s="13"/>
      <c r="E1219" s="13"/>
      <c r="F1219" s="13"/>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M1219" s="6"/>
      <c r="AN1219" s="6"/>
      <c r="AO1219" s="6"/>
      <c r="AP1219" s="6"/>
      <c r="AQ1219" s="6"/>
      <c r="AR1219" s="6"/>
      <c r="AS1219" s="6"/>
      <c r="AT1219" s="6"/>
      <c r="AU1219" s="6"/>
      <c r="AV1219" s="6"/>
      <c r="AW1219" s="6"/>
      <c r="AX1219" s="6"/>
      <c r="AY1219" s="6"/>
      <c r="AZ1219" s="6"/>
      <c r="BA1219" s="6"/>
      <c r="BB1219" s="6"/>
      <c r="BC1219" s="6"/>
      <c r="BD1219" s="6"/>
      <c r="BE1219" s="6"/>
      <c r="BF1219" s="6"/>
      <c r="BG1219" s="6"/>
      <c r="BH1219" s="6"/>
      <c r="BI1219" s="6"/>
      <c r="BJ1219" s="6"/>
      <c r="BK1219" s="6"/>
      <c r="BL1219" s="6"/>
      <c r="BM1219" s="6"/>
      <c r="BN1219" s="6"/>
      <c r="BO1219" s="6"/>
      <c r="BP1219" s="6"/>
      <c r="BQ1219" s="6"/>
    </row>
    <row r="1220" spans="2:69" hidden="1" x14ac:dyDescent="0.2">
      <c r="B1220" s="13"/>
      <c r="C1220" s="13"/>
      <c r="D1220" s="13"/>
      <c r="E1220" s="13"/>
      <c r="F1220" s="13"/>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M1220" s="6"/>
      <c r="AN1220" s="6"/>
      <c r="AO1220" s="6"/>
      <c r="AP1220" s="6"/>
      <c r="AQ1220" s="6"/>
      <c r="AR1220" s="6"/>
      <c r="AS1220" s="6"/>
      <c r="AT1220" s="6"/>
      <c r="AU1220" s="6"/>
      <c r="AV1220" s="6"/>
      <c r="AW1220" s="6"/>
      <c r="AX1220" s="6"/>
      <c r="AY1220" s="6"/>
      <c r="AZ1220" s="6"/>
      <c r="BA1220" s="6"/>
      <c r="BB1220" s="6"/>
      <c r="BC1220" s="6"/>
      <c r="BD1220" s="6"/>
      <c r="BE1220" s="6"/>
      <c r="BF1220" s="6"/>
      <c r="BG1220" s="6"/>
      <c r="BH1220" s="6"/>
      <c r="BI1220" s="6"/>
      <c r="BJ1220" s="6"/>
      <c r="BK1220" s="6"/>
      <c r="BL1220" s="6"/>
      <c r="BM1220" s="6"/>
      <c r="BN1220" s="6"/>
      <c r="BO1220" s="6"/>
      <c r="BP1220" s="6"/>
      <c r="BQ1220" s="6"/>
    </row>
    <row r="1221" spans="2:69" hidden="1" x14ac:dyDescent="0.2">
      <c r="B1221" s="13"/>
      <c r="C1221" s="13"/>
      <c r="D1221" s="13"/>
      <c r="E1221" s="13"/>
      <c r="F1221" s="13"/>
      <c r="G1221" s="13"/>
      <c r="H1221" s="13"/>
      <c r="I1221" s="13"/>
      <c r="J1221" s="13"/>
      <c r="K1221" s="13"/>
      <c r="L1221" s="13"/>
      <c r="M1221" s="13"/>
      <c r="N1221" s="13"/>
      <c r="O1221" s="13"/>
      <c r="P1221" s="13"/>
      <c r="Q1221" s="13"/>
      <c r="R1221" s="13"/>
      <c r="S1221" s="13"/>
      <c r="T1221" s="13"/>
      <c r="U1221" s="13"/>
      <c r="V1221" s="13"/>
      <c r="W1221" s="13"/>
      <c r="X1221" s="13"/>
      <c r="Y1221" s="13"/>
      <c r="Z1221" s="13"/>
      <c r="AA1221" s="13"/>
      <c r="AB1221" s="13"/>
      <c r="AM1221" s="6"/>
      <c r="AN1221" s="6"/>
      <c r="AO1221" s="6"/>
      <c r="AP1221" s="6"/>
      <c r="AQ1221" s="6"/>
      <c r="AR1221" s="6"/>
      <c r="AS1221" s="6"/>
      <c r="AT1221" s="6"/>
      <c r="AU1221" s="6"/>
      <c r="AV1221" s="6"/>
      <c r="AW1221" s="6"/>
      <c r="AX1221" s="6"/>
      <c r="AY1221" s="6"/>
      <c r="AZ1221" s="6"/>
      <c r="BA1221" s="6"/>
      <c r="BB1221" s="6"/>
      <c r="BC1221" s="6"/>
      <c r="BD1221" s="6"/>
      <c r="BE1221" s="6"/>
      <c r="BF1221" s="6"/>
      <c r="BG1221" s="6"/>
      <c r="BH1221" s="6"/>
      <c r="BI1221" s="6"/>
      <c r="BJ1221" s="6"/>
      <c r="BK1221" s="6"/>
      <c r="BL1221" s="6"/>
      <c r="BM1221" s="6"/>
      <c r="BN1221" s="6"/>
      <c r="BO1221" s="6"/>
      <c r="BP1221" s="6"/>
      <c r="BQ1221" s="6"/>
    </row>
    <row r="1222" spans="2:69" hidden="1" x14ac:dyDescent="0.2">
      <c r="B1222" s="13"/>
      <c r="C1222" s="13"/>
      <c r="D1222" s="13"/>
      <c r="E1222" s="13"/>
      <c r="F1222" s="13"/>
      <c r="G1222" s="13"/>
      <c r="H1222" s="13"/>
      <c r="I1222" s="13"/>
      <c r="J1222" s="13"/>
      <c r="K1222" s="13"/>
      <c r="L1222" s="13"/>
      <c r="M1222" s="13"/>
      <c r="N1222" s="13"/>
      <c r="O1222" s="13"/>
      <c r="P1222" s="13"/>
      <c r="Q1222" s="13"/>
      <c r="R1222" s="13"/>
      <c r="S1222" s="13"/>
      <c r="T1222" s="13"/>
      <c r="U1222" s="13"/>
      <c r="V1222" s="13"/>
      <c r="W1222" s="13"/>
      <c r="X1222" s="13"/>
      <c r="Y1222" s="13"/>
      <c r="Z1222" s="13"/>
      <c r="AA1222" s="13"/>
      <c r="AB1222" s="13"/>
      <c r="AM1222" s="6"/>
      <c r="AN1222" s="6"/>
      <c r="AO1222" s="6"/>
      <c r="AP1222" s="6"/>
      <c r="AQ1222" s="6"/>
      <c r="AR1222" s="6"/>
      <c r="AS1222" s="6"/>
      <c r="AT1222" s="6"/>
      <c r="AU1222" s="6"/>
      <c r="AV1222" s="6"/>
      <c r="AW1222" s="6"/>
      <c r="AX1222" s="6"/>
      <c r="AY1222" s="6"/>
      <c r="AZ1222" s="6"/>
      <c r="BA1222" s="6"/>
      <c r="BB1222" s="6"/>
      <c r="BC1222" s="6"/>
      <c r="BD1222" s="6"/>
      <c r="BE1222" s="6"/>
      <c r="BF1222" s="6"/>
      <c r="BG1222" s="6"/>
      <c r="BH1222" s="6"/>
      <c r="BI1222" s="6"/>
      <c r="BJ1222" s="6"/>
      <c r="BK1222" s="6"/>
      <c r="BL1222" s="6"/>
      <c r="BM1222" s="6"/>
      <c r="BN1222" s="6"/>
      <c r="BO1222" s="6"/>
      <c r="BP1222" s="6"/>
      <c r="BQ1222" s="6"/>
    </row>
    <row r="1223" spans="2:69" hidden="1" x14ac:dyDescent="0.2">
      <c r="B1223" s="13"/>
      <c r="C1223" s="13"/>
      <c r="D1223" s="13"/>
      <c r="E1223" s="13"/>
      <c r="F1223" s="13"/>
      <c r="G1223" s="13"/>
      <c r="H1223" s="13"/>
      <c r="I1223" s="13"/>
      <c r="J1223" s="13"/>
      <c r="K1223" s="13"/>
      <c r="L1223" s="13"/>
      <c r="M1223" s="13"/>
      <c r="N1223" s="13"/>
      <c r="O1223" s="13"/>
      <c r="P1223" s="13"/>
      <c r="Q1223" s="13"/>
      <c r="R1223" s="13"/>
      <c r="S1223" s="13"/>
      <c r="T1223" s="13"/>
      <c r="U1223" s="13"/>
      <c r="V1223" s="13"/>
      <c r="W1223" s="13"/>
      <c r="X1223" s="13"/>
      <c r="Y1223" s="13"/>
      <c r="Z1223" s="13"/>
      <c r="AA1223" s="13"/>
      <c r="AB1223" s="13"/>
      <c r="AM1223" s="6"/>
      <c r="AN1223" s="6"/>
      <c r="AO1223" s="6"/>
      <c r="AP1223" s="6"/>
      <c r="AQ1223" s="6"/>
      <c r="AR1223" s="6"/>
      <c r="AS1223" s="6"/>
      <c r="AT1223" s="6"/>
      <c r="AU1223" s="6"/>
      <c r="AV1223" s="6"/>
      <c r="AW1223" s="6"/>
      <c r="AX1223" s="6"/>
      <c r="AY1223" s="6"/>
      <c r="AZ1223" s="6"/>
      <c r="BA1223" s="6"/>
      <c r="BB1223" s="6"/>
      <c r="BC1223" s="6"/>
      <c r="BD1223" s="6"/>
      <c r="BE1223" s="6"/>
      <c r="BF1223" s="6"/>
      <c r="BG1223" s="6"/>
      <c r="BH1223" s="6"/>
      <c r="BI1223" s="6"/>
      <c r="BJ1223" s="6"/>
      <c r="BK1223" s="6"/>
      <c r="BL1223" s="6"/>
      <c r="BM1223" s="6"/>
      <c r="BN1223" s="6"/>
      <c r="BO1223" s="6"/>
      <c r="BP1223" s="6"/>
      <c r="BQ1223" s="6"/>
    </row>
    <row r="1224" spans="2:69" hidden="1" x14ac:dyDescent="0.2">
      <c r="B1224" s="13"/>
      <c r="C1224" s="13"/>
      <c r="D1224" s="13"/>
      <c r="E1224" s="13"/>
      <c r="F1224" s="13"/>
      <c r="G1224" s="13"/>
      <c r="H1224" s="13"/>
      <c r="I1224" s="13"/>
      <c r="J1224" s="13"/>
      <c r="K1224" s="13"/>
      <c r="L1224" s="13"/>
      <c r="M1224" s="13"/>
      <c r="N1224" s="13"/>
      <c r="O1224" s="13"/>
      <c r="P1224" s="13"/>
      <c r="Q1224" s="13"/>
      <c r="R1224" s="13"/>
      <c r="S1224" s="13"/>
      <c r="T1224" s="13"/>
      <c r="U1224" s="13"/>
      <c r="V1224" s="13"/>
      <c r="W1224" s="13"/>
      <c r="X1224" s="13"/>
      <c r="Y1224" s="13"/>
      <c r="Z1224" s="13"/>
      <c r="AA1224" s="13"/>
      <c r="AB1224" s="13"/>
      <c r="AM1224" s="6"/>
      <c r="AN1224" s="6"/>
      <c r="AO1224" s="6"/>
      <c r="AP1224" s="6"/>
      <c r="AQ1224" s="6"/>
      <c r="AR1224" s="6"/>
      <c r="AS1224" s="6"/>
      <c r="AT1224" s="6"/>
      <c r="AU1224" s="6"/>
      <c r="AV1224" s="6"/>
      <c r="AW1224" s="6"/>
      <c r="AX1224" s="6"/>
      <c r="AY1224" s="6"/>
      <c r="AZ1224" s="6"/>
      <c r="BA1224" s="6"/>
      <c r="BB1224" s="6"/>
      <c r="BC1224" s="6"/>
      <c r="BD1224" s="6"/>
      <c r="BE1224" s="6"/>
      <c r="BF1224" s="6"/>
      <c r="BG1224" s="6"/>
      <c r="BH1224" s="6"/>
      <c r="BI1224" s="6"/>
      <c r="BJ1224" s="6"/>
      <c r="BK1224" s="6"/>
      <c r="BL1224" s="6"/>
      <c r="BM1224" s="6"/>
      <c r="BN1224" s="6"/>
      <c r="BO1224" s="6"/>
      <c r="BP1224" s="6"/>
      <c r="BQ1224" s="6"/>
    </row>
    <row r="1225" spans="2:69" hidden="1" x14ac:dyDescent="0.2">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M1225" s="6"/>
      <c r="AN1225" s="6"/>
      <c r="AO1225" s="6"/>
      <c r="AP1225" s="6"/>
      <c r="AQ1225" s="6"/>
      <c r="AR1225" s="6"/>
      <c r="AS1225" s="6"/>
      <c r="AT1225" s="6"/>
      <c r="AU1225" s="6"/>
      <c r="AV1225" s="6"/>
      <c r="AW1225" s="6"/>
      <c r="AX1225" s="6"/>
      <c r="AY1225" s="6"/>
      <c r="AZ1225" s="6"/>
      <c r="BA1225" s="6"/>
      <c r="BB1225" s="6"/>
      <c r="BC1225" s="6"/>
      <c r="BD1225" s="6"/>
      <c r="BE1225" s="6"/>
      <c r="BF1225" s="6"/>
      <c r="BG1225" s="6"/>
      <c r="BH1225" s="6"/>
      <c r="BI1225" s="6"/>
      <c r="BJ1225" s="6"/>
      <c r="BK1225" s="6"/>
      <c r="BL1225" s="6"/>
      <c r="BM1225" s="6"/>
      <c r="BN1225" s="6"/>
      <c r="BO1225" s="6"/>
      <c r="BP1225" s="6"/>
      <c r="BQ1225" s="6"/>
    </row>
    <row r="1226" spans="2:69" hidden="1" x14ac:dyDescent="0.2">
      <c r="B1226" s="13"/>
      <c r="C1226" s="13"/>
      <c r="D1226" s="13"/>
      <c r="E1226" s="13"/>
      <c r="F1226" s="13"/>
      <c r="G1226" s="13"/>
      <c r="H1226" s="13"/>
      <c r="I1226" s="13"/>
      <c r="J1226" s="13"/>
      <c r="K1226" s="13"/>
      <c r="L1226" s="13"/>
      <c r="M1226" s="13"/>
      <c r="N1226" s="13"/>
      <c r="O1226" s="13"/>
      <c r="P1226" s="13"/>
      <c r="Q1226" s="13"/>
      <c r="R1226" s="13"/>
      <c r="S1226" s="13"/>
      <c r="T1226" s="13"/>
      <c r="U1226" s="13"/>
      <c r="V1226" s="13"/>
      <c r="W1226" s="13"/>
      <c r="X1226" s="13"/>
      <c r="Y1226" s="13"/>
      <c r="Z1226" s="13"/>
      <c r="AA1226" s="13"/>
      <c r="AB1226" s="13"/>
      <c r="AM1226" s="6"/>
      <c r="AN1226" s="6"/>
      <c r="AO1226" s="6"/>
      <c r="AP1226" s="6"/>
      <c r="AQ1226" s="6"/>
      <c r="AR1226" s="6"/>
      <c r="AS1226" s="6"/>
      <c r="AT1226" s="6"/>
      <c r="AU1226" s="6"/>
      <c r="AV1226" s="6"/>
      <c r="AW1226" s="6"/>
      <c r="AX1226" s="6"/>
      <c r="AY1226" s="6"/>
      <c r="AZ1226" s="6"/>
      <c r="BA1226" s="6"/>
      <c r="BB1226" s="6"/>
      <c r="BC1226" s="6"/>
      <c r="BD1226" s="6"/>
      <c r="BE1226" s="6"/>
      <c r="BF1226" s="6"/>
      <c r="BG1226" s="6"/>
      <c r="BH1226" s="6"/>
      <c r="BI1226" s="6"/>
      <c r="BJ1226" s="6"/>
      <c r="BK1226" s="6"/>
      <c r="BL1226" s="6"/>
      <c r="BM1226" s="6"/>
      <c r="BN1226" s="6"/>
      <c r="BO1226" s="6"/>
      <c r="BP1226" s="6"/>
      <c r="BQ1226" s="6"/>
    </row>
    <row r="1227" spans="2:69" hidden="1" x14ac:dyDescent="0.2">
      <c r="B1227" s="13"/>
      <c r="C1227" s="13"/>
      <c r="D1227" s="13"/>
      <c r="E1227" s="13"/>
      <c r="F1227" s="13"/>
      <c r="G1227" s="13"/>
      <c r="H1227" s="13"/>
      <c r="I1227" s="13"/>
      <c r="J1227" s="13"/>
      <c r="K1227" s="13"/>
      <c r="L1227" s="13"/>
      <c r="M1227" s="13"/>
      <c r="N1227" s="13"/>
      <c r="O1227" s="13"/>
      <c r="P1227" s="13"/>
      <c r="Q1227" s="13"/>
      <c r="R1227" s="13"/>
      <c r="S1227" s="13"/>
      <c r="T1227" s="13"/>
      <c r="U1227" s="13"/>
      <c r="V1227" s="13"/>
      <c r="W1227" s="13"/>
      <c r="X1227" s="13"/>
      <c r="Y1227" s="13"/>
      <c r="Z1227" s="13"/>
      <c r="AA1227" s="13"/>
      <c r="AB1227" s="13"/>
      <c r="AM1227" s="6"/>
      <c r="AN1227" s="6"/>
      <c r="AO1227" s="6"/>
      <c r="AP1227" s="6"/>
      <c r="AQ1227" s="6"/>
      <c r="AR1227" s="6"/>
      <c r="AS1227" s="6"/>
      <c r="AT1227" s="6"/>
      <c r="AU1227" s="6"/>
      <c r="AV1227" s="6"/>
      <c r="AW1227" s="6"/>
      <c r="AX1227" s="6"/>
      <c r="AY1227" s="6"/>
      <c r="AZ1227" s="6"/>
      <c r="BA1227" s="6"/>
      <c r="BB1227" s="6"/>
      <c r="BC1227" s="6"/>
      <c r="BD1227" s="6"/>
      <c r="BE1227" s="6"/>
      <c r="BF1227" s="6"/>
      <c r="BG1227" s="6"/>
      <c r="BH1227" s="6"/>
      <c r="BI1227" s="6"/>
      <c r="BJ1227" s="6"/>
      <c r="BK1227" s="6"/>
      <c r="BL1227" s="6"/>
      <c r="BM1227" s="6"/>
      <c r="BN1227" s="6"/>
      <c r="BO1227" s="6"/>
      <c r="BP1227" s="6"/>
      <c r="BQ1227" s="6"/>
    </row>
    <row r="1228" spans="2:69" hidden="1" x14ac:dyDescent="0.2">
      <c r="B1228" s="13"/>
      <c r="C1228" s="13"/>
      <c r="D1228" s="13"/>
      <c r="E1228" s="13"/>
      <c r="F1228" s="13"/>
      <c r="G1228" s="13"/>
      <c r="H1228" s="13"/>
      <c r="I1228" s="13"/>
      <c r="J1228" s="13"/>
      <c r="K1228" s="13"/>
      <c r="L1228" s="13"/>
      <c r="M1228" s="13"/>
      <c r="N1228" s="13"/>
      <c r="O1228" s="13"/>
      <c r="P1228" s="13"/>
      <c r="Q1228" s="13"/>
      <c r="R1228" s="13"/>
      <c r="S1228" s="13"/>
      <c r="T1228" s="13"/>
      <c r="U1228" s="13"/>
      <c r="V1228" s="13"/>
      <c r="W1228" s="13"/>
      <c r="X1228" s="13"/>
      <c r="Y1228" s="13"/>
      <c r="Z1228" s="13"/>
      <c r="AA1228" s="13"/>
      <c r="AB1228" s="13"/>
      <c r="AM1228" s="6"/>
      <c r="AN1228" s="6"/>
      <c r="AO1228" s="6"/>
      <c r="AP1228" s="6"/>
      <c r="AQ1228" s="6"/>
      <c r="AR1228" s="6"/>
      <c r="AS1228" s="6"/>
      <c r="AT1228" s="6"/>
      <c r="AU1228" s="6"/>
      <c r="AV1228" s="6"/>
      <c r="AW1228" s="6"/>
      <c r="AX1228" s="6"/>
      <c r="AY1228" s="6"/>
      <c r="AZ1228" s="6"/>
      <c r="BA1228" s="6"/>
      <c r="BB1228" s="6"/>
      <c r="BC1228" s="6"/>
      <c r="BD1228" s="6"/>
      <c r="BE1228" s="6"/>
      <c r="BF1228" s="6"/>
      <c r="BG1228" s="6"/>
      <c r="BH1228" s="6"/>
      <c r="BI1228" s="6"/>
      <c r="BJ1228" s="6"/>
      <c r="BK1228" s="6"/>
      <c r="BL1228" s="6"/>
      <c r="BM1228" s="6"/>
      <c r="BN1228" s="6"/>
      <c r="BO1228" s="6"/>
      <c r="BP1228" s="6"/>
      <c r="BQ1228" s="6"/>
    </row>
    <row r="1229" spans="2:69" hidden="1" x14ac:dyDescent="0.2">
      <c r="B1229" s="13"/>
      <c r="C1229" s="13"/>
      <c r="D1229" s="13"/>
      <c r="E1229" s="13"/>
      <c r="F1229" s="13"/>
      <c r="G1229" s="13"/>
      <c r="H1229" s="13"/>
      <c r="I1229" s="13"/>
      <c r="J1229" s="13"/>
      <c r="K1229" s="13"/>
      <c r="L1229" s="13"/>
      <c r="M1229" s="13"/>
      <c r="N1229" s="13"/>
      <c r="O1229" s="13"/>
      <c r="P1229" s="13"/>
      <c r="Q1229" s="13"/>
      <c r="R1229" s="13"/>
      <c r="S1229" s="13"/>
      <c r="T1229" s="13"/>
      <c r="U1229" s="13"/>
      <c r="V1229" s="13"/>
      <c r="W1229" s="13"/>
      <c r="X1229" s="13"/>
      <c r="Y1229" s="13"/>
      <c r="Z1229" s="13"/>
      <c r="AA1229" s="13"/>
      <c r="AB1229" s="13"/>
      <c r="AM1229" s="6"/>
      <c r="AN1229" s="6"/>
      <c r="AO1229" s="6"/>
      <c r="AP1229" s="6"/>
      <c r="AQ1229" s="6"/>
      <c r="AR1229" s="6"/>
      <c r="AS1229" s="6"/>
      <c r="AT1229" s="6"/>
      <c r="AU1229" s="6"/>
      <c r="AV1229" s="6"/>
      <c r="AW1229" s="6"/>
      <c r="AX1229" s="6"/>
      <c r="AY1229" s="6"/>
      <c r="AZ1229" s="6"/>
      <c r="BA1229" s="6"/>
      <c r="BB1229" s="6"/>
      <c r="BC1229" s="6"/>
      <c r="BD1229" s="6"/>
      <c r="BE1229" s="6"/>
      <c r="BF1229" s="6"/>
      <c r="BG1229" s="6"/>
      <c r="BH1229" s="6"/>
      <c r="BI1229" s="6"/>
      <c r="BJ1229" s="6"/>
      <c r="BK1229" s="6"/>
      <c r="BL1229" s="6"/>
      <c r="BM1229" s="6"/>
      <c r="BN1229" s="6"/>
      <c r="BO1229" s="6"/>
      <c r="BP1229" s="6"/>
      <c r="BQ1229" s="6"/>
    </row>
    <row r="1230" spans="2:69" hidden="1" x14ac:dyDescent="0.2">
      <c r="B1230" s="13"/>
      <c r="C1230" s="13"/>
      <c r="D1230" s="13"/>
      <c r="E1230" s="13"/>
      <c r="F1230" s="13"/>
      <c r="G1230" s="13"/>
      <c r="H1230" s="13"/>
      <c r="I1230" s="13"/>
      <c r="J1230" s="13"/>
      <c r="K1230" s="13"/>
      <c r="L1230" s="13"/>
      <c r="M1230" s="13"/>
      <c r="N1230" s="13"/>
      <c r="O1230" s="13"/>
      <c r="P1230" s="13"/>
      <c r="Q1230" s="13"/>
      <c r="R1230" s="13"/>
      <c r="S1230" s="13"/>
      <c r="T1230" s="13"/>
      <c r="U1230" s="13"/>
      <c r="V1230" s="13"/>
      <c r="W1230" s="13"/>
      <c r="X1230" s="13"/>
      <c r="Y1230" s="13"/>
      <c r="Z1230" s="13"/>
      <c r="AA1230" s="13"/>
      <c r="AB1230" s="13"/>
      <c r="AM1230" s="6"/>
      <c r="AN1230" s="6"/>
      <c r="AO1230" s="6"/>
      <c r="AP1230" s="6"/>
      <c r="AQ1230" s="6"/>
      <c r="AR1230" s="6"/>
      <c r="AS1230" s="6"/>
      <c r="AT1230" s="6"/>
      <c r="AU1230" s="6"/>
      <c r="AV1230" s="6"/>
      <c r="AW1230" s="6"/>
      <c r="AX1230" s="6"/>
      <c r="AY1230" s="6"/>
      <c r="AZ1230" s="6"/>
      <c r="BA1230" s="6"/>
      <c r="BB1230" s="6"/>
      <c r="BC1230" s="6"/>
      <c r="BD1230" s="6"/>
      <c r="BE1230" s="6"/>
      <c r="BF1230" s="6"/>
      <c r="BG1230" s="6"/>
      <c r="BH1230" s="6"/>
      <c r="BI1230" s="6"/>
      <c r="BJ1230" s="6"/>
      <c r="BK1230" s="6"/>
      <c r="BL1230" s="6"/>
      <c r="BM1230" s="6"/>
      <c r="BN1230" s="6"/>
      <c r="BO1230" s="6"/>
      <c r="BP1230" s="6"/>
      <c r="BQ1230" s="6"/>
    </row>
    <row r="1231" spans="2:69" hidden="1" x14ac:dyDescent="0.2">
      <c r="B1231" s="13"/>
      <c r="C1231" s="13"/>
      <c r="D1231" s="13"/>
      <c r="E1231" s="13"/>
      <c r="F1231" s="13"/>
      <c r="G1231" s="13"/>
      <c r="H1231" s="13"/>
      <c r="I1231" s="13"/>
      <c r="J1231" s="13"/>
      <c r="K1231" s="13"/>
      <c r="L1231" s="13"/>
      <c r="M1231" s="13"/>
      <c r="N1231" s="13"/>
      <c r="O1231" s="13"/>
      <c r="P1231" s="13"/>
      <c r="Q1231" s="13"/>
      <c r="R1231" s="13"/>
      <c r="S1231" s="13"/>
      <c r="T1231" s="13"/>
      <c r="U1231" s="13"/>
      <c r="V1231" s="13"/>
      <c r="W1231" s="13"/>
      <c r="X1231" s="13"/>
      <c r="Y1231" s="13"/>
      <c r="Z1231" s="13"/>
      <c r="AA1231" s="13"/>
      <c r="AB1231" s="13"/>
      <c r="AM1231" s="6"/>
      <c r="AN1231" s="6"/>
      <c r="AO1231" s="6"/>
      <c r="AP1231" s="6"/>
      <c r="AQ1231" s="6"/>
      <c r="AR1231" s="6"/>
      <c r="AS1231" s="6"/>
      <c r="AT1231" s="6"/>
      <c r="AU1231" s="6"/>
      <c r="AV1231" s="6"/>
      <c r="AW1231" s="6"/>
      <c r="AX1231" s="6"/>
      <c r="AY1231" s="6"/>
      <c r="AZ1231" s="6"/>
      <c r="BA1231" s="6"/>
      <c r="BB1231" s="6"/>
      <c r="BC1231" s="6"/>
      <c r="BD1231" s="6"/>
      <c r="BE1231" s="6"/>
      <c r="BF1231" s="6"/>
      <c r="BG1231" s="6"/>
      <c r="BH1231" s="6"/>
      <c r="BI1231" s="6"/>
      <c r="BJ1231" s="6"/>
      <c r="BK1231" s="6"/>
      <c r="BL1231" s="6"/>
      <c r="BM1231" s="6"/>
      <c r="BN1231" s="6"/>
      <c r="BO1231" s="6"/>
      <c r="BP1231" s="6"/>
      <c r="BQ1231" s="6"/>
    </row>
    <row r="1232" spans="2:69" hidden="1" x14ac:dyDescent="0.2">
      <c r="B1232" s="13"/>
      <c r="C1232" s="13"/>
      <c r="D1232" s="13"/>
      <c r="E1232" s="13"/>
      <c r="F1232" s="13"/>
      <c r="G1232" s="13"/>
      <c r="H1232" s="13"/>
      <c r="I1232" s="13"/>
      <c r="J1232" s="13"/>
      <c r="K1232" s="13"/>
      <c r="L1232" s="13"/>
      <c r="M1232" s="13"/>
      <c r="N1232" s="13"/>
      <c r="O1232" s="13"/>
      <c r="P1232" s="13"/>
      <c r="Q1232" s="13"/>
      <c r="R1232" s="13"/>
      <c r="S1232" s="13"/>
      <c r="T1232" s="13"/>
      <c r="U1232" s="13"/>
      <c r="V1232" s="13"/>
      <c r="W1232" s="13"/>
      <c r="X1232" s="13"/>
      <c r="Y1232" s="13"/>
      <c r="Z1232" s="13"/>
      <c r="AA1232" s="13"/>
      <c r="AB1232" s="13"/>
      <c r="AM1232" s="6"/>
      <c r="AN1232" s="6"/>
      <c r="AO1232" s="6"/>
      <c r="AP1232" s="6"/>
      <c r="AQ1232" s="6"/>
      <c r="AR1232" s="6"/>
      <c r="AS1232" s="6"/>
      <c r="AT1232" s="6"/>
      <c r="AU1232" s="6"/>
      <c r="AV1232" s="6"/>
      <c r="AW1232" s="6"/>
      <c r="AX1232" s="6"/>
      <c r="AY1232" s="6"/>
      <c r="AZ1232" s="6"/>
      <c r="BA1232" s="6"/>
      <c r="BB1232" s="6"/>
      <c r="BC1232" s="6"/>
      <c r="BD1232" s="6"/>
      <c r="BE1232" s="6"/>
      <c r="BF1232" s="6"/>
      <c r="BG1232" s="6"/>
      <c r="BH1232" s="6"/>
      <c r="BI1232" s="6"/>
      <c r="BJ1232" s="6"/>
      <c r="BK1232" s="6"/>
      <c r="BL1232" s="6"/>
      <c r="BM1232" s="6"/>
      <c r="BN1232" s="6"/>
      <c r="BO1232" s="6"/>
      <c r="BP1232" s="6"/>
      <c r="BQ1232" s="6"/>
    </row>
    <row r="1233" spans="2:69" hidden="1" x14ac:dyDescent="0.2">
      <c r="B1233" s="13"/>
      <c r="C1233" s="13"/>
      <c r="D1233" s="13"/>
      <c r="E1233" s="13"/>
      <c r="F1233" s="13"/>
      <c r="G1233" s="13"/>
      <c r="H1233" s="13"/>
      <c r="I1233" s="13"/>
      <c r="J1233" s="13"/>
      <c r="K1233" s="13"/>
      <c r="L1233" s="13"/>
      <c r="M1233" s="13"/>
      <c r="N1233" s="13"/>
      <c r="O1233" s="13"/>
      <c r="P1233" s="13"/>
      <c r="Q1233" s="13"/>
      <c r="R1233" s="13"/>
      <c r="S1233" s="13"/>
      <c r="T1233" s="13"/>
      <c r="U1233" s="13"/>
      <c r="V1233" s="13"/>
      <c r="W1233" s="13"/>
      <c r="X1233" s="13"/>
      <c r="Y1233" s="13"/>
      <c r="Z1233" s="13"/>
      <c r="AA1233" s="13"/>
      <c r="AB1233" s="13"/>
      <c r="AM1233" s="6"/>
      <c r="AN1233" s="6"/>
      <c r="AO1233" s="6"/>
      <c r="AP1233" s="6"/>
      <c r="AQ1233" s="6"/>
      <c r="AR1233" s="6"/>
      <c r="AS1233" s="6"/>
      <c r="AT1233" s="6"/>
      <c r="AU1233" s="6"/>
      <c r="AV1233" s="6"/>
      <c r="AW1233" s="6"/>
      <c r="AX1233" s="6"/>
      <c r="AY1233" s="6"/>
      <c r="AZ1233" s="6"/>
      <c r="BA1233" s="6"/>
      <c r="BB1233" s="6"/>
      <c r="BC1233" s="6"/>
      <c r="BD1233" s="6"/>
      <c r="BE1233" s="6"/>
      <c r="BF1233" s="6"/>
      <c r="BG1233" s="6"/>
      <c r="BH1233" s="6"/>
      <c r="BI1233" s="6"/>
      <c r="BJ1233" s="6"/>
      <c r="BK1233" s="6"/>
      <c r="BL1233" s="6"/>
      <c r="BM1233" s="6"/>
      <c r="BN1233" s="6"/>
      <c r="BO1233" s="6"/>
      <c r="BP1233" s="6"/>
      <c r="BQ1233" s="6"/>
    </row>
    <row r="1234" spans="2:69" hidden="1" x14ac:dyDescent="0.2">
      <c r="B1234" s="13"/>
      <c r="C1234" s="13"/>
      <c r="D1234" s="13"/>
      <c r="E1234" s="13"/>
      <c r="F1234" s="13"/>
      <c r="G1234" s="13"/>
      <c r="H1234" s="13"/>
      <c r="I1234" s="13"/>
      <c r="J1234" s="13"/>
      <c r="K1234" s="13"/>
      <c r="L1234" s="13"/>
      <c r="M1234" s="13"/>
      <c r="N1234" s="13"/>
      <c r="O1234" s="13"/>
      <c r="P1234" s="13"/>
      <c r="Q1234" s="13"/>
      <c r="R1234" s="13"/>
      <c r="S1234" s="13"/>
      <c r="T1234" s="13"/>
      <c r="U1234" s="13"/>
      <c r="V1234" s="13"/>
      <c r="W1234" s="13"/>
      <c r="X1234" s="13"/>
      <c r="Y1234" s="13"/>
      <c r="Z1234" s="13"/>
      <c r="AA1234" s="13"/>
      <c r="AB1234" s="13"/>
      <c r="AM1234" s="6"/>
      <c r="AN1234" s="6"/>
      <c r="AO1234" s="6"/>
      <c r="AP1234" s="6"/>
      <c r="AQ1234" s="6"/>
      <c r="AR1234" s="6"/>
      <c r="AS1234" s="6"/>
      <c r="AT1234" s="6"/>
      <c r="AU1234" s="6"/>
      <c r="AV1234" s="6"/>
      <c r="AW1234" s="6"/>
      <c r="AX1234" s="6"/>
      <c r="AY1234" s="6"/>
      <c r="AZ1234" s="6"/>
      <c r="BA1234" s="6"/>
      <c r="BB1234" s="6"/>
      <c r="BC1234" s="6"/>
      <c r="BD1234" s="6"/>
      <c r="BE1234" s="6"/>
      <c r="BF1234" s="6"/>
      <c r="BG1234" s="6"/>
      <c r="BH1234" s="6"/>
      <c r="BI1234" s="6"/>
      <c r="BJ1234" s="6"/>
      <c r="BK1234" s="6"/>
      <c r="BL1234" s="6"/>
      <c r="BM1234" s="6"/>
      <c r="BN1234" s="6"/>
      <c r="BO1234" s="6"/>
      <c r="BP1234" s="6"/>
      <c r="BQ1234" s="6"/>
    </row>
    <row r="1235" spans="2:69" hidden="1" x14ac:dyDescent="0.2">
      <c r="B1235" s="13"/>
      <c r="C1235" s="13"/>
      <c r="D1235" s="13"/>
      <c r="E1235" s="13"/>
      <c r="F1235" s="13"/>
      <c r="G1235" s="13"/>
      <c r="H1235" s="13"/>
      <c r="I1235" s="13"/>
      <c r="J1235" s="13"/>
      <c r="K1235" s="13"/>
      <c r="L1235" s="13"/>
      <c r="M1235" s="13"/>
      <c r="N1235" s="13"/>
      <c r="O1235" s="13"/>
      <c r="P1235" s="13"/>
      <c r="Q1235" s="13"/>
      <c r="R1235" s="13"/>
      <c r="S1235" s="13"/>
      <c r="T1235" s="13"/>
      <c r="U1235" s="13"/>
      <c r="V1235" s="13"/>
      <c r="W1235" s="13"/>
      <c r="X1235" s="13"/>
      <c r="Y1235" s="13"/>
      <c r="Z1235" s="13"/>
      <c r="AA1235" s="13"/>
      <c r="AB1235" s="13"/>
      <c r="AM1235" s="6"/>
      <c r="AN1235" s="6"/>
      <c r="AO1235" s="6"/>
      <c r="AP1235" s="6"/>
      <c r="AQ1235" s="6"/>
      <c r="AR1235" s="6"/>
      <c r="AS1235" s="6"/>
      <c r="AT1235" s="6"/>
      <c r="AU1235" s="6"/>
      <c r="AV1235" s="6"/>
      <c r="AW1235" s="6"/>
      <c r="AX1235" s="6"/>
      <c r="AY1235" s="6"/>
      <c r="AZ1235" s="6"/>
      <c r="BA1235" s="6"/>
      <c r="BB1235" s="6"/>
      <c r="BC1235" s="6"/>
      <c r="BD1235" s="6"/>
      <c r="BE1235" s="6"/>
      <c r="BF1235" s="6"/>
      <c r="BG1235" s="6"/>
      <c r="BH1235" s="6"/>
      <c r="BI1235" s="6"/>
      <c r="BJ1235" s="6"/>
      <c r="BK1235" s="6"/>
      <c r="BL1235" s="6"/>
      <c r="BM1235" s="6"/>
      <c r="BN1235" s="6"/>
      <c r="BO1235" s="6"/>
      <c r="BP1235" s="6"/>
      <c r="BQ1235" s="6"/>
    </row>
    <row r="1236" spans="2:69" hidden="1" x14ac:dyDescent="0.2">
      <c r="B1236" s="13"/>
      <c r="C1236" s="13"/>
      <c r="D1236" s="13"/>
      <c r="E1236" s="13"/>
      <c r="F1236" s="13"/>
      <c r="G1236" s="13"/>
      <c r="H1236" s="13"/>
      <c r="I1236" s="13"/>
      <c r="J1236" s="13"/>
      <c r="K1236" s="13"/>
      <c r="L1236" s="13"/>
      <c r="M1236" s="13"/>
      <c r="N1236" s="13"/>
      <c r="O1236" s="13"/>
      <c r="P1236" s="13"/>
      <c r="Q1236" s="13"/>
      <c r="R1236" s="13"/>
      <c r="S1236" s="13"/>
      <c r="T1236" s="13"/>
      <c r="U1236" s="13"/>
      <c r="V1236" s="13"/>
      <c r="W1236" s="13"/>
      <c r="X1236" s="13"/>
      <c r="Y1236" s="13"/>
      <c r="Z1236" s="13"/>
      <c r="AA1236" s="13"/>
      <c r="AB1236" s="13"/>
      <c r="AM1236" s="6"/>
      <c r="AN1236" s="6"/>
      <c r="AO1236" s="6"/>
      <c r="AP1236" s="6"/>
      <c r="AQ1236" s="6"/>
      <c r="AR1236" s="6"/>
      <c r="AS1236" s="6"/>
      <c r="AT1236" s="6"/>
      <c r="AU1236" s="6"/>
      <c r="AV1236" s="6"/>
      <c r="AW1236" s="6"/>
      <c r="AX1236" s="6"/>
      <c r="AY1236" s="6"/>
      <c r="AZ1236" s="6"/>
      <c r="BA1236" s="6"/>
      <c r="BB1236" s="6"/>
      <c r="BC1236" s="6"/>
      <c r="BD1236" s="6"/>
      <c r="BE1236" s="6"/>
      <c r="BF1236" s="6"/>
      <c r="BG1236" s="6"/>
      <c r="BH1236" s="6"/>
      <c r="BI1236" s="6"/>
      <c r="BJ1236" s="6"/>
      <c r="BK1236" s="6"/>
      <c r="BL1236" s="6"/>
      <c r="BM1236" s="6"/>
      <c r="BN1236" s="6"/>
      <c r="BO1236" s="6"/>
      <c r="BP1236" s="6"/>
      <c r="BQ1236" s="6"/>
    </row>
    <row r="1237" spans="2:69" hidden="1" x14ac:dyDescent="0.2">
      <c r="B1237" s="13"/>
      <c r="C1237" s="13"/>
      <c r="D1237" s="13"/>
      <c r="E1237" s="13"/>
      <c r="F1237" s="13"/>
      <c r="G1237" s="13"/>
      <c r="H1237" s="13"/>
      <c r="I1237" s="13"/>
      <c r="J1237" s="13"/>
      <c r="K1237" s="13"/>
      <c r="L1237" s="13"/>
      <c r="M1237" s="13"/>
      <c r="N1237" s="13"/>
      <c r="O1237" s="13"/>
      <c r="P1237" s="13"/>
      <c r="Q1237" s="13"/>
      <c r="R1237" s="13"/>
      <c r="S1237" s="13"/>
      <c r="T1237" s="13"/>
      <c r="U1237" s="13"/>
      <c r="V1237" s="13"/>
      <c r="W1237" s="13"/>
      <c r="X1237" s="13"/>
      <c r="Y1237" s="13"/>
      <c r="Z1237" s="13"/>
      <c r="AA1237" s="13"/>
      <c r="AB1237" s="13"/>
      <c r="AM1237" s="6"/>
      <c r="AN1237" s="6"/>
      <c r="AO1237" s="6"/>
      <c r="AP1237" s="6"/>
      <c r="AQ1237" s="6"/>
      <c r="AR1237" s="6"/>
      <c r="AS1237" s="6"/>
      <c r="AT1237" s="6"/>
      <c r="AU1237" s="6"/>
      <c r="AV1237" s="6"/>
      <c r="AW1237" s="6"/>
      <c r="AX1237" s="6"/>
      <c r="AY1237" s="6"/>
      <c r="AZ1237" s="6"/>
      <c r="BA1237" s="6"/>
      <c r="BB1237" s="6"/>
      <c r="BC1237" s="6"/>
      <c r="BD1237" s="6"/>
      <c r="BE1237" s="6"/>
      <c r="BF1237" s="6"/>
      <c r="BG1237" s="6"/>
      <c r="BH1237" s="6"/>
      <c r="BI1237" s="6"/>
      <c r="BJ1237" s="6"/>
      <c r="BK1237" s="6"/>
      <c r="BL1237" s="6"/>
      <c r="BM1237" s="6"/>
      <c r="BN1237" s="6"/>
      <c r="BO1237" s="6"/>
      <c r="BP1237" s="6"/>
      <c r="BQ1237" s="6"/>
    </row>
    <row r="1238" spans="2:69" hidden="1" x14ac:dyDescent="0.2">
      <c r="B1238" s="13"/>
      <c r="C1238" s="13"/>
      <c r="D1238" s="13"/>
      <c r="E1238" s="13"/>
      <c r="F1238" s="13"/>
      <c r="G1238" s="13"/>
      <c r="H1238" s="13"/>
      <c r="I1238" s="13"/>
      <c r="J1238" s="13"/>
      <c r="K1238" s="13"/>
      <c r="L1238" s="13"/>
      <c r="M1238" s="13"/>
      <c r="N1238" s="13"/>
      <c r="O1238" s="13"/>
      <c r="P1238" s="13"/>
      <c r="Q1238" s="13"/>
      <c r="R1238" s="13"/>
      <c r="S1238" s="13"/>
      <c r="T1238" s="13"/>
      <c r="U1238" s="13"/>
      <c r="V1238" s="13"/>
      <c r="W1238" s="13"/>
      <c r="X1238" s="13"/>
      <c r="Y1238" s="13"/>
      <c r="Z1238" s="13"/>
      <c r="AA1238" s="13"/>
      <c r="AB1238" s="13"/>
      <c r="AM1238" s="6"/>
      <c r="AN1238" s="6"/>
      <c r="AO1238" s="6"/>
      <c r="AP1238" s="6"/>
      <c r="AQ1238" s="6"/>
      <c r="AR1238" s="6"/>
      <c r="AS1238" s="6"/>
      <c r="AT1238" s="6"/>
      <c r="AU1238" s="6"/>
      <c r="AV1238" s="6"/>
      <c r="AW1238" s="6"/>
      <c r="AX1238" s="6"/>
      <c r="AY1238" s="6"/>
      <c r="AZ1238" s="6"/>
      <c r="BA1238" s="6"/>
      <c r="BB1238" s="6"/>
      <c r="BC1238" s="6"/>
      <c r="BD1238" s="6"/>
      <c r="BE1238" s="6"/>
      <c r="BF1238" s="6"/>
      <c r="BG1238" s="6"/>
      <c r="BH1238" s="6"/>
      <c r="BI1238" s="6"/>
      <c r="BJ1238" s="6"/>
      <c r="BK1238" s="6"/>
      <c r="BL1238" s="6"/>
      <c r="BM1238" s="6"/>
      <c r="BN1238" s="6"/>
      <c r="BO1238" s="6"/>
      <c r="BP1238" s="6"/>
      <c r="BQ1238" s="6"/>
    </row>
    <row r="1239" spans="2:69" hidden="1" x14ac:dyDescent="0.2">
      <c r="B1239" s="13"/>
      <c r="C1239" s="13"/>
      <c r="D1239" s="13"/>
      <c r="E1239" s="13"/>
      <c r="F1239" s="13"/>
      <c r="G1239" s="13"/>
      <c r="H1239" s="13"/>
      <c r="I1239" s="13"/>
      <c r="J1239" s="13"/>
      <c r="K1239" s="13"/>
      <c r="L1239" s="13"/>
      <c r="M1239" s="13"/>
      <c r="N1239" s="13"/>
      <c r="O1239" s="13"/>
      <c r="P1239" s="13"/>
      <c r="Q1239" s="13"/>
      <c r="R1239" s="13"/>
      <c r="S1239" s="13"/>
      <c r="T1239" s="13"/>
      <c r="U1239" s="13"/>
      <c r="V1239" s="13"/>
      <c r="W1239" s="13"/>
      <c r="X1239" s="13"/>
      <c r="Y1239" s="13"/>
      <c r="Z1239" s="13"/>
      <c r="AA1239" s="13"/>
      <c r="AB1239" s="13"/>
      <c r="AM1239" s="6"/>
      <c r="AN1239" s="6"/>
      <c r="AO1239" s="6"/>
      <c r="AP1239" s="6"/>
      <c r="AQ1239" s="6"/>
      <c r="AR1239" s="6"/>
      <c r="AS1239" s="6"/>
      <c r="AT1239" s="6"/>
      <c r="AU1239" s="6"/>
      <c r="AV1239" s="6"/>
      <c r="AW1239" s="6"/>
      <c r="AX1239" s="6"/>
      <c r="AY1239" s="6"/>
      <c r="AZ1239" s="6"/>
      <c r="BA1239" s="6"/>
      <c r="BB1239" s="6"/>
      <c r="BC1239" s="6"/>
      <c r="BD1239" s="6"/>
      <c r="BE1239" s="6"/>
      <c r="BF1239" s="6"/>
      <c r="BG1239" s="6"/>
      <c r="BH1239" s="6"/>
      <c r="BI1239" s="6"/>
      <c r="BJ1239" s="6"/>
      <c r="BK1239" s="6"/>
      <c r="BL1239" s="6"/>
      <c r="BM1239" s="6"/>
      <c r="BN1239" s="6"/>
      <c r="BO1239" s="6"/>
      <c r="BP1239" s="6"/>
      <c r="BQ1239" s="6"/>
    </row>
    <row r="1240" spans="2:69" hidden="1" x14ac:dyDescent="0.2">
      <c r="B1240" s="13"/>
      <c r="C1240" s="13"/>
      <c r="D1240" s="13"/>
      <c r="E1240" s="13"/>
      <c r="F1240" s="13"/>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M1240" s="6"/>
      <c r="AN1240" s="6"/>
      <c r="AO1240" s="6"/>
      <c r="AP1240" s="6"/>
      <c r="AQ1240" s="6"/>
      <c r="AR1240" s="6"/>
      <c r="AS1240" s="6"/>
      <c r="AT1240" s="6"/>
      <c r="AU1240" s="6"/>
      <c r="AV1240" s="6"/>
      <c r="AW1240" s="6"/>
      <c r="AX1240" s="6"/>
      <c r="AY1240" s="6"/>
      <c r="AZ1240" s="6"/>
      <c r="BA1240" s="6"/>
      <c r="BB1240" s="6"/>
      <c r="BC1240" s="6"/>
      <c r="BD1240" s="6"/>
      <c r="BE1240" s="6"/>
      <c r="BF1240" s="6"/>
      <c r="BG1240" s="6"/>
      <c r="BH1240" s="6"/>
      <c r="BI1240" s="6"/>
      <c r="BJ1240" s="6"/>
      <c r="BK1240" s="6"/>
      <c r="BL1240" s="6"/>
      <c r="BM1240" s="6"/>
      <c r="BN1240" s="6"/>
      <c r="BO1240" s="6"/>
      <c r="BP1240" s="6"/>
      <c r="BQ1240" s="6"/>
    </row>
    <row r="1241" spans="2:69" hidden="1" x14ac:dyDescent="0.2">
      <c r="B1241" s="13"/>
      <c r="C1241" s="13"/>
      <c r="D1241" s="13"/>
      <c r="E1241" s="13"/>
      <c r="F1241" s="13"/>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M1241" s="6"/>
      <c r="AN1241" s="6"/>
      <c r="AO1241" s="6"/>
      <c r="AP1241" s="6"/>
      <c r="AQ1241" s="6"/>
      <c r="AR1241" s="6"/>
      <c r="AS1241" s="6"/>
      <c r="AT1241" s="6"/>
      <c r="AU1241" s="6"/>
      <c r="AV1241" s="6"/>
      <c r="AW1241" s="6"/>
      <c r="AX1241" s="6"/>
      <c r="AY1241" s="6"/>
      <c r="AZ1241" s="6"/>
      <c r="BA1241" s="6"/>
      <c r="BB1241" s="6"/>
      <c r="BC1241" s="6"/>
      <c r="BD1241" s="6"/>
      <c r="BE1241" s="6"/>
      <c r="BF1241" s="6"/>
      <c r="BG1241" s="6"/>
      <c r="BH1241" s="6"/>
      <c r="BI1241" s="6"/>
      <c r="BJ1241" s="6"/>
      <c r="BK1241" s="6"/>
      <c r="BL1241" s="6"/>
      <c r="BM1241" s="6"/>
      <c r="BN1241" s="6"/>
      <c r="BO1241" s="6"/>
      <c r="BP1241" s="6"/>
      <c r="BQ1241" s="6"/>
    </row>
    <row r="1242" spans="2:69" hidden="1" x14ac:dyDescent="0.2">
      <c r="B1242" s="13"/>
      <c r="C1242" s="13"/>
      <c r="D1242" s="13"/>
      <c r="E1242" s="13"/>
      <c r="F1242" s="13"/>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M1242" s="6"/>
      <c r="AN1242" s="6"/>
      <c r="AO1242" s="6"/>
      <c r="AP1242" s="6"/>
      <c r="AQ1242" s="6"/>
      <c r="AR1242" s="6"/>
      <c r="AS1242" s="6"/>
      <c r="AT1242" s="6"/>
      <c r="AU1242" s="6"/>
      <c r="AV1242" s="6"/>
      <c r="AW1242" s="6"/>
      <c r="AX1242" s="6"/>
      <c r="AY1242" s="6"/>
      <c r="AZ1242" s="6"/>
      <c r="BA1242" s="6"/>
      <c r="BB1242" s="6"/>
      <c r="BC1242" s="6"/>
      <c r="BD1242" s="6"/>
      <c r="BE1242" s="6"/>
      <c r="BF1242" s="6"/>
      <c r="BG1242" s="6"/>
      <c r="BH1242" s="6"/>
      <c r="BI1242" s="6"/>
      <c r="BJ1242" s="6"/>
      <c r="BK1242" s="6"/>
      <c r="BL1242" s="6"/>
      <c r="BM1242" s="6"/>
      <c r="BN1242" s="6"/>
      <c r="BO1242" s="6"/>
      <c r="BP1242" s="6"/>
      <c r="BQ1242" s="6"/>
    </row>
    <row r="1243" spans="2:69" hidden="1" x14ac:dyDescent="0.2">
      <c r="B1243" s="13"/>
      <c r="C1243" s="13"/>
      <c r="D1243" s="13"/>
      <c r="E1243" s="13"/>
      <c r="F1243" s="13"/>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M1243" s="6"/>
      <c r="AN1243" s="6"/>
      <c r="AO1243" s="6"/>
      <c r="AP1243" s="6"/>
      <c r="AQ1243" s="6"/>
      <c r="AR1243" s="6"/>
      <c r="AS1243" s="6"/>
      <c r="AT1243" s="6"/>
      <c r="AU1243" s="6"/>
      <c r="AV1243" s="6"/>
      <c r="AW1243" s="6"/>
      <c r="AX1243" s="6"/>
      <c r="AY1243" s="6"/>
      <c r="AZ1243" s="6"/>
      <c r="BA1243" s="6"/>
      <c r="BB1243" s="6"/>
      <c r="BC1243" s="6"/>
      <c r="BD1243" s="6"/>
      <c r="BE1243" s="6"/>
      <c r="BF1243" s="6"/>
      <c r="BG1243" s="6"/>
      <c r="BH1243" s="6"/>
      <c r="BI1243" s="6"/>
      <c r="BJ1243" s="6"/>
      <c r="BK1243" s="6"/>
      <c r="BL1243" s="6"/>
      <c r="BM1243" s="6"/>
      <c r="BN1243" s="6"/>
      <c r="BO1243" s="6"/>
      <c r="BP1243" s="6"/>
      <c r="BQ1243" s="6"/>
    </row>
    <row r="1244" spans="2:69" hidden="1" x14ac:dyDescent="0.2">
      <c r="B1244" s="13"/>
      <c r="C1244" s="13"/>
      <c r="D1244" s="13"/>
      <c r="E1244" s="13"/>
      <c r="F1244" s="13"/>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M1244" s="6"/>
      <c r="AN1244" s="6"/>
      <c r="AO1244" s="6"/>
      <c r="AP1244" s="6"/>
      <c r="AQ1244" s="6"/>
      <c r="AR1244" s="6"/>
      <c r="AS1244" s="6"/>
      <c r="AT1244" s="6"/>
      <c r="AU1244" s="6"/>
      <c r="AV1244" s="6"/>
      <c r="AW1244" s="6"/>
      <c r="AX1244" s="6"/>
      <c r="AY1244" s="6"/>
      <c r="AZ1244" s="6"/>
      <c r="BA1244" s="6"/>
      <c r="BB1244" s="6"/>
      <c r="BC1244" s="6"/>
      <c r="BD1244" s="6"/>
      <c r="BE1244" s="6"/>
      <c r="BF1244" s="6"/>
      <c r="BG1244" s="6"/>
      <c r="BH1244" s="6"/>
      <c r="BI1244" s="6"/>
      <c r="BJ1244" s="6"/>
      <c r="BK1244" s="6"/>
      <c r="BL1244" s="6"/>
      <c r="BM1244" s="6"/>
      <c r="BN1244" s="6"/>
      <c r="BO1244" s="6"/>
      <c r="BP1244" s="6"/>
      <c r="BQ1244" s="6"/>
    </row>
    <row r="1245" spans="2:69" hidden="1" x14ac:dyDescent="0.2">
      <c r="B1245" s="13"/>
      <c r="C1245" s="13"/>
      <c r="D1245" s="13"/>
      <c r="E1245" s="13"/>
      <c r="F1245" s="13"/>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M1245" s="6"/>
      <c r="AN1245" s="6"/>
      <c r="AO1245" s="6"/>
      <c r="AP1245" s="6"/>
      <c r="AQ1245" s="6"/>
      <c r="AR1245" s="6"/>
      <c r="AS1245" s="6"/>
      <c r="AT1245" s="6"/>
      <c r="AU1245" s="6"/>
      <c r="AV1245" s="6"/>
      <c r="AW1245" s="6"/>
      <c r="AX1245" s="6"/>
      <c r="AY1245" s="6"/>
      <c r="AZ1245" s="6"/>
      <c r="BA1245" s="6"/>
      <c r="BB1245" s="6"/>
      <c r="BC1245" s="6"/>
      <c r="BD1245" s="6"/>
      <c r="BE1245" s="6"/>
      <c r="BF1245" s="6"/>
      <c r="BG1245" s="6"/>
      <c r="BH1245" s="6"/>
      <c r="BI1245" s="6"/>
      <c r="BJ1245" s="6"/>
      <c r="BK1245" s="6"/>
      <c r="BL1245" s="6"/>
      <c r="BM1245" s="6"/>
      <c r="BN1245" s="6"/>
      <c r="BO1245" s="6"/>
      <c r="BP1245" s="6"/>
      <c r="BQ1245" s="6"/>
    </row>
    <row r="1246" spans="2:69" hidden="1" x14ac:dyDescent="0.2">
      <c r="B1246" s="13"/>
      <c r="C1246" s="13"/>
      <c r="D1246" s="13"/>
      <c r="E1246" s="13"/>
      <c r="F1246" s="13"/>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M1246" s="6"/>
      <c r="AN1246" s="6"/>
      <c r="AO1246" s="6"/>
      <c r="AP1246" s="6"/>
      <c r="AQ1246" s="6"/>
      <c r="AR1246" s="6"/>
      <c r="AS1246" s="6"/>
      <c r="AT1246" s="6"/>
      <c r="AU1246" s="6"/>
      <c r="AV1246" s="6"/>
      <c r="AW1246" s="6"/>
      <c r="AX1246" s="6"/>
      <c r="AY1246" s="6"/>
      <c r="AZ1246" s="6"/>
      <c r="BA1246" s="6"/>
      <c r="BB1246" s="6"/>
      <c r="BC1246" s="6"/>
      <c r="BD1246" s="6"/>
      <c r="BE1246" s="6"/>
      <c r="BF1246" s="6"/>
      <c r="BG1246" s="6"/>
      <c r="BH1246" s="6"/>
      <c r="BI1246" s="6"/>
      <c r="BJ1246" s="6"/>
      <c r="BK1246" s="6"/>
      <c r="BL1246" s="6"/>
      <c r="BM1246" s="6"/>
      <c r="BN1246" s="6"/>
      <c r="BO1246" s="6"/>
      <c r="BP1246" s="6"/>
      <c r="BQ1246" s="6"/>
    </row>
    <row r="1247" spans="2:69" hidden="1" x14ac:dyDescent="0.2">
      <c r="B1247" s="13"/>
      <c r="C1247" s="13"/>
      <c r="D1247" s="13"/>
      <c r="E1247" s="13"/>
      <c r="F1247" s="13"/>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M1247" s="6"/>
      <c r="AN1247" s="6"/>
      <c r="AO1247" s="6"/>
      <c r="AP1247" s="6"/>
      <c r="AQ1247" s="6"/>
      <c r="AR1247" s="6"/>
      <c r="AS1247" s="6"/>
      <c r="AT1247" s="6"/>
      <c r="AU1247" s="6"/>
      <c r="AV1247" s="6"/>
      <c r="AW1247" s="6"/>
      <c r="AX1247" s="6"/>
      <c r="AY1247" s="6"/>
      <c r="AZ1247" s="6"/>
      <c r="BA1247" s="6"/>
      <c r="BB1247" s="6"/>
      <c r="BC1247" s="6"/>
      <c r="BD1247" s="6"/>
      <c r="BE1247" s="6"/>
      <c r="BF1247" s="6"/>
      <c r="BG1247" s="6"/>
      <c r="BH1247" s="6"/>
      <c r="BI1247" s="6"/>
      <c r="BJ1247" s="6"/>
      <c r="BK1247" s="6"/>
      <c r="BL1247" s="6"/>
      <c r="BM1247" s="6"/>
      <c r="BN1247" s="6"/>
      <c r="BO1247" s="6"/>
      <c r="BP1247" s="6"/>
      <c r="BQ1247" s="6"/>
    </row>
    <row r="1248" spans="2:69" hidden="1" x14ac:dyDescent="0.2">
      <c r="B1248" s="13"/>
      <c r="C1248" s="13"/>
      <c r="D1248" s="13"/>
      <c r="E1248" s="13"/>
      <c r="F1248" s="13"/>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M1248" s="6"/>
      <c r="AN1248" s="6"/>
      <c r="AO1248" s="6"/>
      <c r="AP1248" s="6"/>
      <c r="AQ1248" s="6"/>
      <c r="AR1248" s="6"/>
      <c r="AS1248" s="6"/>
      <c r="AT1248" s="6"/>
      <c r="AU1248" s="6"/>
      <c r="AV1248" s="6"/>
      <c r="AW1248" s="6"/>
      <c r="AX1248" s="6"/>
      <c r="AY1248" s="6"/>
      <c r="AZ1248" s="6"/>
      <c r="BA1248" s="6"/>
      <c r="BB1248" s="6"/>
      <c r="BC1248" s="6"/>
      <c r="BD1248" s="6"/>
      <c r="BE1248" s="6"/>
      <c r="BF1248" s="6"/>
      <c r="BG1248" s="6"/>
      <c r="BH1248" s="6"/>
      <c r="BI1248" s="6"/>
      <c r="BJ1248" s="6"/>
      <c r="BK1248" s="6"/>
      <c r="BL1248" s="6"/>
      <c r="BM1248" s="6"/>
      <c r="BN1248" s="6"/>
      <c r="BO1248" s="6"/>
      <c r="BP1248" s="6"/>
      <c r="BQ1248" s="6"/>
    </row>
    <row r="1249" spans="2:69" hidden="1" x14ac:dyDescent="0.2">
      <c r="B1249" s="13"/>
      <c r="C1249" s="13"/>
      <c r="D1249" s="13"/>
      <c r="E1249" s="13"/>
      <c r="F1249" s="13"/>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M1249" s="6"/>
      <c r="AN1249" s="6"/>
      <c r="AO1249" s="6"/>
      <c r="AP1249" s="6"/>
      <c r="AQ1249" s="6"/>
      <c r="AR1249" s="6"/>
      <c r="AS1249" s="6"/>
      <c r="AT1249" s="6"/>
      <c r="AU1249" s="6"/>
      <c r="AV1249" s="6"/>
      <c r="AW1249" s="6"/>
      <c r="AX1249" s="6"/>
      <c r="AY1249" s="6"/>
      <c r="AZ1249" s="6"/>
      <c r="BA1249" s="6"/>
      <c r="BB1249" s="6"/>
      <c r="BC1249" s="6"/>
      <c r="BD1249" s="6"/>
      <c r="BE1249" s="6"/>
      <c r="BF1249" s="6"/>
      <c r="BG1249" s="6"/>
      <c r="BH1249" s="6"/>
      <c r="BI1249" s="6"/>
      <c r="BJ1249" s="6"/>
      <c r="BK1249" s="6"/>
      <c r="BL1249" s="6"/>
      <c r="BM1249" s="6"/>
      <c r="BN1249" s="6"/>
      <c r="BO1249" s="6"/>
      <c r="BP1249" s="6"/>
      <c r="BQ1249" s="6"/>
    </row>
    <row r="1250" spans="2:69" hidden="1" x14ac:dyDescent="0.2">
      <c r="B1250" s="13"/>
      <c r="C1250" s="13"/>
      <c r="D1250" s="13"/>
      <c r="E1250" s="13"/>
      <c r="F1250" s="13"/>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M1250" s="6"/>
      <c r="AN1250" s="6"/>
      <c r="AO1250" s="6"/>
      <c r="AP1250" s="6"/>
      <c r="AQ1250" s="6"/>
      <c r="AR1250" s="6"/>
      <c r="AS1250" s="6"/>
      <c r="AT1250" s="6"/>
      <c r="AU1250" s="6"/>
      <c r="AV1250" s="6"/>
      <c r="AW1250" s="6"/>
      <c r="AX1250" s="6"/>
      <c r="AY1250" s="6"/>
      <c r="AZ1250" s="6"/>
      <c r="BA1250" s="6"/>
      <c r="BB1250" s="6"/>
      <c r="BC1250" s="6"/>
      <c r="BD1250" s="6"/>
      <c r="BE1250" s="6"/>
      <c r="BF1250" s="6"/>
      <c r="BG1250" s="6"/>
      <c r="BH1250" s="6"/>
      <c r="BI1250" s="6"/>
      <c r="BJ1250" s="6"/>
      <c r="BK1250" s="6"/>
      <c r="BL1250" s="6"/>
      <c r="BM1250" s="6"/>
      <c r="BN1250" s="6"/>
      <c r="BO1250" s="6"/>
      <c r="BP1250" s="6"/>
      <c r="BQ1250" s="6"/>
    </row>
    <row r="1251" spans="2:69" hidden="1" x14ac:dyDescent="0.2">
      <c r="B1251" s="13"/>
      <c r="C1251" s="13"/>
      <c r="D1251" s="13"/>
      <c r="E1251" s="13"/>
      <c r="F1251" s="13"/>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M1251" s="6"/>
      <c r="AN1251" s="6"/>
      <c r="AO1251" s="6"/>
      <c r="AP1251" s="6"/>
      <c r="AQ1251" s="6"/>
      <c r="AR1251" s="6"/>
      <c r="AS1251" s="6"/>
      <c r="AT1251" s="6"/>
      <c r="AU1251" s="6"/>
      <c r="AV1251" s="6"/>
      <c r="AW1251" s="6"/>
      <c r="AX1251" s="6"/>
      <c r="AY1251" s="6"/>
      <c r="AZ1251" s="6"/>
      <c r="BA1251" s="6"/>
      <c r="BB1251" s="6"/>
      <c r="BC1251" s="6"/>
      <c r="BD1251" s="6"/>
      <c r="BE1251" s="6"/>
      <c r="BF1251" s="6"/>
      <c r="BG1251" s="6"/>
      <c r="BH1251" s="6"/>
      <c r="BI1251" s="6"/>
      <c r="BJ1251" s="6"/>
      <c r="BK1251" s="6"/>
      <c r="BL1251" s="6"/>
      <c r="BM1251" s="6"/>
      <c r="BN1251" s="6"/>
      <c r="BO1251" s="6"/>
      <c r="BP1251" s="6"/>
      <c r="BQ1251" s="6"/>
    </row>
    <row r="1252" spans="2:69" hidden="1" x14ac:dyDescent="0.2">
      <c r="B1252" s="13"/>
      <c r="C1252" s="13"/>
      <c r="D1252" s="13"/>
      <c r="E1252" s="13"/>
      <c r="F1252" s="13"/>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M1252" s="6"/>
      <c r="AN1252" s="6"/>
      <c r="AO1252" s="6"/>
      <c r="AP1252" s="6"/>
      <c r="AQ1252" s="6"/>
      <c r="AR1252" s="6"/>
      <c r="AS1252" s="6"/>
      <c r="AT1252" s="6"/>
      <c r="AU1252" s="6"/>
      <c r="AV1252" s="6"/>
      <c r="AW1252" s="6"/>
      <c r="AX1252" s="6"/>
      <c r="AY1252" s="6"/>
      <c r="AZ1252" s="6"/>
      <c r="BA1252" s="6"/>
      <c r="BB1252" s="6"/>
      <c r="BC1252" s="6"/>
      <c r="BD1252" s="6"/>
      <c r="BE1252" s="6"/>
      <c r="BF1252" s="6"/>
      <c r="BG1252" s="6"/>
      <c r="BH1252" s="6"/>
      <c r="BI1252" s="6"/>
      <c r="BJ1252" s="6"/>
      <c r="BK1252" s="6"/>
      <c r="BL1252" s="6"/>
      <c r="BM1252" s="6"/>
      <c r="BN1252" s="6"/>
      <c r="BO1252" s="6"/>
      <c r="BP1252" s="6"/>
      <c r="BQ1252" s="6"/>
    </row>
    <row r="1253" spans="2:69" hidden="1" x14ac:dyDescent="0.2">
      <c r="B1253" s="13"/>
      <c r="C1253" s="13"/>
      <c r="D1253" s="13"/>
      <c r="E1253" s="13"/>
      <c r="F1253" s="13"/>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M1253" s="6"/>
      <c r="AN1253" s="6"/>
      <c r="AO1253" s="6"/>
      <c r="AP1253" s="6"/>
      <c r="AQ1253" s="6"/>
      <c r="AR1253" s="6"/>
      <c r="AS1253" s="6"/>
      <c r="AT1253" s="6"/>
      <c r="AU1253" s="6"/>
      <c r="AV1253" s="6"/>
      <c r="AW1253" s="6"/>
      <c r="AX1253" s="6"/>
      <c r="AY1253" s="6"/>
      <c r="AZ1253" s="6"/>
      <c r="BA1253" s="6"/>
      <c r="BB1253" s="6"/>
      <c r="BC1253" s="6"/>
      <c r="BD1253" s="6"/>
      <c r="BE1253" s="6"/>
      <c r="BF1253" s="6"/>
      <c r="BG1253" s="6"/>
      <c r="BH1253" s="6"/>
      <c r="BI1253" s="6"/>
      <c r="BJ1253" s="6"/>
      <c r="BK1253" s="6"/>
      <c r="BL1253" s="6"/>
      <c r="BM1253" s="6"/>
      <c r="BN1253" s="6"/>
      <c r="BO1253" s="6"/>
      <c r="BP1253" s="6"/>
      <c r="BQ1253" s="6"/>
    </row>
    <row r="1254" spans="2:69" hidden="1" x14ac:dyDescent="0.2">
      <c r="B1254" s="13"/>
      <c r="C1254" s="13"/>
      <c r="D1254" s="13"/>
      <c r="E1254" s="13"/>
      <c r="F1254" s="13"/>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M1254" s="6"/>
      <c r="AN1254" s="6"/>
      <c r="AO1254" s="6"/>
      <c r="AP1254" s="6"/>
      <c r="AQ1254" s="6"/>
      <c r="AR1254" s="6"/>
      <c r="AS1254" s="6"/>
      <c r="AT1254" s="6"/>
      <c r="AU1254" s="6"/>
      <c r="AV1254" s="6"/>
      <c r="AW1254" s="6"/>
      <c r="AX1254" s="6"/>
      <c r="AY1254" s="6"/>
      <c r="AZ1254" s="6"/>
      <c r="BA1254" s="6"/>
      <c r="BB1254" s="6"/>
      <c r="BC1254" s="6"/>
      <c r="BD1254" s="6"/>
      <c r="BE1254" s="6"/>
      <c r="BF1254" s="6"/>
      <c r="BG1254" s="6"/>
      <c r="BH1254" s="6"/>
      <c r="BI1254" s="6"/>
      <c r="BJ1254" s="6"/>
      <c r="BK1254" s="6"/>
      <c r="BL1254" s="6"/>
      <c r="BM1254" s="6"/>
      <c r="BN1254" s="6"/>
      <c r="BO1254" s="6"/>
      <c r="BP1254" s="6"/>
      <c r="BQ1254" s="6"/>
    </row>
    <row r="1255" spans="2:69" hidden="1" x14ac:dyDescent="0.2">
      <c r="B1255" s="13"/>
      <c r="C1255" s="13"/>
      <c r="D1255" s="13"/>
      <c r="E1255" s="13"/>
      <c r="F1255" s="13"/>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M1255" s="6"/>
      <c r="AN1255" s="6"/>
      <c r="AO1255" s="6"/>
      <c r="AP1255" s="6"/>
      <c r="AQ1255" s="6"/>
      <c r="AR1255" s="6"/>
      <c r="AS1255" s="6"/>
      <c r="AT1255" s="6"/>
      <c r="AU1255" s="6"/>
      <c r="AV1255" s="6"/>
      <c r="AW1255" s="6"/>
      <c r="AX1255" s="6"/>
      <c r="AY1255" s="6"/>
      <c r="AZ1255" s="6"/>
      <c r="BA1255" s="6"/>
      <c r="BB1255" s="6"/>
      <c r="BC1255" s="6"/>
      <c r="BD1255" s="6"/>
      <c r="BE1255" s="6"/>
      <c r="BF1255" s="6"/>
      <c r="BG1255" s="6"/>
      <c r="BH1255" s="6"/>
      <c r="BI1255" s="6"/>
      <c r="BJ1255" s="6"/>
      <c r="BK1255" s="6"/>
      <c r="BL1255" s="6"/>
      <c r="BM1255" s="6"/>
      <c r="BN1255" s="6"/>
      <c r="BO1255" s="6"/>
      <c r="BP1255" s="6"/>
      <c r="BQ1255" s="6"/>
    </row>
    <row r="1256" spans="2:69" hidden="1" x14ac:dyDescent="0.2">
      <c r="B1256" s="13"/>
      <c r="C1256" s="13"/>
      <c r="D1256" s="13"/>
      <c r="E1256" s="13"/>
      <c r="F1256" s="13"/>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M1256" s="6"/>
      <c r="AN1256" s="6"/>
      <c r="AO1256" s="6"/>
      <c r="AP1256" s="6"/>
      <c r="AQ1256" s="6"/>
      <c r="AR1256" s="6"/>
      <c r="AS1256" s="6"/>
      <c r="AT1256" s="6"/>
      <c r="AU1256" s="6"/>
      <c r="AV1256" s="6"/>
      <c r="AW1256" s="6"/>
      <c r="AX1256" s="6"/>
      <c r="AY1256" s="6"/>
      <c r="AZ1256" s="6"/>
      <c r="BA1256" s="6"/>
      <c r="BB1256" s="6"/>
      <c r="BC1256" s="6"/>
      <c r="BD1256" s="6"/>
      <c r="BE1256" s="6"/>
      <c r="BF1256" s="6"/>
      <c r="BG1256" s="6"/>
      <c r="BH1256" s="6"/>
      <c r="BI1256" s="6"/>
      <c r="BJ1256" s="6"/>
      <c r="BK1256" s="6"/>
      <c r="BL1256" s="6"/>
      <c r="BM1256" s="6"/>
      <c r="BN1256" s="6"/>
      <c r="BO1256" s="6"/>
      <c r="BP1256" s="6"/>
      <c r="BQ1256" s="6"/>
    </row>
    <row r="1257" spans="2:69" hidden="1" x14ac:dyDescent="0.2">
      <c r="B1257" s="13"/>
      <c r="C1257" s="13"/>
      <c r="D1257" s="13"/>
      <c r="E1257" s="13"/>
      <c r="F1257" s="13"/>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M1257" s="6"/>
      <c r="AN1257" s="6"/>
      <c r="AO1257" s="6"/>
      <c r="AP1257" s="6"/>
      <c r="AQ1257" s="6"/>
      <c r="AR1257" s="6"/>
      <c r="AS1257" s="6"/>
      <c r="AT1257" s="6"/>
      <c r="AU1257" s="6"/>
      <c r="AV1257" s="6"/>
      <c r="AW1257" s="6"/>
      <c r="AX1257" s="6"/>
      <c r="AY1257" s="6"/>
      <c r="AZ1257" s="6"/>
      <c r="BA1257" s="6"/>
      <c r="BB1257" s="6"/>
      <c r="BC1257" s="6"/>
      <c r="BD1257" s="6"/>
      <c r="BE1257" s="6"/>
      <c r="BF1257" s="6"/>
      <c r="BG1257" s="6"/>
      <c r="BH1257" s="6"/>
      <c r="BI1257" s="6"/>
      <c r="BJ1257" s="6"/>
      <c r="BK1257" s="6"/>
      <c r="BL1257" s="6"/>
      <c r="BM1257" s="6"/>
      <c r="BN1257" s="6"/>
      <c r="BO1257" s="6"/>
      <c r="BP1257" s="6"/>
      <c r="BQ1257" s="6"/>
    </row>
    <row r="1258" spans="2:69" hidden="1" x14ac:dyDescent="0.2">
      <c r="B1258" s="13"/>
      <c r="C1258" s="13"/>
      <c r="D1258" s="13"/>
      <c r="E1258" s="13"/>
      <c r="F1258" s="13"/>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M1258" s="6"/>
      <c r="AN1258" s="6"/>
      <c r="AO1258" s="6"/>
      <c r="AP1258" s="6"/>
      <c r="AQ1258" s="6"/>
      <c r="AR1258" s="6"/>
      <c r="AS1258" s="6"/>
      <c r="AT1258" s="6"/>
      <c r="AU1258" s="6"/>
      <c r="AV1258" s="6"/>
      <c r="AW1258" s="6"/>
      <c r="AX1258" s="6"/>
      <c r="AY1258" s="6"/>
      <c r="AZ1258" s="6"/>
      <c r="BA1258" s="6"/>
      <c r="BB1258" s="6"/>
      <c r="BC1258" s="6"/>
      <c r="BD1258" s="6"/>
      <c r="BE1258" s="6"/>
      <c r="BF1258" s="6"/>
      <c r="BG1258" s="6"/>
      <c r="BH1258" s="6"/>
      <c r="BI1258" s="6"/>
      <c r="BJ1258" s="6"/>
      <c r="BK1258" s="6"/>
      <c r="BL1258" s="6"/>
      <c r="BM1258" s="6"/>
      <c r="BN1258" s="6"/>
      <c r="BO1258" s="6"/>
      <c r="BP1258" s="6"/>
      <c r="BQ1258" s="6"/>
    </row>
    <row r="1259" spans="2:69" hidden="1" x14ac:dyDescent="0.2">
      <c r="B1259" s="13"/>
      <c r="C1259" s="13"/>
      <c r="D1259" s="13"/>
      <c r="E1259" s="13"/>
      <c r="F1259" s="13"/>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M1259" s="6"/>
      <c r="AN1259" s="6"/>
      <c r="AO1259" s="6"/>
      <c r="AP1259" s="6"/>
      <c r="AQ1259" s="6"/>
      <c r="AR1259" s="6"/>
      <c r="AS1259" s="6"/>
      <c r="AT1259" s="6"/>
      <c r="AU1259" s="6"/>
      <c r="AV1259" s="6"/>
      <c r="AW1259" s="6"/>
      <c r="AX1259" s="6"/>
      <c r="AY1259" s="6"/>
      <c r="AZ1259" s="6"/>
      <c r="BA1259" s="6"/>
      <c r="BB1259" s="6"/>
      <c r="BC1259" s="6"/>
      <c r="BD1259" s="6"/>
      <c r="BE1259" s="6"/>
      <c r="BF1259" s="6"/>
      <c r="BG1259" s="6"/>
      <c r="BH1259" s="6"/>
      <c r="BI1259" s="6"/>
      <c r="BJ1259" s="6"/>
      <c r="BK1259" s="6"/>
      <c r="BL1259" s="6"/>
      <c r="BM1259" s="6"/>
      <c r="BN1259" s="6"/>
      <c r="BO1259" s="6"/>
      <c r="BP1259" s="6"/>
      <c r="BQ1259" s="6"/>
    </row>
    <row r="1260" spans="2:69" hidden="1" x14ac:dyDescent="0.2">
      <c r="B1260" s="13"/>
      <c r="C1260" s="13"/>
      <c r="D1260" s="13"/>
      <c r="E1260" s="13"/>
      <c r="F1260" s="13"/>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M1260" s="6"/>
      <c r="AN1260" s="6"/>
      <c r="AO1260" s="6"/>
      <c r="AP1260" s="6"/>
      <c r="AQ1260" s="6"/>
      <c r="AR1260" s="6"/>
      <c r="AS1260" s="6"/>
      <c r="AT1260" s="6"/>
      <c r="AU1260" s="6"/>
      <c r="AV1260" s="6"/>
      <c r="AW1260" s="6"/>
      <c r="AX1260" s="6"/>
      <c r="AY1260" s="6"/>
      <c r="AZ1260" s="6"/>
      <c r="BA1260" s="6"/>
      <c r="BB1260" s="6"/>
      <c r="BC1260" s="6"/>
      <c r="BD1260" s="6"/>
      <c r="BE1260" s="6"/>
      <c r="BF1260" s="6"/>
      <c r="BG1260" s="6"/>
      <c r="BH1260" s="6"/>
      <c r="BI1260" s="6"/>
      <c r="BJ1260" s="6"/>
      <c r="BK1260" s="6"/>
      <c r="BL1260" s="6"/>
      <c r="BM1260" s="6"/>
      <c r="BN1260" s="6"/>
      <c r="BO1260" s="6"/>
      <c r="BP1260" s="6"/>
      <c r="BQ1260" s="6"/>
    </row>
    <row r="1261" spans="2:69" hidden="1" x14ac:dyDescent="0.2">
      <c r="B1261" s="13"/>
      <c r="C1261" s="13"/>
      <c r="D1261" s="13"/>
      <c r="E1261" s="13"/>
      <c r="F1261" s="13"/>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M1261" s="6"/>
      <c r="AN1261" s="6"/>
      <c r="AO1261" s="6"/>
      <c r="AP1261" s="6"/>
      <c r="AQ1261" s="6"/>
      <c r="AR1261" s="6"/>
      <c r="AS1261" s="6"/>
      <c r="AT1261" s="6"/>
      <c r="AU1261" s="6"/>
      <c r="AV1261" s="6"/>
      <c r="AW1261" s="6"/>
      <c r="AX1261" s="6"/>
      <c r="AY1261" s="6"/>
      <c r="AZ1261" s="6"/>
      <c r="BA1261" s="6"/>
      <c r="BB1261" s="6"/>
      <c r="BC1261" s="6"/>
      <c r="BD1261" s="6"/>
      <c r="BE1261" s="6"/>
      <c r="BF1261" s="6"/>
      <c r="BG1261" s="6"/>
      <c r="BH1261" s="6"/>
      <c r="BI1261" s="6"/>
      <c r="BJ1261" s="6"/>
      <c r="BK1261" s="6"/>
      <c r="BL1261" s="6"/>
      <c r="BM1261" s="6"/>
      <c r="BN1261" s="6"/>
      <c r="BO1261" s="6"/>
      <c r="BP1261" s="6"/>
      <c r="BQ1261" s="6"/>
    </row>
    <row r="1262" spans="2:69" hidden="1" x14ac:dyDescent="0.2">
      <c r="B1262" s="13"/>
      <c r="C1262" s="13"/>
      <c r="D1262" s="13"/>
      <c r="E1262" s="13"/>
      <c r="F1262" s="13"/>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M1262" s="6"/>
      <c r="AN1262" s="6"/>
      <c r="AO1262" s="6"/>
      <c r="AP1262" s="6"/>
      <c r="AQ1262" s="6"/>
      <c r="AR1262" s="6"/>
      <c r="AS1262" s="6"/>
      <c r="AT1262" s="6"/>
      <c r="AU1262" s="6"/>
      <c r="AV1262" s="6"/>
      <c r="AW1262" s="6"/>
      <c r="AX1262" s="6"/>
      <c r="AY1262" s="6"/>
      <c r="AZ1262" s="6"/>
      <c r="BA1262" s="6"/>
      <c r="BB1262" s="6"/>
      <c r="BC1262" s="6"/>
      <c r="BD1262" s="6"/>
      <c r="BE1262" s="6"/>
      <c r="BF1262" s="6"/>
      <c r="BG1262" s="6"/>
      <c r="BH1262" s="6"/>
      <c r="BI1262" s="6"/>
      <c r="BJ1262" s="6"/>
      <c r="BK1262" s="6"/>
      <c r="BL1262" s="6"/>
      <c r="BM1262" s="6"/>
      <c r="BN1262" s="6"/>
      <c r="BO1262" s="6"/>
      <c r="BP1262" s="6"/>
      <c r="BQ1262" s="6"/>
    </row>
    <row r="1263" spans="2:69" hidden="1" x14ac:dyDescent="0.2">
      <c r="B1263" s="13"/>
      <c r="C1263" s="13"/>
      <c r="D1263" s="13"/>
      <c r="E1263" s="13"/>
      <c r="F1263" s="13"/>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M1263" s="6"/>
      <c r="AN1263" s="6"/>
      <c r="AO1263" s="6"/>
      <c r="AP1263" s="6"/>
      <c r="AQ1263" s="6"/>
      <c r="AR1263" s="6"/>
      <c r="AS1263" s="6"/>
      <c r="AT1263" s="6"/>
      <c r="AU1263" s="6"/>
      <c r="AV1263" s="6"/>
      <c r="AW1263" s="6"/>
      <c r="AX1263" s="6"/>
      <c r="AY1263" s="6"/>
      <c r="AZ1263" s="6"/>
      <c r="BA1263" s="6"/>
      <c r="BB1263" s="6"/>
      <c r="BC1263" s="6"/>
      <c r="BD1263" s="6"/>
      <c r="BE1263" s="6"/>
      <c r="BF1263" s="6"/>
      <c r="BG1263" s="6"/>
      <c r="BH1263" s="6"/>
      <c r="BI1263" s="6"/>
      <c r="BJ1263" s="6"/>
      <c r="BK1263" s="6"/>
      <c r="BL1263" s="6"/>
      <c r="BM1263" s="6"/>
      <c r="BN1263" s="6"/>
      <c r="BO1263" s="6"/>
      <c r="BP1263" s="6"/>
      <c r="BQ1263" s="6"/>
    </row>
    <row r="1264" spans="2:69" hidden="1" x14ac:dyDescent="0.2">
      <c r="B1264" s="13"/>
      <c r="C1264" s="13"/>
      <c r="D1264" s="13"/>
      <c r="E1264" s="13"/>
      <c r="F1264" s="13"/>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M1264" s="6"/>
      <c r="AN1264" s="6"/>
      <c r="AO1264" s="6"/>
      <c r="AP1264" s="6"/>
      <c r="AQ1264" s="6"/>
      <c r="AR1264" s="6"/>
      <c r="AS1264" s="6"/>
      <c r="AT1264" s="6"/>
      <c r="AU1264" s="6"/>
      <c r="AV1264" s="6"/>
      <c r="AW1264" s="6"/>
      <c r="AX1264" s="6"/>
      <c r="AY1264" s="6"/>
      <c r="AZ1264" s="6"/>
      <c r="BA1264" s="6"/>
      <c r="BB1264" s="6"/>
      <c r="BC1264" s="6"/>
      <c r="BD1264" s="6"/>
      <c r="BE1264" s="6"/>
      <c r="BF1264" s="6"/>
      <c r="BG1264" s="6"/>
      <c r="BH1264" s="6"/>
      <c r="BI1264" s="6"/>
      <c r="BJ1264" s="6"/>
      <c r="BK1264" s="6"/>
      <c r="BL1264" s="6"/>
      <c r="BM1264" s="6"/>
      <c r="BN1264" s="6"/>
      <c r="BO1264" s="6"/>
      <c r="BP1264" s="6"/>
      <c r="BQ1264" s="6"/>
    </row>
    <row r="1265" spans="2:69" hidden="1" x14ac:dyDescent="0.2">
      <c r="B1265" s="13"/>
      <c r="C1265" s="13"/>
      <c r="D1265" s="13"/>
      <c r="E1265" s="13"/>
      <c r="F1265" s="13"/>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M1265" s="6"/>
      <c r="AN1265" s="6"/>
      <c r="AO1265" s="6"/>
      <c r="AP1265" s="6"/>
      <c r="AQ1265" s="6"/>
      <c r="AR1265" s="6"/>
      <c r="AS1265" s="6"/>
      <c r="AT1265" s="6"/>
      <c r="AU1265" s="6"/>
      <c r="AV1265" s="6"/>
      <c r="AW1265" s="6"/>
      <c r="AX1265" s="6"/>
      <c r="AY1265" s="6"/>
      <c r="AZ1265" s="6"/>
      <c r="BA1265" s="6"/>
      <c r="BB1265" s="6"/>
      <c r="BC1265" s="6"/>
      <c r="BD1265" s="6"/>
      <c r="BE1265" s="6"/>
      <c r="BF1265" s="6"/>
      <c r="BG1265" s="6"/>
      <c r="BH1265" s="6"/>
      <c r="BI1265" s="6"/>
      <c r="BJ1265" s="6"/>
      <c r="BK1265" s="6"/>
      <c r="BL1265" s="6"/>
      <c r="BM1265" s="6"/>
      <c r="BN1265" s="6"/>
      <c r="BO1265" s="6"/>
      <c r="BP1265" s="6"/>
      <c r="BQ1265" s="6"/>
    </row>
    <row r="1266" spans="2:69" hidden="1" x14ac:dyDescent="0.2">
      <c r="B1266" s="13"/>
      <c r="C1266" s="13"/>
      <c r="D1266" s="13"/>
      <c r="E1266" s="13"/>
      <c r="F1266" s="13"/>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M1266" s="6"/>
      <c r="AN1266" s="6"/>
      <c r="AO1266" s="6"/>
      <c r="AP1266" s="6"/>
      <c r="AQ1266" s="6"/>
      <c r="AR1266" s="6"/>
      <c r="AS1266" s="6"/>
      <c r="AT1266" s="6"/>
      <c r="AU1266" s="6"/>
      <c r="AV1266" s="6"/>
      <c r="AW1266" s="6"/>
      <c r="AX1266" s="6"/>
      <c r="AY1266" s="6"/>
      <c r="AZ1266" s="6"/>
      <c r="BA1266" s="6"/>
      <c r="BB1266" s="6"/>
      <c r="BC1266" s="6"/>
      <c r="BD1266" s="6"/>
      <c r="BE1266" s="6"/>
      <c r="BF1266" s="6"/>
      <c r="BG1266" s="6"/>
      <c r="BH1266" s="6"/>
      <c r="BI1266" s="6"/>
      <c r="BJ1266" s="6"/>
      <c r="BK1266" s="6"/>
      <c r="BL1266" s="6"/>
      <c r="BM1266" s="6"/>
      <c r="BN1266" s="6"/>
      <c r="BO1266" s="6"/>
      <c r="BP1266" s="6"/>
      <c r="BQ1266" s="6"/>
    </row>
    <row r="1267" spans="2:69" hidden="1" x14ac:dyDescent="0.2">
      <c r="B1267" s="13"/>
      <c r="C1267" s="13"/>
      <c r="D1267" s="13"/>
      <c r="E1267" s="13"/>
      <c r="F1267" s="13"/>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M1267" s="6"/>
      <c r="AN1267" s="6"/>
      <c r="AO1267" s="6"/>
      <c r="AP1267" s="6"/>
      <c r="AQ1267" s="6"/>
      <c r="AR1267" s="6"/>
      <c r="AS1267" s="6"/>
      <c r="AT1267" s="6"/>
      <c r="AU1267" s="6"/>
      <c r="AV1267" s="6"/>
      <c r="AW1267" s="6"/>
      <c r="AX1267" s="6"/>
      <c r="AY1267" s="6"/>
      <c r="AZ1267" s="6"/>
      <c r="BA1267" s="6"/>
      <c r="BB1267" s="6"/>
      <c r="BC1267" s="6"/>
      <c r="BD1267" s="6"/>
      <c r="BE1267" s="6"/>
      <c r="BF1267" s="6"/>
      <c r="BG1267" s="6"/>
      <c r="BH1267" s="6"/>
      <c r="BI1267" s="6"/>
      <c r="BJ1267" s="6"/>
      <c r="BK1267" s="6"/>
      <c r="BL1267" s="6"/>
      <c r="BM1267" s="6"/>
      <c r="BN1267" s="6"/>
      <c r="BO1267" s="6"/>
      <c r="BP1267" s="6"/>
      <c r="BQ1267" s="6"/>
    </row>
    <row r="1268" spans="2:69" hidden="1" x14ac:dyDescent="0.2">
      <c r="B1268" s="13"/>
      <c r="C1268" s="13"/>
      <c r="D1268" s="13"/>
      <c r="E1268" s="13"/>
      <c r="F1268" s="13"/>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M1268" s="6"/>
      <c r="AN1268" s="6"/>
      <c r="AO1268" s="6"/>
      <c r="AP1268" s="6"/>
      <c r="AQ1268" s="6"/>
      <c r="AR1268" s="6"/>
      <c r="AS1268" s="6"/>
      <c r="AT1268" s="6"/>
      <c r="AU1268" s="6"/>
      <c r="AV1268" s="6"/>
      <c r="AW1268" s="6"/>
      <c r="AX1268" s="6"/>
      <c r="AY1268" s="6"/>
      <c r="AZ1268" s="6"/>
      <c r="BA1268" s="6"/>
      <c r="BB1268" s="6"/>
      <c r="BC1268" s="6"/>
      <c r="BD1268" s="6"/>
      <c r="BE1268" s="6"/>
      <c r="BF1268" s="6"/>
      <c r="BG1268" s="6"/>
      <c r="BH1268" s="6"/>
      <c r="BI1268" s="6"/>
      <c r="BJ1268" s="6"/>
      <c r="BK1268" s="6"/>
      <c r="BL1268" s="6"/>
      <c r="BM1268" s="6"/>
      <c r="BN1268" s="6"/>
      <c r="BO1268" s="6"/>
      <c r="BP1268" s="6"/>
      <c r="BQ1268" s="6"/>
    </row>
    <row r="1269" spans="2:69" hidden="1" x14ac:dyDescent="0.2">
      <c r="B1269" s="13"/>
      <c r="C1269" s="13"/>
      <c r="D1269" s="13"/>
      <c r="E1269" s="13"/>
      <c r="F1269" s="13"/>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M1269" s="6"/>
      <c r="AN1269" s="6"/>
      <c r="AO1269" s="6"/>
      <c r="AP1269" s="6"/>
      <c r="AQ1269" s="6"/>
      <c r="AR1269" s="6"/>
      <c r="AS1269" s="6"/>
      <c r="AT1269" s="6"/>
      <c r="AU1269" s="6"/>
      <c r="AV1269" s="6"/>
      <c r="AW1269" s="6"/>
      <c r="AX1269" s="6"/>
      <c r="AY1269" s="6"/>
      <c r="AZ1269" s="6"/>
      <c r="BA1269" s="6"/>
      <c r="BB1269" s="6"/>
      <c r="BC1269" s="6"/>
      <c r="BD1269" s="6"/>
      <c r="BE1269" s="6"/>
      <c r="BF1269" s="6"/>
      <c r="BG1269" s="6"/>
      <c r="BH1269" s="6"/>
      <c r="BI1269" s="6"/>
      <c r="BJ1269" s="6"/>
      <c r="BK1269" s="6"/>
      <c r="BL1269" s="6"/>
      <c r="BM1269" s="6"/>
      <c r="BN1269" s="6"/>
      <c r="BO1269" s="6"/>
      <c r="BP1269" s="6"/>
      <c r="BQ1269" s="6"/>
    </row>
    <row r="1270" spans="2:69" hidden="1" x14ac:dyDescent="0.2">
      <c r="B1270" s="13"/>
      <c r="C1270" s="13"/>
      <c r="D1270" s="13"/>
      <c r="E1270" s="13"/>
      <c r="F1270" s="13"/>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M1270" s="6"/>
      <c r="AN1270" s="6"/>
      <c r="AO1270" s="6"/>
      <c r="AP1270" s="6"/>
      <c r="AQ1270" s="6"/>
      <c r="AR1270" s="6"/>
      <c r="AS1270" s="6"/>
      <c r="AT1270" s="6"/>
      <c r="AU1270" s="6"/>
      <c r="AV1270" s="6"/>
      <c r="AW1270" s="6"/>
      <c r="AX1270" s="6"/>
      <c r="AY1270" s="6"/>
      <c r="AZ1270" s="6"/>
      <c r="BA1270" s="6"/>
      <c r="BB1270" s="6"/>
      <c r="BC1270" s="6"/>
      <c r="BD1270" s="6"/>
      <c r="BE1270" s="6"/>
      <c r="BF1270" s="6"/>
      <c r="BG1270" s="6"/>
      <c r="BH1270" s="6"/>
      <c r="BI1270" s="6"/>
      <c r="BJ1270" s="6"/>
      <c r="BK1270" s="6"/>
      <c r="BL1270" s="6"/>
      <c r="BM1270" s="6"/>
      <c r="BN1270" s="6"/>
      <c r="BO1270" s="6"/>
      <c r="BP1270" s="6"/>
      <c r="BQ1270" s="6"/>
    </row>
    <row r="1271" spans="2:69" hidden="1" x14ac:dyDescent="0.2">
      <c r="B1271" s="13"/>
      <c r="C1271" s="13"/>
      <c r="D1271" s="13"/>
      <c r="E1271" s="13"/>
      <c r="F1271" s="13"/>
      <c r="G1271" s="13"/>
      <c r="H1271" s="13"/>
      <c r="I1271" s="13"/>
      <c r="J1271" s="13"/>
      <c r="K1271" s="13"/>
      <c r="L1271" s="13"/>
      <c r="M1271" s="13"/>
      <c r="N1271" s="13"/>
      <c r="O1271" s="13"/>
      <c r="P1271" s="13"/>
      <c r="Q1271" s="13"/>
      <c r="R1271" s="13"/>
      <c r="S1271" s="13"/>
      <c r="T1271" s="13"/>
      <c r="U1271" s="13"/>
      <c r="V1271" s="13"/>
      <c r="W1271" s="13"/>
      <c r="X1271" s="13"/>
      <c r="Y1271" s="13"/>
      <c r="Z1271" s="13"/>
      <c r="AA1271" s="13"/>
      <c r="AB1271" s="13"/>
      <c r="AM1271" s="6"/>
      <c r="AN1271" s="6"/>
      <c r="AO1271" s="6"/>
      <c r="AP1271" s="6"/>
      <c r="AQ1271" s="6"/>
      <c r="AR1271" s="6"/>
      <c r="AS1271" s="6"/>
      <c r="AT1271" s="6"/>
      <c r="AU1271" s="6"/>
      <c r="AV1271" s="6"/>
      <c r="AW1271" s="6"/>
      <c r="AX1271" s="6"/>
      <c r="AY1271" s="6"/>
      <c r="AZ1271" s="6"/>
      <c r="BA1271" s="6"/>
      <c r="BB1271" s="6"/>
      <c r="BC1271" s="6"/>
      <c r="BD1271" s="6"/>
      <c r="BE1271" s="6"/>
      <c r="BF1271" s="6"/>
      <c r="BG1271" s="6"/>
      <c r="BH1271" s="6"/>
      <c r="BI1271" s="6"/>
      <c r="BJ1271" s="6"/>
      <c r="BK1271" s="6"/>
      <c r="BL1271" s="6"/>
      <c r="BM1271" s="6"/>
      <c r="BN1271" s="6"/>
      <c r="BO1271" s="6"/>
      <c r="BP1271" s="6"/>
      <c r="BQ1271" s="6"/>
    </row>
    <row r="1272" spans="2:69" hidden="1" x14ac:dyDescent="0.2">
      <c r="B1272" s="13"/>
      <c r="C1272" s="13"/>
      <c r="D1272" s="13"/>
      <c r="E1272" s="13"/>
      <c r="F1272" s="13"/>
      <c r="G1272" s="13"/>
      <c r="H1272" s="13"/>
      <c r="I1272" s="13"/>
      <c r="J1272" s="13"/>
      <c r="K1272" s="13"/>
      <c r="L1272" s="13"/>
      <c r="M1272" s="13"/>
      <c r="N1272" s="13"/>
      <c r="O1272" s="13"/>
      <c r="P1272" s="13"/>
      <c r="Q1272" s="13"/>
      <c r="R1272" s="13"/>
      <c r="S1272" s="13"/>
      <c r="T1272" s="13"/>
      <c r="U1272" s="13"/>
      <c r="V1272" s="13"/>
      <c r="W1272" s="13"/>
      <c r="X1272" s="13"/>
      <c r="Y1272" s="13"/>
      <c r="Z1272" s="13"/>
      <c r="AA1272" s="13"/>
      <c r="AB1272" s="13"/>
      <c r="AM1272" s="6"/>
      <c r="AN1272" s="6"/>
      <c r="AO1272" s="6"/>
      <c r="AP1272" s="6"/>
      <c r="AQ1272" s="6"/>
      <c r="AR1272" s="6"/>
      <c r="AS1272" s="6"/>
      <c r="AT1272" s="6"/>
      <c r="AU1272" s="6"/>
      <c r="AV1272" s="6"/>
      <c r="AW1272" s="6"/>
      <c r="AX1272" s="6"/>
      <c r="AY1272" s="6"/>
      <c r="AZ1272" s="6"/>
      <c r="BA1272" s="6"/>
      <c r="BB1272" s="6"/>
      <c r="BC1272" s="6"/>
      <c r="BD1272" s="6"/>
      <c r="BE1272" s="6"/>
      <c r="BF1272" s="6"/>
      <c r="BG1272" s="6"/>
      <c r="BH1272" s="6"/>
      <c r="BI1272" s="6"/>
      <c r="BJ1272" s="6"/>
      <c r="BK1272" s="6"/>
      <c r="BL1272" s="6"/>
      <c r="BM1272" s="6"/>
      <c r="BN1272" s="6"/>
      <c r="BO1272" s="6"/>
      <c r="BP1272" s="6"/>
      <c r="BQ1272" s="6"/>
    </row>
    <row r="1273" spans="2:69" hidden="1" x14ac:dyDescent="0.2">
      <c r="B1273" s="13"/>
      <c r="C1273" s="13"/>
      <c r="D1273" s="13"/>
      <c r="E1273" s="13"/>
      <c r="F1273" s="13"/>
      <c r="G1273" s="13"/>
      <c r="H1273" s="13"/>
      <c r="I1273" s="13"/>
      <c r="J1273" s="13"/>
      <c r="K1273" s="13"/>
      <c r="L1273" s="13"/>
      <c r="M1273" s="13"/>
      <c r="N1273" s="13"/>
      <c r="O1273" s="13"/>
      <c r="P1273" s="13"/>
      <c r="Q1273" s="13"/>
      <c r="R1273" s="13"/>
      <c r="S1273" s="13"/>
      <c r="T1273" s="13"/>
      <c r="U1273" s="13"/>
      <c r="V1273" s="13"/>
      <c r="W1273" s="13"/>
      <c r="X1273" s="13"/>
      <c r="Y1273" s="13"/>
      <c r="Z1273" s="13"/>
      <c r="AA1273" s="13"/>
      <c r="AB1273" s="13"/>
      <c r="AM1273" s="6"/>
      <c r="AN1273" s="6"/>
      <c r="AO1273" s="6"/>
      <c r="AP1273" s="6"/>
      <c r="AQ1273" s="6"/>
      <c r="AR1273" s="6"/>
      <c r="AS1273" s="6"/>
      <c r="AT1273" s="6"/>
      <c r="AU1273" s="6"/>
      <c r="AV1273" s="6"/>
      <c r="AW1273" s="6"/>
      <c r="AX1273" s="6"/>
      <c r="AY1273" s="6"/>
      <c r="AZ1273" s="6"/>
      <c r="BA1273" s="6"/>
      <c r="BB1273" s="6"/>
      <c r="BC1273" s="6"/>
      <c r="BD1273" s="6"/>
      <c r="BE1273" s="6"/>
      <c r="BF1273" s="6"/>
      <c r="BG1273" s="6"/>
      <c r="BH1273" s="6"/>
      <c r="BI1273" s="6"/>
      <c r="BJ1273" s="6"/>
      <c r="BK1273" s="6"/>
      <c r="BL1273" s="6"/>
      <c r="BM1273" s="6"/>
      <c r="BN1273" s="6"/>
      <c r="BO1273" s="6"/>
      <c r="BP1273" s="6"/>
      <c r="BQ1273" s="6"/>
    </row>
    <row r="1274" spans="2:69" hidden="1" x14ac:dyDescent="0.2">
      <c r="B1274" s="13"/>
      <c r="C1274" s="13"/>
      <c r="D1274" s="13"/>
      <c r="E1274" s="13"/>
      <c r="F1274" s="13"/>
      <c r="G1274" s="13"/>
      <c r="H1274" s="13"/>
      <c r="I1274" s="13"/>
      <c r="J1274" s="13"/>
      <c r="K1274" s="13"/>
      <c r="L1274" s="13"/>
      <c r="M1274" s="13"/>
      <c r="N1274" s="13"/>
      <c r="O1274" s="13"/>
      <c r="P1274" s="13"/>
      <c r="Q1274" s="13"/>
      <c r="R1274" s="13"/>
      <c r="S1274" s="13"/>
      <c r="T1274" s="13"/>
      <c r="U1274" s="13"/>
      <c r="V1274" s="13"/>
      <c r="W1274" s="13"/>
      <c r="X1274" s="13"/>
      <c r="Y1274" s="13"/>
      <c r="Z1274" s="13"/>
      <c r="AA1274" s="13"/>
      <c r="AB1274" s="13"/>
      <c r="AM1274" s="6"/>
      <c r="AN1274" s="6"/>
      <c r="AO1274" s="6"/>
      <c r="AP1274" s="6"/>
      <c r="AQ1274" s="6"/>
      <c r="AR1274" s="6"/>
      <c r="AS1274" s="6"/>
      <c r="AT1274" s="6"/>
      <c r="AU1274" s="6"/>
      <c r="AV1274" s="6"/>
      <c r="AW1274" s="6"/>
      <c r="AX1274" s="6"/>
      <c r="AY1274" s="6"/>
      <c r="AZ1274" s="6"/>
      <c r="BA1274" s="6"/>
      <c r="BB1274" s="6"/>
      <c r="BC1274" s="6"/>
      <c r="BD1274" s="6"/>
      <c r="BE1274" s="6"/>
      <c r="BF1274" s="6"/>
      <c r="BG1274" s="6"/>
      <c r="BH1274" s="6"/>
      <c r="BI1274" s="6"/>
      <c r="BJ1274" s="6"/>
      <c r="BK1274" s="6"/>
      <c r="BL1274" s="6"/>
      <c r="BM1274" s="6"/>
      <c r="BN1274" s="6"/>
      <c r="BO1274" s="6"/>
      <c r="BP1274" s="6"/>
      <c r="BQ1274" s="6"/>
    </row>
    <row r="1275" spans="2:69" hidden="1" x14ac:dyDescent="0.2">
      <c r="B1275" s="13"/>
      <c r="C1275" s="13"/>
      <c r="D1275" s="13"/>
      <c r="E1275" s="13"/>
      <c r="F1275" s="13"/>
      <c r="G1275" s="13"/>
      <c r="H1275" s="13"/>
      <c r="I1275" s="13"/>
      <c r="J1275" s="13"/>
      <c r="K1275" s="13"/>
      <c r="L1275" s="13"/>
      <c r="M1275" s="13"/>
      <c r="N1275" s="13"/>
      <c r="O1275" s="13"/>
      <c r="P1275" s="13"/>
      <c r="Q1275" s="13"/>
      <c r="R1275" s="13"/>
      <c r="S1275" s="13"/>
      <c r="T1275" s="13"/>
      <c r="U1275" s="13"/>
      <c r="V1275" s="13"/>
      <c r="W1275" s="13"/>
      <c r="X1275" s="13"/>
      <c r="Y1275" s="13"/>
      <c r="Z1275" s="13"/>
      <c r="AA1275" s="13"/>
      <c r="AB1275" s="13"/>
      <c r="AM1275" s="6"/>
      <c r="AN1275" s="6"/>
      <c r="AO1275" s="6"/>
      <c r="AP1275" s="6"/>
      <c r="AQ1275" s="6"/>
      <c r="AR1275" s="6"/>
      <c r="AS1275" s="6"/>
      <c r="AT1275" s="6"/>
      <c r="AU1275" s="6"/>
      <c r="AV1275" s="6"/>
      <c r="AW1275" s="6"/>
      <c r="AX1275" s="6"/>
      <c r="AY1275" s="6"/>
      <c r="AZ1275" s="6"/>
      <c r="BA1275" s="6"/>
      <c r="BB1275" s="6"/>
      <c r="BC1275" s="6"/>
      <c r="BD1275" s="6"/>
      <c r="BE1275" s="6"/>
      <c r="BF1275" s="6"/>
      <c r="BG1275" s="6"/>
      <c r="BH1275" s="6"/>
      <c r="BI1275" s="6"/>
      <c r="BJ1275" s="6"/>
      <c r="BK1275" s="6"/>
      <c r="BL1275" s="6"/>
      <c r="BM1275" s="6"/>
      <c r="BN1275" s="6"/>
      <c r="BO1275" s="6"/>
      <c r="BP1275" s="6"/>
      <c r="BQ1275" s="6"/>
    </row>
    <row r="1276" spans="2:69" hidden="1" x14ac:dyDescent="0.2">
      <c r="B1276" s="13"/>
      <c r="C1276" s="13"/>
      <c r="D1276" s="13"/>
      <c r="E1276" s="13"/>
      <c r="F1276" s="13"/>
      <c r="G1276" s="13"/>
      <c r="H1276" s="13"/>
      <c r="I1276" s="13"/>
      <c r="J1276" s="13"/>
      <c r="K1276" s="13"/>
      <c r="L1276" s="13"/>
      <c r="M1276" s="13"/>
      <c r="N1276" s="13"/>
      <c r="O1276" s="13"/>
      <c r="P1276" s="13"/>
      <c r="Q1276" s="13"/>
      <c r="R1276" s="13"/>
      <c r="S1276" s="13"/>
      <c r="T1276" s="13"/>
      <c r="U1276" s="13"/>
      <c r="V1276" s="13"/>
      <c r="W1276" s="13"/>
      <c r="X1276" s="13"/>
      <c r="Y1276" s="13"/>
      <c r="Z1276" s="13"/>
      <c r="AA1276" s="13"/>
      <c r="AB1276" s="13"/>
      <c r="AM1276" s="6"/>
      <c r="AN1276" s="6"/>
      <c r="AO1276" s="6"/>
      <c r="AP1276" s="6"/>
      <c r="AQ1276" s="6"/>
      <c r="AR1276" s="6"/>
      <c r="AS1276" s="6"/>
      <c r="AT1276" s="6"/>
      <c r="AU1276" s="6"/>
      <c r="AV1276" s="6"/>
      <c r="AW1276" s="6"/>
      <c r="AX1276" s="6"/>
      <c r="AY1276" s="6"/>
      <c r="AZ1276" s="6"/>
      <c r="BA1276" s="6"/>
      <c r="BB1276" s="6"/>
      <c r="BC1276" s="6"/>
      <c r="BD1276" s="6"/>
      <c r="BE1276" s="6"/>
      <c r="BF1276" s="6"/>
      <c r="BG1276" s="6"/>
      <c r="BH1276" s="6"/>
      <c r="BI1276" s="6"/>
      <c r="BJ1276" s="6"/>
      <c r="BK1276" s="6"/>
      <c r="BL1276" s="6"/>
      <c r="BM1276" s="6"/>
      <c r="BN1276" s="6"/>
      <c r="BO1276" s="6"/>
      <c r="BP1276" s="6"/>
      <c r="BQ1276" s="6"/>
    </row>
    <row r="1277" spans="2:69" hidden="1" x14ac:dyDescent="0.2">
      <c r="B1277" s="13"/>
      <c r="C1277" s="13"/>
      <c r="D1277" s="13"/>
      <c r="E1277" s="13"/>
      <c r="F1277" s="13"/>
      <c r="G1277" s="13"/>
      <c r="H1277" s="13"/>
      <c r="I1277" s="13"/>
      <c r="J1277" s="13"/>
      <c r="K1277" s="13"/>
      <c r="L1277" s="13"/>
      <c r="M1277" s="13"/>
      <c r="N1277" s="13"/>
      <c r="O1277" s="13"/>
      <c r="P1277" s="13"/>
      <c r="Q1277" s="13"/>
      <c r="R1277" s="13"/>
      <c r="S1277" s="13"/>
      <c r="T1277" s="13"/>
      <c r="U1277" s="13"/>
      <c r="V1277" s="13"/>
      <c r="W1277" s="13"/>
      <c r="X1277" s="13"/>
      <c r="Y1277" s="13"/>
      <c r="Z1277" s="13"/>
      <c r="AA1277" s="13"/>
      <c r="AB1277" s="13"/>
      <c r="AM1277" s="6"/>
      <c r="AN1277" s="6"/>
      <c r="AO1277" s="6"/>
      <c r="AP1277" s="6"/>
      <c r="AQ1277" s="6"/>
      <c r="AR1277" s="6"/>
      <c r="AS1277" s="6"/>
      <c r="AT1277" s="6"/>
      <c r="AU1277" s="6"/>
      <c r="AV1277" s="6"/>
      <c r="AW1277" s="6"/>
      <c r="AX1277" s="6"/>
      <c r="AY1277" s="6"/>
      <c r="AZ1277" s="6"/>
      <c r="BA1277" s="6"/>
      <c r="BB1277" s="6"/>
      <c r="BC1277" s="6"/>
      <c r="BD1277" s="6"/>
      <c r="BE1277" s="6"/>
      <c r="BF1277" s="6"/>
      <c r="BG1277" s="6"/>
      <c r="BH1277" s="6"/>
      <c r="BI1277" s="6"/>
      <c r="BJ1277" s="6"/>
      <c r="BK1277" s="6"/>
      <c r="BL1277" s="6"/>
      <c r="BM1277" s="6"/>
      <c r="BN1277" s="6"/>
      <c r="BO1277" s="6"/>
      <c r="BP1277" s="6"/>
      <c r="BQ1277" s="6"/>
    </row>
    <row r="1278" spans="2:69" hidden="1" x14ac:dyDescent="0.2">
      <c r="B1278" s="13"/>
      <c r="C1278" s="13"/>
      <c r="D1278" s="13"/>
      <c r="E1278" s="13"/>
      <c r="F1278" s="13"/>
      <c r="G1278" s="13"/>
      <c r="H1278" s="13"/>
      <c r="I1278" s="13"/>
      <c r="J1278" s="13"/>
      <c r="K1278" s="13"/>
      <c r="L1278" s="13"/>
      <c r="M1278" s="13"/>
      <c r="N1278" s="13"/>
      <c r="O1278" s="13"/>
      <c r="P1278" s="13"/>
      <c r="Q1278" s="13"/>
      <c r="R1278" s="13"/>
      <c r="S1278" s="13"/>
      <c r="T1278" s="13"/>
      <c r="U1278" s="13"/>
      <c r="V1278" s="13"/>
      <c r="W1278" s="13"/>
      <c r="X1278" s="13"/>
      <c r="Y1278" s="13"/>
      <c r="Z1278" s="13"/>
      <c r="AA1278" s="13"/>
      <c r="AB1278" s="13"/>
      <c r="AM1278" s="6"/>
      <c r="AN1278" s="6"/>
      <c r="AO1278" s="6"/>
      <c r="AP1278" s="6"/>
      <c r="AQ1278" s="6"/>
      <c r="AR1278" s="6"/>
      <c r="AS1278" s="6"/>
      <c r="AT1278" s="6"/>
      <c r="AU1278" s="6"/>
      <c r="AV1278" s="6"/>
      <c r="AW1278" s="6"/>
      <c r="AX1278" s="6"/>
      <c r="AY1278" s="6"/>
      <c r="AZ1278" s="6"/>
      <c r="BA1278" s="6"/>
      <c r="BB1278" s="6"/>
      <c r="BC1278" s="6"/>
      <c r="BD1278" s="6"/>
      <c r="BE1278" s="6"/>
      <c r="BF1278" s="6"/>
      <c r="BG1278" s="6"/>
      <c r="BH1278" s="6"/>
      <c r="BI1278" s="6"/>
      <c r="BJ1278" s="6"/>
      <c r="BK1278" s="6"/>
      <c r="BL1278" s="6"/>
      <c r="BM1278" s="6"/>
      <c r="BN1278" s="6"/>
      <c r="BO1278" s="6"/>
      <c r="BP1278" s="6"/>
      <c r="BQ1278" s="6"/>
    </row>
    <row r="1279" spans="2:69" hidden="1" x14ac:dyDescent="0.2">
      <c r="B1279" s="13"/>
      <c r="C1279" s="13"/>
      <c r="D1279" s="13"/>
      <c r="E1279" s="13"/>
      <c r="F1279" s="13"/>
      <c r="G1279" s="13"/>
      <c r="H1279" s="13"/>
      <c r="I1279" s="13"/>
      <c r="J1279" s="13"/>
      <c r="K1279" s="13"/>
      <c r="L1279" s="13"/>
      <c r="M1279" s="13"/>
      <c r="N1279" s="13"/>
      <c r="O1279" s="13"/>
      <c r="P1279" s="13"/>
      <c r="Q1279" s="13"/>
      <c r="R1279" s="13"/>
      <c r="S1279" s="13"/>
      <c r="T1279" s="13"/>
      <c r="U1279" s="13"/>
      <c r="V1279" s="13"/>
      <c r="W1279" s="13"/>
      <c r="X1279" s="13"/>
      <c r="Y1279" s="13"/>
      <c r="Z1279" s="13"/>
      <c r="AA1279" s="13"/>
      <c r="AB1279" s="13"/>
      <c r="AM1279" s="6"/>
      <c r="AN1279" s="6"/>
      <c r="AO1279" s="6"/>
      <c r="AP1279" s="6"/>
      <c r="AQ1279" s="6"/>
      <c r="AR1279" s="6"/>
      <c r="AS1279" s="6"/>
      <c r="AT1279" s="6"/>
      <c r="AU1279" s="6"/>
      <c r="AV1279" s="6"/>
      <c r="AW1279" s="6"/>
      <c r="AX1279" s="6"/>
      <c r="AY1279" s="6"/>
      <c r="AZ1279" s="6"/>
      <c r="BA1279" s="6"/>
      <c r="BB1279" s="6"/>
      <c r="BC1279" s="6"/>
      <c r="BD1279" s="6"/>
      <c r="BE1279" s="6"/>
      <c r="BF1279" s="6"/>
      <c r="BG1279" s="6"/>
      <c r="BH1279" s="6"/>
      <c r="BI1279" s="6"/>
      <c r="BJ1279" s="6"/>
      <c r="BK1279" s="6"/>
      <c r="BL1279" s="6"/>
      <c r="BM1279" s="6"/>
      <c r="BN1279" s="6"/>
      <c r="BO1279" s="6"/>
      <c r="BP1279" s="6"/>
      <c r="BQ1279" s="6"/>
    </row>
    <row r="1280" spans="2:69" hidden="1" x14ac:dyDescent="0.2">
      <c r="B1280" s="13"/>
      <c r="C1280" s="13"/>
      <c r="D1280" s="13"/>
      <c r="E1280" s="13"/>
      <c r="F1280" s="13"/>
      <c r="G1280" s="13"/>
      <c r="H1280" s="13"/>
      <c r="I1280" s="13"/>
      <c r="J1280" s="13"/>
      <c r="K1280" s="13"/>
      <c r="L1280" s="13"/>
      <c r="M1280" s="13"/>
      <c r="N1280" s="13"/>
      <c r="O1280" s="13"/>
      <c r="P1280" s="13"/>
      <c r="Q1280" s="13"/>
      <c r="R1280" s="13"/>
      <c r="S1280" s="13"/>
      <c r="T1280" s="13"/>
      <c r="U1280" s="13"/>
      <c r="V1280" s="13"/>
      <c r="W1280" s="13"/>
      <c r="X1280" s="13"/>
      <c r="Y1280" s="13"/>
      <c r="Z1280" s="13"/>
      <c r="AA1280" s="13"/>
      <c r="AB1280" s="13"/>
      <c r="AM1280" s="6"/>
      <c r="AN1280" s="6"/>
      <c r="AO1280" s="6"/>
      <c r="AP1280" s="6"/>
      <c r="AQ1280" s="6"/>
      <c r="AR1280" s="6"/>
      <c r="AS1280" s="6"/>
      <c r="AT1280" s="6"/>
      <c r="AU1280" s="6"/>
      <c r="AV1280" s="6"/>
      <c r="AW1280" s="6"/>
      <c r="AX1280" s="6"/>
      <c r="AY1280" s="6"/>
      <c r="AZ1280" s="6"/>
      <c r="BA1280" s="6"/>
      <c r="BB1280" s="6"/>
      <c r="BC1280" s="6"/>
      <c r="BD1280" s="6"/>
      <c r="BE1280" s="6"/>
      <c r="BF1280" s="6"/>
      <c r="BG1280" s="6"/>
      <c r="BH1280" s="6"/>
      <c r="BI1280" s="6"/>
      <c r="BJ1280" s="6"/>
      <c r="BK1280" s="6"/>
      <c r="BL1280" s="6"/>
      <c r="BM1280" s="6"/>
      <c r="BN1280" s="6"/>
      <c r="BO1280" s="6"/>
      <c r="BP1280" s="6"/>
      <c r="BQ1280" s="6"/>
    </row>
    <row r="1281" spans="2:69" hidden="1" x14ac:dyDescent="0.2">
      <c r="B1281" s="13"/>
      <c r="C1281" s="13"/>
      <c r="D1281" s="13"/>
      <c r="E1281" s="13"/>
      <c r="F1281" s="13"/>
      <c r="G1281" s="13"/>
      <c r="H1281" s="13"/>
      <c r="I1281" s="13"/>
      <c r="J1281" s="13"/>
      <c r="K1281" s="13"/>
      <c r="L1281" s="13"/>
      <c r="M1281" s="13"/>
      <c r="N1281" s="13"/>
      <c r="O1281" s="13"/>
      <c r="P1281" s="13"/>
      <c r="Q1281" s="13"/>
      <c r="R1281" s="13"/>
      <c r="S1281" s="13"/>
      <c r="T1281" s="13"/>
      <c r="U1281" s="13"/>
      <c r="V1281" s="13"/>
      <c r="W1281" s="13"/>
      <c r="X1281" s="13"/>
      <c r="Y1281" s="13"/>
      <c r="Z1281" s="13"/>
      <c r="AA1281" s="13"/>
      <c r="AB1281" s="13"/>
      <c r="AM1281" s="6"/>
      <c r="AN1281" s="6"/>
      <c r="AO1281" s="6"/>
      <c r="AP1281" s="6"/>
      <c r="AQ1281" s="6"/>
      <c r="AR1281" s="6"/>
      <c r="AS1281" s="6"/>
      <c r="AT1281" s="6"/>
      <c r="AU1281" s="6"/>
      <c r="AV1281" s="6"/>
      <c r="AW1281" s="6"/>
      <c r="AX1281" s="6"/>
      <c r="AY1281" s="6"/>
      <c r="AZ1281" s="6"/>
      <c r="BA1281" s="6"/>
      <c r="BB1281" s="6"/>
      <c r="BC1281" s="6"/>
      <c r="BD1281" s="6"/>
      <c r="BE1281" s="6"/>
      <c r="BF1281" s="6"/>
      <c r="BG1281" s="6"/>
      <c r="BH1281" s="6"/>
      <c r="BI1281" s="6"/>
      <c r="BJ1281" s="6"/>
      <c r="BK1281" s="6"/>
      <c r="BL1281" s="6"/>
      <c r="BM1281" s="6"/>
      <c r="BN1281" s="6"/>
      <c r="BO1281" s="6"/>
      <c r="BP1281" s="6"/>
      <c r="BQ1281" s="6"/>
    </row>
    <row r="1282" spans="2:69" hidden="1" x14ac:dyDescent="0.2">
      <c r="B1282" s="13"/>
      <c r="C1282" s="13"/>
      <c r="D1282" s="13"/>
      <c r="E1282" s="13"/>
      <c r="F1282" s="13"/>
      <c r="G1282" s="13"/>
      <c r="H1282" s="13"/>
      <c r="I1282" s="13"/>
      <c r="J1282" s="13"/>
      <c r="K1282" s="13"/>
      <c r="L1282" s="13"/>
      <c r="M1282" s="13"/>
      <c r="N1282" s="13"/>
      <c r="O1282" s="13"/>
      <c r="P1282" s="13"/>
      <c r="Q1282" s="13"/>
      <c r="R1282" s="13"/>
      <c r="S1282" s="13"/>
      <c r="T1282" s="13"/>
      <c r="U1282" s="13"/>
      <c r="V1282" s="13"/>
      <c r="W1282" s="13"/>
      <c r="X1282" s="13"/>
      <c r="Y1282" s="13"/>
      <c r="Z1282" s="13"/>
      <c r="AA1282" s="13"/>
      <c r="AB1282" s="13"/>
      <c r="AM1282" s="6"/>
      <c r="AN1282" s="6"/>
      <c r="AO1282" s="6"/>
      <c r="AP1282" s="6"/>
      <c r="AQ1282" s="6"/>
      <c r="AR1282" s="6"/>
      <c r="AS1282" s="6"/>
      <c r="AT1282" s="6"/>
      <c r="AU1282" s="6"/>
      <c r="AV1282" s="6"/>
      <c r="AW1282" s="6"/>
      <c r="AX1282" s="6"/>
      <c r="AY1282" s="6"/>
      <c r="AZ1282" s="6"/>
      <c r="BA1282" s="6"/>
      <c r="BB1282" s="6"/>
      <c r="BC1282" s="6"/>
      <c r="BD1282" s="6"/>
      <c r="BE1282" s="6"/>
      <c r="BF1282" s="6"/>
      <c r="BG1282" s="6"/>
      <c r="BH1282" s="6"/>
      <c r="BI1282" s="6"/>
      <c r="BJ1282" s="6"/>
      <c r="BK1282" s="6"/>
      <c r="BL1282" s="6"/>
      <c r="BM1282" s="6"/>
      <c r="BN1282" s="6"/>
      <c r="BO1282" s="6"/>
      <c r="BP1282" s="6"/>
      <c r="BQ1282" s="6"/>
    </row>
    <row r="1283" spans="2:69" hidden="1" x14ac:dyDescent="0.2">
      <c r="B1283" s="13"/>
      <c r="C1283" s="13"/>
      <c r="D1283" s="13"/>
      <c r="E1283" s="13"/>
      <c r="F1283" s="13"/>
      <c r="G1283" s="13"/>
      <c r="H1283" s="13"/>
      <c r="I1283" s="13"/>
      <c r="J1283" s="13"/>
      <c r="K1283" s="13"/>
      <c r="L1283" s="13"/>
      <c r="M1283" s="13"/>
      <c r="N1283" s="13"/>
      <c r="O1283" s="13"/>
      <c r="P1283" s="13"/>
      <c r="Q1283" s="13"/>
      <c r="R1283" s="13"/>
      <c r="S1283" s="13"/>
      <c r="T1283" s="13"/>
      <c r="U1283" s="13"/>
      <c r="V1283" s="13"/>
      <c r="W1283" s="13"/>
      <c r="X1283" s="13"/>
      <c r="Y1283" s="13"/>
      <c r="Z1283" s="13"/>
      <c r="AA1283" s="13"/>
      <c r="AB1283" s="13"/>
      <c r="AM1283" s="6"/>
      <c r="AN1283" s="6"/>
      <c r="AO1283" s="6"/>
      <c r="AP1283" s="6"/>
      <c r="AQ1283" s="6"/>
      <c r="AR1283" s="6"/>
      <c r="AS1283" s="6"/>
      <c r="AT1283" s="6"/>
      <c r="AU1283" s="6"/>
      <c r="AV1283" s="6"/>
      <c r="AW1283" s="6"/>
      <c r="AX1283" s="6"/>
      <c r="AY1283" s="6"/>
      <c r="AZ1283" s="6"/>
      <c r="BA1283" s="6"/>
      <c r="BB1283" s="6"/>
      <c r="BC1283" s="6"/>
      <c r="BD1283" s="6"/>
      <c r="BE1283" s="6"/>
      <c r="BF1283" s="6"/>
      <c r="BG1283" s="6"/>
      <c r="BH1283" s="6"/>
      <c r="BI1283" s="6"/>
      <c r="BJ1283" s="6"/>
      <c r="BK1283" s="6"/>
      <c r="BL1283" s="6"/>
      <c r="BM1283" s="6"/>
      <c r="BN1283" s="6"/>
      <c r="BO1283" s="6"/>
      <c r="BP1283" s="6"/>
      <c r="BQ1283" s="6"/>
    </row>
    <row r="1284" spans="2:69" hidden="1" x14ac:dyDescent="0.2">
      <c r="B1284" s="13"/>
      <c r="C1284" s="13"/>
      <c r="D1284" s="13"/>
      <c r="E1284" s="13"/>
      <c r="F1284" s="13"/>
      <c r="G1284" s="13"/>
      <c r="H1284" s="13"/>
      <c r="I1284" s="13"/>
      <c r="J1284" s="13"/>
      <c r="K1284" s="13"/>
      <c r="L1284" s="13"/>
      <c r="M1284" s="13"/>
      <c r="N1284" s="13"/>
      <c r="O1284" s="13"/>
      <c r="P1284" s="13"/>
      <c r="Q1284" s="13"/>
      <c r="R1284" s="13"/>
      <c r="S1284" s="13"/>
      <c r="T1284" s="13"/>
      <c r="U1284" s="13"/>
      <c r="V1284" s="13"/>
      <c r="W1284" s="13"/>
      <c r="X1284" s="13"/>
      <c r="Y1284" s="13"/>
      <c r="Z1284" s="13"/>
      <c r="AA1284" s="13"/>
      <c r="AB1284" s="13"/>
      <c r="AM1284" s="6"/>
      <c r="AN1284" s="6"/>
      <c r="AO1284" s="6"/>
      <c r="AP1284" s="6"/>
      <c r="AQ1284" s="6"/>
      <c r="AR1284" s="6"/>
      <c r="AS1284" s="6"/>
      <c r="AT1284" s="6"/>
      <c r="AU1284" s="6"/>
      <c r="AV1284" s="6"/>
      <c r="AW1284" s="6"/>
      <c r="AX1284" s="6"/>
      <c r="AY1284" s="6"/>
      <c r="AZ1284" s="6"/>
      <c r="BA1284" s="6"/>
      <c r="BB1284" s="6"/>
      <c r="BC1284" s="6"/>
      <c r="BD1284" s="6"/>
      <c r="BE1284" s="6"/>
      <c r="BF1284" s="6"/>
      <c r="BG1284" s="6"/>
      <c r="BH1284" s="6"/>
      <c r="BI1284" s="6"/>
      <c r="BJ1284" s="6"/>
      <c r="BK1284" s="6"/>
      <c r="BL1284" s="6"/>
      <c r="BM1284" s="6"/>
      <c r="BN1284" s="6"/>
      <c r="BO1284" s="6"/>
      <c r="BP1284" s="6"/>
      <c r="BQ1284" s="6"/>
    </row>
    <row r="1285" spans="2:69" hidden="1" x14ac:dyDescent="0.2">
      <c r="B1285" s="13"/>
      <c r="C1285" s="13"/>
      <c r="D1285" s="13"/>
      <c r="E1285" s="13"/>
      <c r="F1285" s="13"/>
      <c r="G1285" s="13"/>
      <c r="H1285" s="13"/>
      <c r="I1285" s="13"/>
      <c r="J1285" s="13"/>
      <c r="K1285" s="13"/>
      <c r="L1285" s="13"/>
      <c r="M1285" s="13"/>
      <c r="N1285" s="13"/>
      <c r="O1285" s="13"/>
      <c r="P1285" s="13"/>
      <c r="Q1285" s="13"/>
      <c r="R1285" s="13"/>
      <c r="S1285" s="13"/>
      <c r="T1285" s="13"/>
      <c r="U1285" s="13"/>
      <c r="V1285" s="13"/>
      <c r="W1285" s="13"/>
      <c r="X1285" s="13"/>
      <c r="Y1285" s="13"/>
      <c r="Z1285" s="13"/>
      <c r="AA1285" s="13"/>
      <c r="AB1285" s="13"/>
      <c r="AM1285" s="6"/>
      <c r="AN1285" s="6"/>
      <c r="AO1285" s="6"/>
      <c r="AP1285" s="6"/>
      <c r="AQ1285" s="6"/>
      <c r="AR1285" s="6"/>
      <c r="AS1285" s="6"/>
      <c r="AT1285" s="6"/>
      <c r="AU1285" s="6"/>
      <c r="AV1285" s="6"/>
      <c r="AW1285" s="6"/>
      <c r="AX1285" s="6"/>
      <c r="AY1285" s="6"/>
      <c r="AZ1285" s="6"/>
      <c r="BA1285" s="6"/>
      <c r="BB1285" s="6"/>
      <c r="BC1285" s="6"/>
      <c r="BD1285" s="6"/>
      <c r="BE1285" s="6"/>
      <c r="BF1285" s="6"/>
      <c r="BG1285" s="6"/>
      <c r="BH1285" s="6"/>
      <c r="BI1285" s="6"/>
      <c r="BJ1285" s="6"/>
      <c r="BK1285" s="6"/>
      <c r="BL1285" s="6"/>
      <c r="BM1285" s="6"/>
      <c r="BN1285" s="6"/>
      <c r="BO1285" s="6"/>
      <c r="BP1285" s="6"/>
      <c r="BQ1285" s="6"/>
    </row>
    <row r="1286" spans="2:69" hidden="1" x14ac:dyDescent="0.2">
      <c r="B1286" s="13"/>
      <c r="C1286" s="13"/>
      <c r="D1286" s="13"/>
      <c r="E1286" s="13"/>
      <c r="F1286" s="13"/>
      <c r="G1286" s="13"/>
      <c r="H1286" s="13"/>
      <c r="I1286" s="13"/>
      <c r="J1286" s="13"/>
      <c r="K1286" s="13"/>
      <c r="L1286" s="13"/>
      <c r="M1286" s="13"/>
      <c r="N1286" s="13"/>
      <c r="O1286" s="13"/>
      <c r="P1286" s="13"/>
      <c r="Q1286" s="13"/>
      <c r="R1286" s="13"/>
      <c r="S1286" s="13"/>
      <c r="T1286" s="13"/>
      <c r="U1286" s="13"/>
      <c r="V1286" s="13"/>
      <c r="W1286" s="13"/>
      <c r="X1286" s="13"/>
      <c r="Y1286" s="13"/>
      <c r="Z1286" s="13"/>
      <c r="AA1286" s="13"/>
      <c r="AB1286" s="13"/>
      <c r="AM1286" s="6"/>
      <c r="AN1286" s="6"/>
      <c r="AO1286" s="6"/>
      <c r="AP1286" s="6"/>
      <c r="AQ1286" s="6"/>
      <c r="AR1286" s="6"/>
      <c r="AS1286" s="6"/>
      <c r="AT1286" s="6"/>
      <c r="AU1286" s="6"/>
      <c r="AV1286" s="6"/>
      <c r="AW1286" s="6"/>
      <c r="AX1286" s="6"/>
      <c r="AY1286" s="6"/>
      <c r="AZ1286" s="6"/>
      <c r="BA1286" s="6"/>
      <c r="BB1286" s="6"/>
      <c r="BC1286" s="6"/>
      <c r="BD1286" s="6"/>
      <c r="BE1286" s="6"/>
      <c r="BF1286" s="6"/>
      <c r="BG1286" s="6"/>
      <c r="BH1286" s="6"/>
      <c r="BI1286" s="6"/>
      <c r="BJ1286" s="6"/>
      <c r="BK1286" s="6"/>
      <c r="BL1286" s="6"/>
      <c r="BM1286" s="6"/>
      <c r="BN1286" s="6"/>
      <c r="BO1286" s="6"/>
      <c r="BP1286" s="6"/>
      <c r="BQ1286" s="6"/>
    </row>
    <row r="1287" spans="2:69" hidden="1" x14ac:dyDescent="0.2">
      <c r="B1287" s="13"/>
      <c r="C1287" s="13"/>
      <c r="D1287" s="13"/>
      <c r="E1287" s="13"/>
      <c r="F1287" s="13"/>
      <c r="G1287" s="13"/>
      <c r="H1287" s="13"/>
      <c r="I1287" s="13"/>
      <c r="J1287" s="13"/>
      <c r="K1287" s="13"/>
      <c r="L1287" s="13"/>
      <c r="M1287" s="13"/>
      <c r="N1287" s="13"/>
      <c r="O1287" s="13"/>
      <c r="P1287" s="13"/>
      <c r="Q1287" s="13"/>
      <c r="R1287" s="13"/>
      <c r="S1287" s="13"/>
      <c r="T1287" s="13"/>
      <c r="U1287" s="13"/>
      <c r="V1287" s="13"/>
      <c r="W1287" s="13"/>
      <c r="X1287" s="13"/>
      <c r="Y1287" s="13"/>
      <c r="Z1287" s="13"/>
      <c r="AA1287" s="13"/>
      <c r="AB1287" s="13"/>
      <c r="AM1287" s="6"/>
      <c r="AN1287" s="6"/>
      <c r="AO1287" s="6"/>
      <c r="AP1287" s="6"/>
      <c r="AQ1287" s="6"/>
      <c r="AR1287" s="6"/>
      <c r="AS1287" s="6"/>
      <c r="AT1287" s="6"/>
      <c r="AU1287" s="6"/>
      <c r="AV1287" s="6"/>
      <c r="AW1287" s="6"/>
      <c r="AX1287" s="6"/>
      <c r="AY1287" s="6"/>
      <c r="AZ1287" s="6"/>
      <c r="BA1287" s="6"/>
      <c r="BB1287" s="6"/>
      <c r="BC1287" s="6"/>
      <c r="BD1287" s="6"/>
      <c r="BE1287" s="6"/>
      <c r="BF1287" s="6"/>
      <c r="BG1287" s="6"/>
      <c r="BH1287" s="6"/>
      <c r="BI1287" s="6"/>
      <c r="BJ1287" s="6"/>
      <c r="BK1287" s="6"/>
      <c r="BL1287" s="6"/>
      <c r="BM1287" s="6"/>
      <c r="BN1287" s="6"/>
      <c r="BO1287" s="6"/>
      <c r="BP1287" s="6"/>
      <c r="BQ1287" s="6"/>
    </row>
    <row r="1288" spans="2:69" hidden="1" x14ac:dyDescent="0.2">
      <c r="B1288" s="13"/>
      <c r="C1288" s="13"/>
      <c r="D1288" s="13"/>
      <c r="E1288" s="13"/>
      <c r="F1288" s="13"/>
      <c r="G1288" s="13"/>
      <c r="H1288" s="13"/>
      <c r="I1288" s="13"/>
      <c r="J1288" s="13"/>
      <c r="K1288" s="13"/>
      <c r="L1288" s="13"/>
      <c r="M1288" s="13"/>
      <c r="N1288" s="13"/>
      <c r="O1288" s="13"/>
      <c r="P1288" s="13"/>
      <c r="Q1288" s="13"/>
      <c r="R1288" s="13"/>
      <c r="S1288" s="13"/>
      <c r="T1288" s="13"/>
      <c r="U1288" s="13"/>
      <c r="V1288" s="13"/>
      <c r="W1288" s="13"/>
      <c r="X1288" s="13"/>
      <c r="Y1288" s="13"/>
      <c r="Z1288" s="13"/>
      <c r="AA1288" s="13"/>
      <c r="AB1288" s="13"/>
      <c r="AM1288" s="6"/>
      <c r="AN1288" s="6"/>
      <c r="AO1288" s="6"/>
      <c r="AP1288" s="6"/>
      <c r="AQ1288" s="6"/>
      <c r="AR1288" s="6"/>
      <c r="AS1288" s="6"/>
      <c r="AT1288" s="6"/>
      <c r="AU1288" s="6"/>
      <c r="AV1288" s="6"/>
      <c r="AW1288" s="6"/>
      <c r="AX1288" s="6"/>
      <c r="AY1288" s="6"/>
      <c r="AZ1288" s="6"/>
      <c r="BA1288" s="6"/>
      <c r="BB1288" s="6"/>
      <c r="BC1288" s="6"/>
      <c r="BD1288" s="6"/>
      <c r="BE1288" s="6"/>
      <c r="BF1288" s="6"/>
      <c r="BG1288" s="6"/>
      <c r="BH1288" s="6"/>
      <c r="BI1288" s="6"/>
      <c r="BJ1288" s="6"/>
      <c r="BK1288" s="6"/>
      <c r="BL1288" s="6"/>
      <c r="BM1288" s="6"/>
      <c r="BN1288" s="6"/>
      <c r="BO1288" s="6"/>
      <c r="BP1288" s="6"/>
      <c r="BQ1288" s="6"/>
    </row>
    <row r="1289" spans="2:69" hidden="1" x14ac:dyDescent="0.2">
      <c r="B1289" s="13"/>
      <c r="C1289" s="13"/>
      <c r="D1289" s="13"/>
      <c r="E1289" s="13"/>
      <c r="F1289" s="13"/>
      <c r="G1289" s="13"/>
      <c r="H1289" s="13"/>
      <c r="I1289" s="13"/>
      <c r="J1289" s="13"/>
      <c r="K1289" s="13"/>
      <c r="L1289" s="13"/>
      <c r="M1289" s="13"/>
      <c r="N1289" s="13"/>
      <c r="O1289" s="13"/>
      <c r="P1289" s="13"/>
      <c r="Q1289" s="13"/>
      <c r="R1289" s="13"/>
      <c r="S1289" s="13"/>
      <c r="T1289" s="13"/>
      <c r="U1289" s="13"/>
      <c r="V1289" s="13"/>
      <c r="W1289" s="13"/>
      <c r="X1289" s="13"/>
      <c r="Y1289" s="13"/>
      <c r="Z1289" s="13"/>
      <c r="AA1289" s="13"/>
      <c r="AB1289" s="13"/>
      <c r="AM1289" s="6"/>
      <c r="AN1289" s="6"/>
      <c r="AO1289" s="6"/>
      <c r="AP1289" s="6"/>
      <c r="AQ1289" s="6"/>
      <c r="AR1289" s="6"/>
      <c r="AS1289" s="6"/>
      <c r="AT1289" s="6"/>
      <c r="AU1289" s="6"/>
      <c r="AV1289" s="6"/>
      <c r="AW1289" s="6"/>
      <c r="AX1289" s="6"/>
      <c r="AY1289" s="6"/>
      <c r="AZ1289" s="6"/>
      <c r="BA1289" s="6"/>
      <c r="BB1289" s="6"/>
      <c r="BC1289" s="6"/>
      <c r="BD1289" s="6"/>
      <c r="BE1289" s="6"/>
      <c r="BF1289" s="6"/>
      <c r="BG1289" s="6"/>
      <c r="BH1289" s="6"/>
      <c r="BI1289" s="6"/>
      <c r="BJ1289" s="6"/>
      <c r="BK1289" s="6"/>
      <c r="BL1289" s="6"/>
      <c r="BM1289" s="6"/>
      <c r="BN1289" s="6"/>
      <c r="BO1289" s="6"/>
      <c r="BP1289" s="6"/>
      <c r="BQ1289" s="6"/>
    </row>
    <row r="1290" spans="2:69" hidden="1" x14ac:dyDescent="0.2">
      <c r="B1290" s="13"/>
      <c r="C1290" s="13"/>
      <c r="D1290" s="13"/>
      <c r="E1290" s="13"/>
      <c r="F1290" s="13"/>
      <c r="G1290" s="13"/>
      <c r="H1290" s="13"/>
      <c r="I1290" s="13"/>
      <c r="J1290" s="13"/>
      <c r="K1290" s="13"/>
      <c r="L1290" s="13"/>
      <c r="M1290" s="13"/>
      <c r="N1290" s="13"/>
      <c r="O1290" s="13"/>
      <c r="P1290" s="13"/>
      <c r="Q1290" s="13"/>
      <c r="R1290" s="13"/>
      <c r="S1290" s="13"/>
      <c r="T1290" s="13"/>
      <c r="U1290" s="13"/>
      <c r="V1290" s="13"/>
      <c r="W1290" s="13"/>
      <c r="X1290" s="13"/>
      <c r="Y1290" s="13"/>
      <c r="Z1290" s="13"/>
      <c r="AA1290" s="13"/>
      <c r="AB1290" s="13"/>
      <c r="AM1290" s="6"/>
      <c r="AN1290" s="6"/>
      <c r="AO1290" s="6"/>
      <c r="AP1290" s="6"/>
      <c r="AQ1290" s="6"/>
      <c r="AR1290" s="6"/>
      <c r="AS1290" s="6"/>
      <c r="AT1290" s="6"/>
      <c r="AU1290" s="6"/>
      <c r="AV1290" s="6"/>
      <c r="AW1290" s="6"/>
      <c r="AX1290" s="6"/>
      <c r="AY1290" s="6"/>
      <c r="AZ1290" s="6"/>
      <c r="BA1290" s="6"/>
      <c r="BB1290" s="6"/>
      <c r="BC1290" s="6"/>
      <c r="BD1290" s="6"/>
      <c r="BE1290" s="6"/>
      <c r="BF1290" s="6"/>
      <c r="BG1290" s="6"/>
      <c r="BH1290" s="6"/>
      <c r="BI1290" s="6"/>
      <c r="BJ1290" s="6"/>
      <c r="BK1290" s="6"/>
      <c r="BL1290" s="6"/>
      <c r="BM1290" s="6"/>
      <c r="BN1290" s="6"/>
      <c r="BO1290" s="6"/>
      <c r="BP1290" s="6"/>
      <c r="BQ1290" s="6"/>
    </row>
    <row r="1291" spans="2:69" hidden="1" x14ac:dyDescent="0.2">
      <c r="B1291" s="13"/>
      <c r="C1291" s="13"/>
      <c r="D1291" s="13"/>
      <c r="E1291" s="13"/>
      <c r="F1291" s="13"/>
      <c r="G1291" s="13"/>
      <c r="H1291" s="13"/>
      <c r="I1291" s="13"/>
      <c r="J1291" s="13"/>
      <c r="K1291" s="13"/>
      <c r="L1291" s="13"/>
      <c r="M1291" s="13"/>
      <c r="N1291" s="13"/>
      <c r="O1291" s="13"/>
      <c r="P1291" s="13"/>
      <c r="Q1291" s="13"/>
      <c r="R1291" s="13"/>
      <c r="S1291" s="13"/>
      <c r="T1291" s="13"/>
      <c r="U1291" s="13"/>
      <c r="V1291" s="13"/>
      <c r="W1291" s="13"/>
      <c r="X1291" s="13"/>
      <c r="Y1291" s="13"/>
      <c r="Z1291" s="13"/>
      <c r="AA1291" s="13"/>
      <c r="AB1291" s="13"/>
      <c r="AM1291" s="6"/>
      <c r="AN1291" s="6"/>
      <c r="AO1291" s="6"/>
      <c r="AP1291" s="6"/>
      <c r="AQ1291" s="6"/>
      <c r="AR1291" s="6"/>
      <c r="AS1291" s="6"/>
      <c r="AT1291" s="6"/>
      <c r="AU1291" s="6"/>
      <c r="AV1291" s="6"/>
      <c r="AW1291" s="6"/>
      <c r="AX1291" s="6"/>
      <c r="AY1291" s="6"/>
      <c r="AZ1291" s="6"/>
      <c r="BA1291" s="6"/>
      <c r="BB1291" s="6"/>
      <c r="BC1291" s="6"/>
      <c r="BD1291" s="6"/>
      <c r="BE1291" s="6"/>
      <c r="BF1291" s="6"/>
      <c r="BG1291" s="6"/>
      <c r="BH1291" s="6"/>
      <c r="BI1291" s="6"/>
      <c r="BJ1291" s="6"/>
      <c r="BK1291" s="6"/>
      <c r="BL1291" s="6"/>
      <c r="BM1291" s="6"/>
      <c r="BN1291" s="6"/>
      <c r="BO1291" s="6"/>
      <c r="BP1291" s="6"/>
      <c r="BQ1291" s="6"/>
    </row>
    <row r="1292" spans="2:69" hidden="1" x14ac:dyDescent="0.2">
      <c r="B1292" s="13"/>
      <c r="C1292" s="13"/>
      <c r="D1292" s="13"/>
      <c r="E1292" s="13"/>
      <c r="F1292" s="13"/>
      <c r="G1292" s="13"/>
      <c r="H1292" s="13"/>
      <c r="I1292" s="13"/>
      <c r="J1292" s="13"/>
      <c r="K1292" s="13"/>
      <c r="L1292" s="13"/>
      <c r="M1292" s="13"/>
      <c r="N1292" s="13"/>
      <c r="O1292" s="13"/>
      <c r="P1292" s="13"/>
      <c r="Q1292" s="13"/>
      <c r="R1292" s="13"/>
      <c r="S1292" s="13"/>
      <c r="T1292" s="13"/>
      <c r="U1292" s="13"/>
      <c r="V1292" s="13"/>
      <c r="W1292" s="13"/>
      <c r="X1292" s="13"/>
      <c r="Y1292" s="13"/>
      <c r="Z1292" s="13"/>
      <c r="AA1292" s="13"/>
      <c r="AB1292" s="13"/>
      <c r="AM1292" s="6"/>
      <c r="AN1292" s="6"/>
      <c r="AO1292" s="6"/>
      <c r="AP1292" s="6"/>
      <c r="AQ1292" s="6"/>
      <c r="AR1292" s="6"/>
      <c r="AS1292" s="6"/>
      <c r="AT1292" s="6"/>
      <c r="AU1292" s="6"/>
      <c r="AV1292" s="6"/>
      <c r="AW1292" s="6"/>
      <c r="AX1292" s="6"/>
      <c r="AY1292" s="6"/>
      <c r="AZ1292" s="6"/>
      <c r="BA1292" s="6"/>
      <c r="BB1292" s="6"/>
      <c r="BC1292" s="6"/>
      <c r="BD1292" s="6"/>
      <c r="BE1292" s="6"/>
      <c r="BF1292" s="6"/>
      <c r="BG1292" s="6"/>
      <c r="BH1292" s="6"/>
      <c r="BI1292" s="6"/>
      <c r="BJ1292" s="6"/>
      <c r="BK1292" s="6"/>
      <c r="BL1292" s="6"/>
      <c r="BM1292" s="6"/>
      <c r="BN1292" s="6"/>
      <c r="BO1292" s="6"/>
      <c r="BP1292" s="6"/>
      <c r="BQ1292" s="6"/>
    </row>
    <row r="1293" spans="2:69" hidden="1" x14ac:dyDescent="0.2">
      <c r="B1293" s="13"/>
      <c r="C1293" s="13"/>
      <c r="D1293" s="13"/>
      <c r="E1293" s="13"/>
      <c r="F1293" s="13"/>
      <c r="G1293" s="13"/>
      <c r="H1293" s="13"/>
      <c r="I1293" s="13"/>
      <c r="J1293" s="13"/>
      <c r="K1293" s="13"/>
      <c r="L1293" s="13"/>
      <c r="M1293" s="13"/>
      <c r="N1293" s="13"/>
      <c r="O1293" s="13"/>
      <c r="P1293" s="13"/>
      <c r="Q1293" s="13"/>
      <c r="R1293" s="13"/>
      <c r="S1293" s="13"/>
      <c r="T1293" s="13"/>
      <c r="U1293" s="13"/>
      <c r="V1293" s="13"/>
      <c r="W1293" s="13"/>
      <c r="X1293" s="13"/>
      <c r="Y1293" s="13"/>
      <c r="Z1293" s="13"/>
      <c r="AA1293" s="13"/>
      <c r="AB1293" s="13"/>
      <c r="AM1293" s="6"/>
      <c r="AN1293" s="6"/>
      <c r="AO1293" s="6"/>
      <c r="AP1293" s="6"/>
      <c r="AQ1293" s="6"/>
      <c r="AR1293" s="6"/>
      <c r="AS1293" s="6"/>
      <c r="AT1293" s="6"/>
      <c r="AU1293" s="6"/>
      <c r="AV1293" s="6"/>
      <c r="AW1293" s="6"/>
      <c r="AX1293" s="6"/>
      <c r="AY1293" s="6"/>
      <c r="AZ1293" s="6"/>
      <c r="BA1293" s="6"/>
      <c r="BB1293" s="6"/>
      <c r="BC1293" s="6"/>
      <c r="BD1293" s="6"/>
      <c r="BE1293" s="6"/>
      <c r="BF1293" s="6"/>
      <c r="BG1293" s="6"/>
      <c r="BH1293" s="6"/>
      <c r="BI1293" s="6"/>
      <c r="BJ1293" s="6"/>
      <c r="BK1293" s="6"/>
      <c r="BL1293" s="6"/>
      <c r="BM1293" s="6"/>
      <c r="BN1293" s="6"/>
      <c r="BO1293" s="6"/>
      <c r="BP1293" s="6"/>
      <c r="BQ1293" s="6"/>
    </row>
    <row r="1294" spans="2:69" hidden="1" x14ac:dyDescent="0.2">
      <c r="B1294" s="13"/>
      <c r="C1294" s="13"/>
      <c r="D1294" s="13"/>
      <c r="E1294" s="13"/>
      <c r="F1294" s="13"/>
      <c r="G1294" s="13"/>
      <c r="H1294" s="13"/>
      <c r="I1294" s="13"/>
      <c r="J1294" s="13"/>
      <c r="K1294" s="13"/>
      <c r="L1294" s="13"/>
      <c r="M1294" s="13"/>
      <c r="N1294" s="13"/>
      <c r="O1294" s="13"/>
      <c r="P1294" s="13"/>
      <c r="Q1294" s="13"/>
      <c r="R1294" s="13"/>
      <c r="S1294" s="13"/>
      <c r="T1294" s="13"/>
      <c r="U1294" s="13"/>
      <c r="V1294" s="13"/>
      <c r="W1294" s="13"/>
      <c r="X1294" s="13"/>
      <c r="Y1294" s="13"/>
      <c r="Z1294" s="13"/>
      <c r="AA1294" s="13"/>
      <c r="AB1294" s="13"/>
      <c r="AM1294" s="6"/>
      <c r="AN1294" s="6"/>
      <c r="AO1294" s="6"/>
      <c r="AP1294" s="6"/>
      <c r="AQ1294" s="6"/>
      <c r="AR1294" s="6"/>
      <c r="AS1294" s="6"/>
      <c r="AT1294" s="6"/>
      <c r="AU1294" s="6"/>
      <c r="AV1294" s="6"/>
      <c r="AW1294" s="6"/>
      <c r="AX1294" s="6"/>
      <c r="AY1294" s="6"/>
      <c r="AZ1294" s="6"/>
      <c r="BA1294" s="6"/>
      <c r="BB1294" s="6"/>
      <c r="BC1294" s="6"/>
      <c r="BD1294" s="6"/>
      <c r="BE1294" s="6"/>
      <c r="BF1294" s="6"/>
      <c r="BG1294" s="6"/>
      <c r="BH1294" s="6"/>
      <c r="BI1294" s="6"/>
      <c r="BJ1294" s="6"/>
      <c r="BK1294" s="6"/>
      <c r="BL1294" s="6"/>
      <c r="BM1294" s="6"/>
      <c r="BN1294" s="6"/>
      <c r="BO1294" s="6"/>
      <c r="BP1294" s="6"/>
      <c r="BQ1294" s="6"/>
    </row>
    <row r="1295" spans="2:69" hidden="1" x14ac:dyDescent="0.2">
      <c r="B1295" s="13"/>
      <c r="C1295" s="13"/>
      <c r="D1295" s="13"/>
      <c r="E1295" s="13"/>
      <c r="F1295" s="13"/>
      <c r="G1295" s="13"/>
      <c r="H1295" s="13"/>
      <c r="I1295" s="13"/>
      <c r="J1295" s="13"/>
      <c r="K1295" s="13"/>
      <c r="L1295" s="13"/>
      <c r="M1295" s="13"/>
      <c r="N1295" s="13"/>
      <c r="O1295" s="13"/>
      <c r="P1295" s="13"/>
      <c r="Q1295" s="13"/>
      <c r="R1295" s="13"/>
      <c r="S1295" s="13"/>
      <c r="T1295" s="13"/>
      <c r="U1295" s="13"/>
      <c r="V1295" s="13"/>
      <c r="W1295" s="13"/>
      <c r="X1295" s="13"/>
      <c r="Y1295" s="13"/>
      <c r="Z1295" s="13"/>
      <c r="AA1295" s="13"/>
      <c r="AB1295" s="13"/>
      <c r="AM1295" s="6"/>
      <c r="AN1295" s="6"/>
      <c r="AO1295" s="6"/>
      <c r="AP1295" s="6"/>
      <c r="AQ1295" s="6"/>
      <c r="AR1295" s="6"/>
      <c r="AS1295" s="6"/>
      <c r="AT1295" s="6"/>
      <c r="AU1295" s="6"/>
      <c r="AV1295" s="6"/>
      <c r="AW1295" s="6"/>
      <c r="AX1295" s="6"/>
      <c r="AY1295" s="6"/>
      <c r="AZ1295" s="6"/>
      <c r="BA1295" s="6"/>
      <c r="BB1295" s="6"/>
      <c r="BC1295" s="6"/>
      <c r="BD1295" s="6"/>
      <c r="BE1295" s="6"/>
      <c r="BF1295" s="6"/>
      <c r="BG1295" s="6"/>
      <c r="BH1295" s="6"/>
      <c r="BI1295" s="6"/>
      <c r="BJ1295" s="6"/>
      <c r="BK1295" s="6"/>
      <c r="BL1295" s="6"/>
      <c r="BM1295" s="6"/>
      <c r="BN1295" s="6"/>
      <c r="BO1295" s="6"/>
      <c r="BP1295" s="6"/>
      <c r="BQ1295" s="6"/>
    </row>
    <row r="1296" spans="2:69" hidden="1" x14ac:dyDescent="0.2">
      <c r="B1296" s="13"/>
      <c r="C1296" s="13"/>
      <c r="D1296" s="13"/>
      <c r="E1296" s="13"/>
      <c r="F1296" s="13"/>
      <c r="G1296" s="13"/>
      <c r="H1296" s="13"/>
      <c r="I1296" s="13"/>
      <c r="J1296" s="13"/>
      <c r="K1296" s="13"/>
      <c r="L1296" s="13"/>
      <c r="M1296" s="13"/>
      <c r="N1296" s="13"/>
      <c r="O1296" s="13"/>
      <c r="P1296" s="13"/>
      <c r="Q1296" s="13"/>
      <c r="R1296" s="13"/>
      <c r="S1296" s="13"/>
      <c r="T1296" s="13"/>
      <c r="U1296" s="13"/>
      <c r="V1296" s="13"/>
      <c r="W1296" s="13"/>
      <c r="X1296" s="13"/>
      <c r="Y1296" s="13"/>
      <c r="Z1296" s="13"/>
      <c r="AA1296" s="13"/>
      <c r="AB1296" s="13"/>
      <c r="AM1296" s="6"/>
      <c r="AN1296" s="6"/>
      <c r="AO1296" s="6"/>
      <c r="AP1296" s="6"/>
      <c r="AQ1296" s="6"/>
      <c r="AR1296" s="6"/>
      <c r="AS1296" s="6"/>
      <c r="AT1296" s="6"/>
      <c r="AU1296" s="6"/>
      <c r="AV1296" s="6"/>
      <c r="AW1296" s="6"/>
      <c r="AX1296" s="6"/>
      <c r="AY1296" s="6"/>
      <c r="AZ1296" s="6"/>
      <c r="BA1296" s="6"/>
      <c r="BB1296" s="6"/>
      <c r="BC1296" s="6"/>
      <c r="BD1296" s="6"/>
      <c r="BE1296" s="6"/>
      <c r="BF1296" s="6"/>
      <c r="BG1296" s="6"/>
      <c r="BH1296" s="6"/>
      <c r="BI1296" s="6"/>
      <c r="BJ1296" s="6"/>
      <c r="BK1296" s="6"/>
      <c r="BL1296" s="6"/>
      <c r="BM1296" s="6"/>
      <c r="BN1296" s="6"/>
      <c r="BO1296" s="6"/>
      <c r="BP1296" s="6"/>
      <c r="BQ1296" s="6"/>
    </row>
    <row r="1297" spans="2:69" hidden="1" x14ac:dyDescent="0.2">
      <c r="B1297" s="13"/>
      <c r="C1297" s="13"/>
      <c r="D1297" s="13"/>
      <c r="E1297" s="13"/>
      <c r="F1297" s="13"/>
      <c r="G1297" s="13"/>
      <c r="H1297" s="13"/>
      <c r="I1297" s="13"/>
      <c r="J1297" s="13"/>
      <c r="K1297" s="13"/>
      <c r="L1297" s="13"/>
      <c r="M1297" s="13"/>
      <c r="N1297" s="13"/>
      <c r="O1297" s="13"/>
      <c r="P1297" s="13"/>
      <c r="Q1297" s="13"/>
      <c r="R1297" s="13"/>
      <c r="S1297" s="13"/>
      <c r="T1297" s="13"/>
      <c r="U1297" s="13"/>
      <c r="V1297" s="13"/>
      <c r="W1297" s="13"/>
      <c r="X1297" s="13"/>
      <c r="Y1297" s="13"/>
      <c r="Z1297" s="13"/>
      <c r="AA1297" s="13"/>
      <c r="AB1297" s="13"/>
      <c r="AM1297" s="6"/>
      <c r="AN1297" s="6"/>
      <c r="AO1297" s="6"/>
      <c r="AP1297" s="6"/>
      <c r="AQ1297" s="6"/>
      <c r="AR1297" s="6"/>
      <c r="AS1297" s="6"/>
      <c r="AT1297" s="6"/>
      <c r="AU1297" s="6"/>
      <c r="AV1297" s="6"/>
      <c r="AW1297" s="6"/>
      <c r="AX1297" s="6"/>
      <c r="AY1297" s="6"/>
      <c r="AZ1297" s="6"/>
      <c r="BA1297" s="6"/>
      <c r="BB1297" s="6"/>
      <c r="BC1297" s="6"/>
      <c r="BD1297" s="6"/>
      <c r="BE1297" s="6"/>
      <c r="BF1297" s="6"/>
      <c r="BG1297" s="6"/>
      <c r="BH1297" s="6"/>
      <c r="BI1297" s="6"/>
      <c r="BJ1297" s="6"/>
      <c r="BK1297" s="6"/>
      <c r="BL1297" s="6"/>
      <c r="BM1297" s="6"/>
      <c r="BN1297" s="6"/>
      <c r="BO1297" s="6"/>
      <c r="BP1297" s="6"/>
      <c r="BQ1297" s="6"/>
    </row>
    <row r="1298" spans="2:69" hidden="1" x14ac:dyDescent="0.2">
      <c r="B1298" s="13"/>
      <c r="C1298" s="13"/>
      <c r="D1298" s="13"/>
      <c r="E1298" s="13"/>
      <c r="F1298" s="13"/>
      <c r="G1298" s="13"/>
      <c r="H1298" s="13"/>
      <c r="I1298" s="13"/>
      <c r="J1298" s="13"/>
      <c r="K1298" s="13"/>
      <c r="L1298" s="13"/>
      <c r="M1298" s="13"/>
      <c r="N1298" s="13"/>
      <c r="O1298" s="13"/>
      <c r="P1298" s="13"/>
      <c r="Q1298" s="13"/>
      <c r="R1298" s="13"/>
      <c r="S1298" s="13"/>
      <c r="T1298" s="13"/>
      <c r="U1298" s="13"/>
      <c r="V1298" s="13"/>
      <c r="W1298" s="13"/>
      <c r="X1298" s="13"/>
      <c r="Y1298" s="13"/>
      <c r="Z1298" s="13"/>
      <c r="AA1298" s="13"/>
      <c r="AB1298" s="13"/>
      <c r="AM1298" s="6"/>
      <c r="AN1298" s="6"/>
      <c r="AO1298" s="6"/>
      <c r="AP1298" s="6"/>
      <c r="AQ1298" s="6"/>
      <c r="AR1298" s="6"/>
      <c r="AS1298" s="6"/>
      <c r="AT1298" s="6"/>
      <c r="AU1298" s="6"/>
      <c r="AV1298" s="6"/>
      <c r="AW1298" s="6"/>
      <c r="AX1298" s="6"/>
      <c r="AY1298" s="6"/>
      <c r="AZ1298" s="6"/>
      <c r="BA1298" s="6"/>
      <c r="BB1298" s="6"/>
      <c r="BC1298" s="6"/>
      <c r="BD1298" s="6"/>
      <c r="BE1298" s="6"/>
      <c r="BF1298" s="6"/>
      <c r="BG1298" s="6"/>
      <c r="BH1298" s="6"/>
      <c r="BI1298" s="6"/>
      <c r="BJ1298" s="6"/>
      <c r="BK1298" s="6"/>
      <c r="BL1298" s="6"/>
      <c r="BM1298" s="6"/>
      <c r="BN1298" s="6"/>
      <c r="BO1298" s="6"/>
      <c r="BP1298" s="6"/>
      <c r="BQ1298" s="6"/>
    </row>
    <row r="1299" spans="2:69" hidden="1" x14ac:dyDescent="0.2">
      <c r="B1299" s="13"/>
      <c r="C1299" s="13"/>
      <c r="D1299" s="13"/>
      <c r="E1299" s="13"/>
      <c r="F1299" s="13"/>
      <c r="G1299" s="13"/>
      <c r="H1299" s="13"/>
      <c r="I1299" s="13"/>
      <c r="J1299" s="13"/>
      <c r="K1299" s="13"/>
      <c r="L1299" s="13"/>
      <c r="M1299" s="13"/>
      <c r="N1299" s="13"/>
      <c r="O1299" s="13"/>
      <c r="P1299" s="13"/>
      <c r="Q1299" s="13"/>
      <c r="R1299" s="13"/>
      <c r="S1299" s="13"/>
      <c r="T1299" s="13"/>
      <c r="U1299" s="13"/>
      <c r="V1299" s="13"/>
      <c r="W1299" s="13"/>
      <c r="X1299" s="13"/>
      <c r="Y1299" s="13"/>
      <c r="Z1299" s="13"/>
      <c r="AA1299" s="13"/>
      <c r="AB1299" s="13"/>
      <c r="AM1299" s="6"/>
      <c r="AN1299" s="6"/>
      <c r="AO1299" s="6"/>
      <c r="AP1299" s="6"/>
      <c r="AQ1299" s="6"/>
      <c r="AR1299" s="6"/>
      <c r="AS1299" s="6"/>
      <c r="AT1299" s="6"/>
      <c r="AU1299" s="6"/>
      <c r="AV1299" s="6"/>
      <c r="AW1299" s="6"/>
      <c r="AX1299" s="6"/>
      <c r="AY1299" s="6"/>
      <c r="AZ1299" s="6"/>
      <c r="BA1299" s="6"/>
      <c r="BB1299" s="6"/>
      <c r="BC1299" s="6"/>
      <c r="BD1299" s="6"/>
      <c r="BE1299" s="6"/>
      <c r="BF1299" s="6"/>
      <c r="BG1299" s="6"/>
      <c r="BH1299" s="6"/>
      <c r="BI1299" s="6"/>
      <c r="BJ1299" s="6"/>
      <c r="BK1299" s="6"/>
      <c r="BL1299" s="6"/>
      <c r="BM1299" s="6"/>
      <c r="BN1299" s="6"/>
      <c r="BO1299" s="6"/>
      <c r="BP1299" s="6"/>
      <c r="BQ1299" s="6"/>
    </row>
    <row r="1300" spans="2:69" hidden="1" x14ac:dyDescent="0.2">
      <c r="B1300" s="13"/>
      <c r="C1300" s="13"/>
      <c r="D1300" s="13"/>
      <c r="E1300" s="13"/>
      <c r="F1300" s="13"/>
      <c r="G1300" s="13"/>
      <c r="H1300" s="13"/>
      <c r="I1300" s="13"/>
      <c r="J1300" s="13"/>
      <c r="K1300" s="13"/>
      <c r="L1300" s="13"/>
      <c r="M1300" s="13"/>
      <c r="N1300" s="13"/>
      <c r="O1300" s="13"/>
      <c r="P1300" s="13"/>
      <c r="Q1300" s="13"/>
      <c r="R1300" s="13"/>
      <c r="S1300" s="13"/>
      <c r="T1300" s="13"/>
      <c r="U1300" s="13"/>
      <c r="V1300" s="13"/>
      <c r="W1300" s="13"/>
      <c r="X1300" s="13"/>
      <c r="Y1300" s="13"/>
      <c r="Z1300" s="13"/>
      <c r="AA1300" s="13"/>
      <c r="AB1300" s="13"/>
      <c r="AM1300" s="6"/>
      <c r="AN1300" s="6"/>
      <c r="AO1300" s="6"/>
      <c r="AP1300" s="6"/>
      <c r="AQ1300" s="6"/>
      <c r="AR1300" s="6"/>
      <c r="AS1300" s="6"/>
      <c r="AT1300" s="6"/>
      <c r="AU1300" s="6"/>
      <c r="AV1300" s="6"/>
      <c r="AW1300" s="6"/>
      <c r="AX1300" s="6"/>
      <c r="AY1300" s="6"/>
      <c r="AZ1300" s="6"/>
      <c r="BA1300" s="6"/>
      <c r="BB1300" s="6"/>
      <c r="BC1300" s="6"/>
      <c r="BD1300" s="6"/>
      <c r="BE1300" s="6"/>
      <c r="BF1300" s="6"/>
      <c r="BG1300" s="6"/>
      <c r="BH1300" s="6"/>
      <c r="BI1300" s="6"/>
      <c r="BJ1300" s="6"/>
      <c r="BK1300" s="6"/>
      <c r="BL1300" s="6"/>
      <c r="BM1300" s="6"/>
      <c r="BN1300" s="6"/>
      <c r="BO1300" s="6"/>
      <c r="BP1300" s="6"/>
      <c r="BQ1300" s="6"/>
    </row>
    <row r="1301" spans="2:69" hidden="1" x14ac:dyDescent="0.2">
      <c r="B1301" s="13"/>
      <c r="C1301" s="13"/>
      <c r="D1301" s="13"/>
      <c r="E1301" s="13"/>
      <c r="F1301" s="13"/>
      <c r="G1301" s="13"/>
      <c r="H1301" s="13"/>
      <c r="I1301" s="13"/>
      <c r="J1301" s="13"/>
      <c r="K1301" s="13"/>
      <c r="L1301" s="13"/>
      <c r="M1301" s="13"/>
      <c r="N1301" s="13"/>
      <c r="O1301" s="13"/>
      <c r="P1301" s="13"/>
      <c r="Q1301" s="13"/>
      <c r="R1301" s="13"/>
      <c r="S1301" s="13"/>
      <c r="T1301" s="13"/>
      <c r="U1301" s="13"/>
      <c r="V1301" s="13"/>
      <c r="W1301" s="13"/>
      <c r="X1301" s="13"/>
      <c r="Y1301" s="13"/>
      <c r="Z1301" s="13"/>
      <c r="AA1301" s="13"/>
      <c r="AB1301" s="13"/>
      <c r="AM1301" s="6"/>
      <c r="AN1301" s="6"/>
      <c r="AO1301" s="6"/>
      <c r="AP1301" s="6"/>
      <c r="AQ1301" s="6"/>
      <c r="AR1301" s="6"/>
      <c r="AS1301" s="6"/>
      <c r="AT1301" s="6"/>
      <c r="AU1301" s="6"/>
      <c r="AV1301" s="6"/>
      <c r="AW1301" s="6"/>
      <c r="AX1301" s="6"/>
      <c r="AY1301" s="6"/>
      <c r="AZ1301" s="6"/>
      <c r="BA1301" s="6"/>
      <c r="BB1301" s="6"/>
      <c r="BC1301" s="6"/>
      <c r="BD1301" s="6"/>
      <c r="BE1301" s="6"/>
      <c r="BF1301" s="6"/>
      <c r="BG1301" s="6"/>
      <c r="BH1301" s="6"/>
      <c r="BI1301" s="6"/>
      <c r="BJ1301" s="6"/>
      <c r="BK1301" s="6"/>
      <c r="BL1301" s="6"/>
      <c r="BM1301" s="6"/>
      <c r="BN1301" s="6"/>
      <c r="BO1301" s="6"/>
      <c r="BP1301" s="6"/>
      <c r="BQ1301" s="6"/>
    </row>
    <row r="1302" spans="2:69" hidden="1" x14ac:dyDescent="0.2">
      <c r="B1302" s="13"/>
      <c r="C1302" s="13"/>
      <c r="D1302" s="13"/>
      <c r="E1302" s="13"/>
      <c r="F1302" s="13"/>
      <c r="G1302" s="13"/>
      <c r="H1302" s="13"/>
      <c r="I1302" s="13"/>
      <c r="J1302" s="13"/>
      <c r="K1302" s="13"/>
      <c r="L1302" s="13"/>
      <c r="M1302" s="13"/>
      <c r="N1302" s="13"/>
      <c r="O1302" s="13"/>
      <c r="P1302" s="13"/>
      <c r="Q1302" s="13"/>
      <c r="R1302" s="13"/>
      <c r="S1302" s="13"/>
      <c r="T1302" s="13"/>
      <c r="U1302" s="13"/>
      <c r="V1302" s="13"/>
      <c r="W1302" s="13"/>
      <c r="X1302" s="13"/>
      <c r="Y1302" s="13"/>
      <c r="Z1302" s="13"/>
      <c r="AA1302" s="13"/>
      <c r="AB1302" s="13"/>
      <c r="AM1302" s="6"/>
      <c r="AN1302" s="6"/>
      <c r="AO1302" s="6"/>
      <c r="AP1302" s="6"/>
      <c r="AQ1302" s="6"/>
      <c r="AR1302" s="6"/>
      <c r="AS1302" s="6"/>
      <c r="AT1302" s="6"/>
      <c r="AU1302" s="6"/>
      <c r="AV1302" s="6"/>
      <c r="AW1302" s="6"/>
      <c r="AX1302" s="6"/>
      <c r="AY1302" s="6"/>
      <c r="AZ1302" s="6"/>
      <c r="BA1302" s="6"/>
      <c r="BB1302" s="6"/>
      <c r="BC1302" s="6"/>
      <c r="BD1302" s="6"/>
      <c r="BE1302" s="6"/>
      <c r="BF1302" s="6"/>
      <c r="BG1302" s="6"/>
      <c r="BH1302" s="6"/>
      <c r="BI1302" s="6"/>
      <c r="BJ1302" s="6"/>
      <c r="BK1302" s="6"/>
      <c r="BL1302" s="6"/>
      <c r="BM1302" s="6"/>
      <c r="BN1302" s="6"/>
      <c r="BO1302" s="6"/>
      <c r="BP1302" s="6"/>
      <c r="BQ1302" s="6"/>
    </row>
    <row r="1303" spans="2:69" hidden="1" x14ac:dyDescent="0.2">
      <c r="B1303" s="13"/>
      <c r="C1303" s="13"/>
      <c r="D1303" s="13"/>
      <c r="E1303" s="13"/>
      <c r="F1303" s="13"/>
      <c r="G1303" s="13"/>
      <c r="H1303" s="13"/>
      <c r="I1303" s="13"/>
      <c r="J1303" s="13"/>
      <c r="K1303" s="13"/>
      <c r="L1303" s="13"/>
      <c r="M1303" s="13"/>
      <c r="N1303" s="13"/>
      <c r="O1303" s="13"/>
      <c r="P1303" s="13"/>
      <c r="Q1303" s="13"/>
      <c r="R1303" s="13"/>
      <c r="S1303" s="13"/>
      <c r="T1303" s="13"/>
      <c r="U1303" s="13"/>
      <c r="V1303" s="13"/>
      <c r="W1303" s="13"/>
      <c r="X1303" s="13"/>
      <c r="Y1303" s="13"/>
      <c r="Z1303" s="13"/>
      <c r="AA1303" s="13"/>
      <c r="AB1303" s="13"/>
      <c r="AM1303" s="6"/>
      <c r="AN1303" s="6"/>
      <c r="AO1303" s="6"/>
      <c r="AP1303" s="6"/>
      <c r="AQ1303" s="6"/>
      <c r="AR1303" s="6"/>
      <c r="AS1303" s="6"/>
      <c r="AT1303" s="6"/>
      <c r="AU1303" s="6"/>
      <c r="AV1303" s="6"/>
      <c r="AW1303" s="6"/>
      <c r="AX1303" s="6"/>
      <c r="AY1303" s="6"/>
      <c r="AZ1303" s="6"/>
      <c r="BA1303" s="6"/>
      <c r="BB1303" s="6"/>
      <c r="BC1303" s="6"/>
      <c r="BD1303" s="6"/>
      <c r="BE1303" s="6"/>
      <c r="BF1303" s="6"/>
      <c r="BG1303" s="6"/>
      <c r="BH1303" s="6"/>
      <c r="BI1303" s="6"/>
      <c r="BJ1303" s="6"/>
      <c r="BK1303" s="6"/>
      <c r="BL1303" s="6"/>
      <c r="BM1303" s="6"/>
      <c r="BN1303" s="6"/>
      <c r="BO1303" s="6"/>
      <c r="BP1303" s="6"/>
      <c r="BQ1303" s="6"/>
    </row>
    <row r="1304" spans="2:69" hidden="1" x14ac:dyDescent="0.2">
      <c r="B1304" s="13"/>
      <c r="C1304" s="13"/>
      <c r="D1304" s="13"/>
      <c r="E1304" s="13"/>
      <c r="F1304" s="13"/>
      <c r="G1304" s="13"/>
      <c r="H1304" s="13"/>
      <c r="I1304" s="13"/>
      <c r="J1304" s="13"/>
      <c r="K1304" s="13"/>
      <c r="L1304" s="13"/>
      <c r="M1304" s="13"/>
      <c r="N1304" s="13"/>
      <c r="O1304" s="13"/>
      <c r="P1304" s="13"/>
      <c r="Q1304" s="13"/>
      <c r="R1304" s="13"/>
      <c r="S1304" s="13"/>
      <c r="T1304" s="13"/>
      <c r="U1304" s="13"/>
      <c r="V1304" s="13"/>
      <c r="W1304" s="13"/>
      <c r="X1304" s="13"/>
      <c r="Y1304" s="13"/>
      <c r="Z1304" s="13"/>
      <c r="AA1304" s="13"/>
      <c r="AB1304" s="13"/>
      <c r="AM1304" s="6"/>
      <c r="AN1304" s="6"/>
      <c r="AO1304" s="6"/>
      <c r="AP1304" s="6"/>
      <c r="AQ1304" s="6"/>
      <c r="AR1304" s="6"/>
      <c r="AS1304" s="6"/>
      <c r="AT1304" s="6"/>
      <c r="AU1304" s="6"/>
      <c r="AV1304" s="6"/>
      <c r="AW1304" s="6"/>
      <c r="AX1304" s="6"/>
      <c r="AY1304" s="6"/>
      <c r="AZ1304" s="6"/>
      <c r="BA1304" s="6"/>
      <c r="BB1304" s="6"/>
      <c r="BC1304" s="6"/>
      <c r="BD1304" s="6"/>
      <c r="BE1304" s="6"/>
      <c r="BF1304" s="6"/>
      <c r="BG1304" s="6"/>
      <c r="BH1304" s="6"/>
      <c r="BI1304" s="6"/>
      <c r="BJ1304" s="6"/>
      <c r="BK1304" s="6"/>
      <c r="BL1304" s="6"/>
      <c r="BM1304" s="6"/>
      <c r="BN1304" s="6"/>
      <c r="BO1304" s="6"/>
      <c r="BP1304" s="6"/>
      <c r="BQ1304" s="6"/>
    </row>
    <row r="1305" spans="2:69" hidden="1" x14ac:dyDescent="0.2">
      <c r="B1305" s="13"/>
      <c r="C1305" s="13"/>
      <c r="D1305" s="13"/>
      <c r="E1305" s="13"/>
      <c r="F1305" s="13"/>
      <c r="G1305" s="13"/>
      <c r="H1305" s="13"/>
      <c r="I1305" s="13"/>
      <c r="J1305" s="13"/>
      <c r="K1305" s="13"/>
      <c r="L1305" s="13"/>
      <c r="M1305" s="13"/>
      <c r="N1305" s="13"/>
      <c r="O1305" s="13"/>
      <c r="P1305" s="13"/>
      <c r="Q1305" s="13"/>
      <c r="R1305" s="13"/>
      <c r="S1305" s="13"/>
      <c r="T1305" s="13"/>
      <c r="U1305" s="13"/>
      <c r="V1305" s="13"/>
      <c r="W1305" s="13"/>
      <c r="X1305" s="13"/>
      <c r="Y1305" s="13"/>
      <c r="Z1305" s="13"/>
      <c r="AA1305" s="13"/>
      <c r="AB1305" s="13"/>
      <c r="AM1305" s="6"/>
      <c r="AN1305" s="6"/>
      <c r="AO1305" s="6"/>
      <c r="AP1305" s="6"/>
      <c r="AQ1305" s="6"/>
      <c r="AR1305" s="6"/>
      <c r="AS1305" s="6"/>
      <c r="AT1305" s="6"/>
      <c r="AU1305" s="6"/>
      <c r="AV1305" s="6"/>
      <c r="AW1305" s="6"/>
      <c r="AX1305" s="6"/>
      <c r="AY1305" s="6"/>
      <c r="AZ1305" s="6"/>
      <c r="BA1305" s="6"/>
      <c r="BB1305" s="6"/>
      <c r="BC1305" s="6"/>
      <c r="BD1305" s="6"/>
      <c r="BE1305" s="6"/>
      <c r="BF1305" s="6"/>
      <c r="BG1305" s="6"/>
      <c r="BH1305" s="6"/>
      <c r="BI1305" s="6"/>
      <c r="BJ1305" s="6"/>
      <c r="BK1305" s="6"/>
      <c r="BL1305" s="6"/>
      <c r="BM1305" s="6"/>
      <c r="BN1305" s="6"/>
      <c r="BO1305" s="6"/>
      <c r="BP1305" s="6"/>
      <c r="BQ1305" s="6"/>
    </row>
    <row r="1306" spans="2:69" hidden="1" x14ac:dyDescent="0.2">
      <c r="B1306" s="13"/>
      <c r="C1306" s="13"/>
      <c r="D1306" s="13"/>
      <c r="E1306" s="13"/>
      <c r="F1306" s="13"/>
      <c r="G1306" s="13"/>
      <c r="H1306" s="13"/>
      <c r="I1306" s="13"/>
      <c r="J1306" s="13"/>
      <c r="K1306" s="13"/>
      <c r="L1306" s="13"/>
      <c r="M1306" s="13"/>
      <c r="N1306" s="13"/>
      <c r="O1306" s="13"/>
      <c r="P1306" s="13"/>
      <c r="Q1306" s="13"/>
      <c r="R1306" s="13"/>
      <c r="S1306" s="13"/>
      <c r="T1306" s="13"/>
      <c r="U1306" s="13"/>
      <c r="V1306" s="13"/>
      <c r="W1306" s="13"/>
      <c r="X1306" s="13"/>
      <c r="Y1306" s="13"/>
      <c r="Z1306" s="13"/>
      <c r="AA1306" s="13"/>
      <c r="AB1306" s="13"/>
      <c r="AM1306" s="6"/>
      <c r="AN1306" s="6"/>
      <c r="AO1306" s="6"/>
      <c r="AP1306" s="6"/>
      <c r="AQ1306" s="6"/>
      <c r="AR1306" s="6"/>
      <c r="AS1306" s="6"/>
      <c r="AT1306" s="6"/>
      <c r="AU1306" s="6"/>
      <c r="AV1306" s="6"/>
      <c r="AW1306" s="6"/>
      <c r="AX1306" s="6"/>
      <c r="AY1306" s="6"/>
      <c r="AZ1306" s="6"/>
      <c r="BA1306" s="6"/>
      <c r="BB1306" s="6"/>
      <c r="BC1306" s="6"/>
      <c r="BD1306" s="6"/>
      <c r="BE1306" s="6"/>
      <c r="BF1306" s="6"/>
      <c r="BG1306" s="6"/>
      <c r="BH1306" s="6"/>
      <c r="BI1306" s="6"/>
      <c r="BJ1306" s="6"/>
      <c r="BK1306" s="6"/>
      <c r="BL1306" s="6"/>
      <c r="BM1306" s="6"/>
      <c r="BN1306" s="6"/>
      <c r="BO1306" s="6"/>
      <c r="BP1306" s="6"/>
      <c r="BQ1306" s="6"/>
    </row>
    <row r="1307" spans="2:69" hidden="1" x14ac:dyDescent="0.2">
      <c r="B1307" s="13"/>
      <c r="C1307" s="13"/>
      <c r="D1307" s="13"/>
      <c r="E1307" s="13"/>
      <c r="F1307" s="13"/>
      <c r="G1307" s="13"/>
      <c r="H1307" s="13"/>
      <c r="I1307" s="13"/>
      <c r="J1307" s="13"/>
      <c r="K1307" s="13"/>
      <c r="L1307" s="13"/>
      <c r="M1307" s="13"/>
      <c r="N1307" s="13"/>
      <c r="O1307" s="13"/>
      <c r="P1307" s="13"/>
      <c r="Q1307" s="13"/>
      <c r="R1307" s="13"/>
      <c r="S1307" s="13"/>
      <c r="T1307" s="13"/>
      <c r="U1307" s="13"/>
      <c r="V1307" s="13"/>
      <c r="W1307" s="13"/>
      <c r="X1307" s="13"/>
      <c r="Y1307" s="13"/>
      <c r="Z1307" s="13"/>
      <c r="AA1307" s="13"/>
      <c r="AB1307" s="13"/>
      <c r="AM1307" s="6"/>
      <c r="AN1307" s="6"/>
      <c r="AO1307" s="6"/>
      <c r="AP1307" s="6"/>
      <c r="AQ1307" s="6"/>
      <c r="AR1307" s="6"/>
      <c r="AS1307" s="6"/>
      <c r="AT1307" s="6"/>
      <c r="AU1307" s="6"/>
      <c r="AV1307" s="6"/>
      <c r="AW1307" s="6"/>
      <c r="AX1307" s="6"/>
      <c r="AY1307" s="6"/>
      <c r="AZ1307" s="6"/>
      <c r="BA1307" s="6"/>
      <c r="BB1307" s="6"/>
      <c r="BC1307" s="6"/>
      <c r="BD1307" s="6"/>
      <c r="BE1307" s="6"/>
      <c r="BF1307" s="6"/>
      <c r="BG1307" s="6"/>
      <c r="BH1307" s="6"/>
      <c r="BI1307" s="6"/>
      <c r="BJ1307" s="6"/>
      <c r="BK1307" s="6"/>
      <c r="BL1307" s="6"/>
      <c r="BM1307" s="6"/>
      <c r="BN1307" s="6"/>
      <c r="BO1307" s="6"/>
      <c r="BP1307" s="6"/>
      <c r="BQ1307" s="6"/>
    </row>
    <row r="1308" spans="2:69" hidden="1" x14ac:dyDescent="0.2">
      <c r="B1308" s="13"/>
      <c r="C1308" s="13"/>
      <c r="D1308" s="13"/>
      <c r="E1308" s="13"/>
      <c r="F1308" s="13"/>
      <c r="G1308" s="13"/>
      <c r="H1308" s="13"/>
      <c r="I1308" s="13"/>
      <c r="J1308" s="13"/>
      <c r="K1308" s="13"/>
      <c r="L1308" s="13"/>
      <c r="M1308" s="13"/>
      <c r="N1308" s="13"/>
      <c r="O1308" s="13"/>
      <c r="P1308" s="13"/>
      <c r="Q1308" s="13"/>
      <c r="R1308" s="13"/>
      <c r="S1308" s="13"/>
      <c r="T1308" s="13"/>
      <c r="U1308" s="13"/>
      <c r="V1308" s="13"/>
      <c r="W1308" s="13"/>
      <c r="X1308" s="13"/>
      <c r="Y1308" s="13"/>
      <c r="Z1308" s="13"/>
      <c r="AA1308" s="13"/>
      <c r="AB1308" s="13"/>
      <c r="AM1308" s="6"/>
      <c r="AN1308" s="6"/>
      <c r="AO1308" s="6"/>
      <c r="AP1308" s="6"/>
      <c r="AQ1308" s="6"/>
      <c r="AR1308" s="6"/>
      <c r="AS1308" s="6"/>
      <c r="AT1308" s="6"/>
      <c r="AU1308" s="6"/>
      <c r="AV1308" s="6"/>
      <c r="AW1308" s="6"/>
      <c r="AX1308" s="6"/>
      <c r="AY1308" s="6"/>
      <c r="AZ1308" s="6"/>
      <c r="BA1308" s="6"/>
      <c r="BB1308" s="6"/>
      <c r="BC1308" s="6"/>
      <c r="BD1308" s="6"/>
      <c r="BE1308" s="6"/>
      <c r="BF1308" s="6"/>
      <c r="BG1308" s="6"/>
      <c r="BH1308" s="6"/>
      <c r="BI1308" s="6"/>
      <c r="BJ1308" s="6"/>
      <c r="BK1308" s="6"/>
      <c r="BL1308" s="6"/>
      <c r="BM1308" s="6"/>
      <c r="BN1308" s="6"/>
      <c r="BO1308" s="6"/>
      <c r="BP1308" s="6"/>
      <c r="BQ1308" s="6"/>
    </row>
    <row r="1309" spans="2:69" hidden="1" x14ac:dyDescent="0.2">
      <c r="B1309" s="13"/>
      <c r="C1309" s="13"/>
      <c r="D1309" s="13"/>
      <c r="E1309" s="13"/>
      <c r="F1309" s="13"/>
      <c r="G1309" s="13"/>
      <c r="H1309" s="13"/>
      <c r="I1309" s="13"/>
      <c r="J1309" s="13"/>
      <c r="K1309" s="13"/>
      <c r="L1309" s="13"/>
      <c r="M1309" s="13"/>
      <c r="N1309" s="13"/>
      <c r="O1309" s="13"/>
      <c r="P1309" s="13"/>
      <c r="Q1309" s="13"/>
      <c r="R1309" s="13"/>
      <c r="S1309" s="13"/>
      <c r="T1309" s="13"/>
      <c r="U1309" s="13"/>
      <c r="V1309" s="13"/>
      <c r="W1309" s="13"/>
      <c r="X1309" s="13"/>
      <c r="Y1309" s="13"/>
      <c r="Z1309" s="13"/>
      <c r="AA1309" s="13"/>
      <c r="AB1309" s="13"/>
      <c r="AM1309" s="6"/>
      <c r="AN1309" s="6"/>
      <c r="AO1309" s="6"/>
      <c r="AP1309" s="6"/>
      <c r="AQ1309" s="6"/>
      <c r="AR1309" s="6"/>
      <c r="AS1309" s="6"/>
      <c r="AT1309" s="6"/>
      <c r="AU1309" s="6"/>
      <c r="AV1309" s="6"/>
      <c r="AW1309" s="6"/>
      <c r="AX1309" s="6"/>
      <c r="AY1309" s="6"/>
      <c r="AZ1309" s="6"/>
      <c r="BA1309" s="6"/>
      <c r="BB1309" s="6"/>
      <c r="BC1309" s="6"/>
      <c r="BD1309" s="6"/>
      <c r="BE1309" s="6"/>
      <c r="BF1309" s="6"/>
      <c r="BG1309" s="6"/>
      <c r="BH1309" s="6"/>
      <c r="BI1309" s="6"/>
      <c r="BJ1309" s="6"/>
      <c r="BK1309" s="6"/>
      <c r="BL1309" s="6"/>
      <c r="BM1309" s="6"/>
      <c r="BN1309" s="6"/>
      <c r="BO1309" s="6"/>
      <c r="BP1309" s="6"/>
      <c r="BQ1309" s="6"/>
    </row>
    <row r="1310" spans="2:69" hidden="1" x14ac:dyDescent="0.2">
      <c r="B1310" s="13"/>
      <c r="C1310" s="13"/>
      <c r="D1310" s="13"/>
      <c r="E1310" s="13"/>
      <c r="F1310" s="13"/>
      <c r="G1310" s="13"/>
      <c r="H1310" s="13"/>
      <c r="I1310" s="13"/>
      <c r="J1310" s="13"/>
      <c r="K1310" s="13"/>
      <c r="L1310" s="13"/>
      <c r="M1310" s="13"/>
      <c r="N1310" s="13"/>
      <c r="O1310" s="13"/>
      <c r="P1310" s="13"/>
      <c r="Q1310" s="13"/>
      <c r="R1310" s="13"/>
      <c r="S1310" s="13"/>
      <c r="T1310" s="13"/>
      <c r="U1310" s="13"/>
      <c r="V1310" s="13"/>
      <c r="W1310" s="13"/>
      <c r="X1310" s="13"/>
      <c r="Y1310" s="13"/>
      <c r="Z1310" s="13"/>
      <c r="AA1310" s="13"/>
      <c r="AB1310" s="13"/>
      <c r="AM1310" s="6"/>
      <c r="AN1310" s="6"/>
      <c r="AO1310" s="6"/>
      <c r="AP1310" s="6"/>
      <c r="AQ1310" s="6"/>
      <c r="AR1310" s="6"/>
      <c r="AS1310" s="6"/>
      <c r="AT1310" s="6"/>
      <c r="AU1310" s="6"/>
      <c r="AV1310" s="6"/>
      <c r="AW1310" s="6"/>
      <c r="AX1310" s="6"/>
      <c r="AY1310" s="6"/>
      <c r="AZ1310" s="6"/>
      <c r="BA1310" s="6"/>
      <c r="BB1310" s="6"/>
      <c r="BC1310" s="6"/>
      <c r="BD1310" s="6"/>
      <c r="BE1310" s="6"/>
      <c r="BF1310" s="6"/>
      <c r="BG1310" s="6"/>
      <c r="BH1310" s="6"/>
      <c r="BI1310" s="6"/>
      <c r="BJ1310" s="6"/>
      <c r="BK1310" s="6"/>
      <c r="BL1310" s="6"/>
      <c r="BM1310" s="6"/>
      <c r="BN1310" s="6"/>
      <c r="BO1310" s="6"/>
      <c r="BP1310" s="6"/>
      <c r="BQ1310" s="6"/>
    </row>
    <row r="1311" spans="2:69" hidden="1" x14ac:dyDescent="0.2">
      <c r="B1311" s="13"/>
      <c r="C1311" s="13"/>
      <c r="D1311" s="13"/>
      <c r="E1311" s="13"/>
      <c r="F1311" s="13"/>
      <c r="G1311" s="13"/>
      <c r="H1311" s="13"/>
      <c r="I1311" s="13"/>
      <c r="J1311" s="13"/>
      <c r="K1311" s="13"/>
      <c r="L1311" s="13"/>
      <c r="M1311" s="13"/>
      <c r="N1311" s="13"/>
      <c r="O1311" s="13"/>
      <c r="P1311" s="13"/>
      <c r="Q1311" s="13"/>
      <c r="R1311" s="13"/>
      <c r="S1311" s="13"/>
      <c r="T1311" s="13"/>
      <c r="U1311" s="13"/>
      <c r="V1311" s="13"/>
      <c r="W1311" s="13"/>
      <c r="X1311" s="13"/>
      <c r="Y1311" s="13"/>
      <c r="Z1311" s="13"/>
      <c r="AA1311" s="13"/>
      <c r="AB1311" s="13"/>
      <c r="AM1311" s="6"/>
      <c r="AN1311" s="6"/>
      <c r="AO1311" s="6"/>
      <c r="AP1311" s="6"/>
      <c r="AQ1311" s="6"/>
      <c r="AR1311" s="6"/>
      <c r="AS1311" s="6"/>
      <c r="AT1311" s="6"/>
      <c r="AU1311" s="6"/>
      <c r="AV1311" s="6"/>
      <c r="AW1311" s="6"/>
      <c r="AX1311" s="6"/>
      <c r="AY1311" s="6"/>
      <c r="AZ1311" s="6"/>
      <c r="BA1311" s="6"/>
      <c r="BB1311" s="6"/>
      <c r="BC1311" s="6"/>
      <c r="BD1311" s="6"/>
      <c r="BE1311" s="6"/>
      <c r="BF1311" s="6"/>
      <c r="BG1311" s="6"/>
      <c r="BH1311" s="6"/>
      <c r="BI1311" s="6"/>
      <c r="BJ1311" s="6"/>
      <c r="BK1311" s="6"/>
      <c r="BL1311" s="6"/>
      <c r="BM1311" s="6"/>
      <c r="BN1311" s="6"/>
      <c r="BO1311" s="6"/>
      <c r="BP1311" s="6"/>
      <c r="BQ1311" s="6"/>
    </row>
    <row r="1312" spans="2:69" hidden="1" x14ac:dyDescent="0.2">
      <c r="B1312" s="13"/>
      <c r="C1312" s="13"/>
      <c r="D1312" s="13"/>
      <c r="E1312" s="13"/>
      <c r="F1312" s="13"/>
      <c r="G1312" s="13"/>
      <c r="H1312" s="13"/>
      <c r="I1312" s="13"/>
      <c r="J1312" s="13"/>
      <c r="K1312" s="13"/>
      <c r="L1312" s="13"/>
      <c r="M1312" s="13"/>
      <c r="N1312" s="13"/>
      <c r="O1312" s="13"/>
      <c r="P1312" s="13"/>
      <c r="Q1312" s="13"/>
      <c r="R1312" s="13"/>
      <c r="S1312" s="13"/>
      <c r="T1312" s="13"/>
      <c r="U1312" s="13"/>
      <c r="V1312" s="13"/>
      <c r="W1312" s="13"/>
      <c r="X1312" s="13"/>
      <c r="Y1312" s="13"/>
      <c r="Z1312" s="13"/>
      <c r="AA1312" s="13"/>
      <c r="AB1312" s="13"/>
      <c r="AM1312" s="6"/>
      <c r="AN1312" s="6"/>
      <c r="AO1312" s="6"/>
      <c r="AP1312" s="6"/>
      <c r="AQ1312" s="6"/>
      <c r="AR1312" s="6"/>
      <c r="AS1312" s="6"/>
      <c r="AT1312" s="6"/>
      <c r="AU1312" s="6"/>
      <c r="AV1312" s="6"/>
      <c r="AW1312" s="6"/>
      <c r="AX1312" s="6"/>
      <c r="AY1312" s="6"/>
      <c r="AZ1312" s="6"/>
      <c r="BA1312" s="6"/>
      <c r="BB1312" s="6"/>
      <c r="BC1312" s="6"/>
      <c r="BD1312" s="6"/>
      <c r="BE1312" s="6"/>
      <c r="BF1312" s="6"/>
      <c r="BG1312" s="6"/>
      <c r="BH1312" s="6"/>
      <c r="BI1312" s="6"/>
      <c r="BJ1312" s="6"/>
      <c r="BK1312" s="6"/>
      <c r="BL1312" s="6"/>
      <c r="BM1312" s="6"/>
      <c r="BN1312" s="6"/>
      <c r="BO1312" s="6"/>
      <c r="BP1312" s="6"/>
      <c r="BQ1312" s="6"/>
    </row>
    <row r="1313" spans="2:69" hidden="1" x14ac:dyDescent="0.2">
      <c r="B1313" s="13"/>
      <c r="C1313" s="13"/>
      <c r="D1313" s="13"/>
      <c r="E1313" s="13"/>
      <c r="F1313" s="13"/>
      <c r="G1313" s="13"/>
      <c r="H1313" s="13"/>
      <c r="I1313" s="13"/>
      <c r="J1313" s="13"/>
      <c r="K1313" s="13"/>
      <c r="L1313" s="13"/>
      <c r="M1313" s="13"/>
      <c r="N1313" s="13"/>
      <c r="O1313" s="13"/>
      <c r="P1313" s="13"/>
      <c r="Q1313" s="13"/>
      <c r="R1313" s="13"/>
      <c r="S1313" s="13"/>
      <c r="T1313" s="13"/>
      <c r="U1313" s="13"/>
      <c r="V1313" s="13"/>
      <c r="W1313" s="13"/>
      <c r="X1313" s="13"/>
      <c r="Y1313" s="13"/>
      <c r="Z1313" s="13"/>
      <c r="AA1313" s="13"/>
      <c r="AB1313" s="13"/>
      <c r="AM1313" s="6"/>
      <c r="AN1313" s="6"/>
      <c r="AO1313" s="6"/>
      <c r="AP1313" s="6"/>
      <c r="AQ1313" s="6"/>
      <c r="AR1313" s="6"/>
      <c r="AS1313" s="6"/>
      <c r="AT1313" s="6"/>
      <c r="AU1313" s="6"/>
      <c r="AV1313" s="6"/>
      <c r="AW1313" s="6"/>
      <c r="AX1313" s="6"/>
      <c r="AY1313" s="6"/>
      <c r="AZ1313" s="6"/>
      <c r="BA1313" s="6"/>
      <c r="BB1313" s="6"/>
      <c r="BC1313" s="6"/>
      <c r="BD1313" s="6"/>
      <c r="BE1313" s="6"/>
      <c r="BF1313" s="6"/>
      <c r="BG1313" s="6"/>
      <c r="BH1313" s="6"/>
      <c r="BI1313" s="6"/>
      <c r="BJ1313" s="6"/>
      <c r="BK1313" s="6"/>
      <c r="BL1313" s="6"/>
      <c r="BM1313" s="6"/>
      <c r="BN1313" s="6"/>
      <c r="BO1313" s="6"/>
      <c r="BP1313" s="6"/>
      <c r="BQ1313" s="6"/>
    </row>
    <row r="1314" spans="2:69" hidden="1" x14ac:dyDescent="0.2">
      <c r="B1314" s="13"/>
      <c r="C1314" s="13"/>
      <c r="D1314" s="13"/>
      <c r="E1314" s="13"/>
      <c r="F1314" s="13"/>
      <c r="G1314" s="13"/>
      <c r="H1314" s="13"/>
      <c r="I1314" s="13"/>
      <c r="J1314" s="13"/>
      <c r="K1314" s="13"/>
      <c r="L1314" s="13"/>
      <c r="M1314" s="13"/>
      <c r="N1314" s="13"/>
      <c r="O1314" s="13"/>
      <c r="P1314" s="13"/>
      <c r="Q1314" s="13"/>
      <c r="R1314" s="13"/>
      <c r="S1314" s="13"/>
      <c r="T1314" s="13"/>
      <c r="U1314" s="13"/>
      <c r="V1314" s="13"/>
      <c r="W1314" s="13"/>
      <c r="X1314" s="13"/>
      <c r="Y1314" s="13"/>
      <c r="Z1314" s="13"/>
      <c r="AA1314" s="13"/>
      <c r="AB1314" s="13"/>
      <c r="AM1314" s="6"/>
      <c r="AN1314" s="6"/>
      <c r="AO1314" s="6"/>
      <c r="AP1314" s="6"/>
      <c r="AQ1314" s="6"/>
      <c r="AR1314" s="6"/>
      <c r="AS1314" s="6"/>
      <c r="AT1314" s="6"/>
      <c r="AU1314" s="6"/>
      <c r="AV1314" s="6"/>
      <c r="AW1314" s="6"/>
      <c r="AX1314" s="6"/>
      <c r="AY1314" s="6"/>
      <c r="AZ1314" s="6"/>
      <c r="BA1314" s="6"/>
      <c r="BB1314" s="6"/>
      <c r="BC1314" s="6"/>
      <c r="BD1314" s="6"/>
      <c r="BE1314" s="6"/>
      <c r="BF1314" s="6"/>
      <c r="BG1314" s="6"/>
      <c r="BH1314" s="6"/>
      <c r="BI1314" s="6"/>
      <c r="BJ1314" s="6"/>
      <c r="BK1314" s="6"/>
      <c r="BL1314" s="6"/>
      <c r="BM1314" s="6"/>
      <c r="BN1314" s="6"/>
      <c r="BO1314" s="6"/>
      <c r="BP1314" s="6"/>
      <c r="BQ1314" s="6"/>
    </row>
    <row r="1315" spans="2:69" hidden="1" x14ac:dyDescent="0.2">
      <c r="B1315" s="13"/>
      <c r="C1315" s="13"/>
      <c r="D1315" s="13"/>
      <c r="E1315" s="13"/>
      <c r="F1315" s="13"/>
      <c r="G1315" s="13"/>
      <c r="H1315" s="13"/>
      <c r="I1315" s="13"/>
      <c r="J1315" s="13"/>
      <c r="K1315" s="13"/>
      <c r="L1315" s="13"/>
      <c r="M1315" s="13"/>
      <c r="N1315" s="13"/>
      <c r="O1315" s="13"/>
      <c r="P1315" s="13"/>
      <c r="Q1315" s="13"/>
      <c r="R1315" s="13"/>
      <c r="S1315" s="13"/>
      <c r="T1315" s="13"/>
      <c r="U1315" s="13"/>
      <c r="V1315" s="13"/>
      <c r="W1315" s="13"/>
      <c r="X1315" s="13"/>
      <c r="Y1315" s="13"/>
      <c r="Z1315" s="13"/>
      <c r="AA1315" s="13"/>
      <c r="AB1315" s="13"/>
      <c r="AM1315" s="6"/>
      <c r="AN1315" s="6"/>
      <c r="AO1315" s="6"/>
      <c r="AP1315" s="6"/>
      <c r="AQ1315" s="6"/>
      <c r="AR1315" s="6"/>
      <c r="AS1315" s="6"/>
      <c r="AT1315" s="6"/>
      <c r="AU1315" s="6"/>
      <c r="AV1315" s="6"/>
      <c r="AW1315" s="6"/>
      <c r="AX1315" s="6"/>
      <c r="AY1315" s="6"/>
      <c r="AZ1315" s="6"/>
      <c r="BA1315" s="6"/>
      <c r="BB1315" s="6"/>
      <c r="BC1315" s="6"/>
      <c r="BD1315" s="6"/>
      <c r="BE1315" s="6"/>
      <c r="BF1315" s="6"/>
      <c r="BG1315" s="6"/>
      <c r="BH1315" s="6"/>
      <c r="BI1315" s="6"/>
      <c r="BJ1315" s="6"/>
      <c r="BK1315" s="6"/>
      <c r="BL1315" s="6"/>
      <c r="BM1315" s="6"/>
      <c r="BN1315" s="6"/>
      <c r="BO1315" s="6"/>
      <c r="BP1315" s="6"/>
      <c r="BQ1315" s="6"/>
    </row>
    <row r="1316" spans="2:69" hidden="1" x14ac:dyDescent="0.2">
      <c r="B1316" s="13"/>
      <c r="C1316" s="13"/>
      <c r="D1316" s="13"/>
      <c r="E1316" s="13"/>
      <c r="F1316" s="13"/>
      <c r="G1316" s="13"/>
      <c r="H1316" s="13"/>
      <c r="I1316" s="13"/>
      <c r="J1316" s="13"/>
      <c r="K1316" s="13"/>
      <c r="L1316" s="13"/>
      <c r="M1316" s="13"/>
      <c r="N1316" s="13"/>
      <c r="O1316" s="13"/>
      <c r="P1316" s="13"/>
      <c r="Q1316" s="13"/>
      <c r="R1316" s="13"/>
      <c r="S1316" s="13"/>
      <c r="T1316" s="13"/>
      <c r="U1316" s="13"/>
      <c r="V1316" s="13"/>
      <c r="W1316" s="13"/>
      <c r="X1316" s="13"/>
      <c r="Y1316" s="13"/>
      <c r="Z1316" s="13"/>
      <c r="AA1316" s="13"/>
      <c r="AB1316" s="13"/>
      <c r="AM1316" s="6"/>
      <c r="AN1316" s="6"/>
      <c r="AO1316" s="6"/>
      <c r="AP1316" s="6"/>
      <c r="AQ1316" s="6"/>
      <c r="AR1316" s="6"/>
      <c r="AS1316" s="6"/>
      <c r="AT1316" s="6"/>
      <c r="AU1316" s="6"/>
      <c r="AV1316" s="6"/>
      <c r="AW1316" s="6"/>
      <c r="AX1316" s="6"/>
      <c r="AY1316" s="6"/>
      <c r="AZ1316" s="6"/>
      <c r="BA1316" s="6"/>
      <c r="BB1316" s="6"/>
      <c r="BC1316" s="6"/>
      <c r="BD1316" s="6"/>
      <c r="BE1316" s="6"/>
      <c r="BF1316" s="6"/>
      <c r="BG1316" s="6"/>
      <c r="BH1316" s="6"/>
      <c r="BI1316" s="6"/>
      <c r="BJ1316" s="6"/>
      <c r="BK1316" s="6"/>
      <c r="BL1316" s="6"/>
      <c r="BM1316" s="6"/>
      <c r="BN1316" s="6"/>
      <c r="BO1316" s="6"/>
      <c r="BP1316" s="6"/>
      <c r="BQ1316" s="6"/>
    </row>
    <row r="1317" spans="2:69" hidden="1" x14ac:dyDescent="0.2">
      <c r="B1317" s="13"/>
      <c r="C1317" s="13"/>
      <c r="D1317" s="13"/>
      <c r="E1317" s="13"/>
      <c r="F1317" s="13"/>
      <c r="G1317" s="13"/>
      <c r="H1317" s="13"/>
      <c r="I1317" s="13"/>
      <c r="J1317" s="13"/>
      <c r="K1317" s="13"/>
      <c r="L1317" s="13"/>
      <c r="M1317" s="13"/>
      <c r="N1317" s="13"/>
      <c r="O1317" s="13"/>
      <c r="P1317" s="13"/>
      <c r="Q1317" s="13"/>
      <c r="R1317" s="13"/>
      <c r="S1317" s="13"/>
      <c r="T1317" s="13"/>
      <c r="U1317" s="13"/>
      <c r="V1317" s="13"/>
      <c r="W1317" s="13"/>
      <c r="X1317" s="13"/>
      <c r="Y1317" s="13"/>
      <c r="Z1317" s="13"/>
      <c r="AA1317" s="13"/>
      <c r="AB1317" s="13"/>
      <c r="AM1317" s="6"/>
      <c r="AN1317" s="6"/>
      <c r="AO1317" s="6"/>
      <c r="AP1317" s="6"/>
      <c r="AQ1317" s="6"/>
      <c r="AR1317" s="6"/>
      <c r="AS1317" s="6"/>
      <c r="AT1317" s="6"/>
      <c r="AU1317" s="6"/>
      <c r="AV1317" s="6"/>
      <c r="AW1317" s="6"/>
      <c r="AX1317" s="6"/>
      <c r="AY1317" s="6"/>
      <c r="AZ1317" s="6"/>
      <c r="BA1317" s="6"/>
      <c r="BB1317" s="6"/>
      <c r="BC1317" s="6"/>
      <c r="BD1317" s="6"/>
      <c r="BE1317" s="6"/>
      <c r="BF1317" s="6"/>
      <c r="BG1317" s="6"/>
      <c r="BH1317" s="6"/>
      <c r="BI1317" s="6"/>
      <c r="BJ1317" s="6"/>
      <c r="BK1317" s="6"/>
      <c r="BL1317" s="6"/>
      <c r="BM1317" s="6"/>
      <c r="BN1317" s="6"/>
      <c r="BO1317" s="6"/>
      <c r="BP1317" s="6"/>
      <c r="BQ1317" s="6"/>
    </row>
    <row r="1318" spans="2:69" hidden="1" x14ac:dyDescent="0.2">
      <c r="B1318" s="13"/>
      <c r="C1318" s="13"/>
      <c r="D1318" s="13"/>
      <c r="E1318" s="13"/>
      <c r="F1318" s="13"/>
      <c r="G1318" s="13"/>
      <c r="H1318" s="13"/>
      <c r="I1318" s="13"/>
      <c r="J1318" s="13"/>
      <c r="K1318" s="13"/>
      <c r="L1318" s="13"/>
      <c r="M1318" s="13"/>
      <c r="N1318" s="13"/>
      <c r="O1318" s="13"/>
      <c r="P1318" s="13"/>
      <c r="Q1318" s="13"/>
      <c r="R1318" s="13"/>
      <c r="S1318" s="13"/>
      <c r="T1318" s="13"/>
      <c r="U1318" s="13"/>
      <c r="V1318" s="13"/>
      <c r="W1318" s="13"/>
      <c r="X1318" s="13"/>
      <c r="Y1318" s="13"/>
      <c r="Z1318" s="13"/>
      <c r="AA1318" s="13"/>
      <c r="AB1318" s="13"/>
      <c r="AM1318" s="6"/>
      <c r="AN1318" s="6"/>
      <c r="AO1318" s="6"/>
      <c r="AP1318" s="6"/>
      <c r="AQ1318" s="6"/>
      <c r="AR1318" s="6"/>
      <c r="AS1318" s="6"/>
      <c r="AT1318" s="6"/>
      <c r="AU1318" s="6"/>
      <c r="AV1318" s="6"/>
      <c r="AW1318" s="6"/>
      <c r="AX1318" s="6"/>
      <c r="AY1318" s="6"/>
      <c r="AZ1318" s="6"/>
      <c r="BA1318" s="6"/>
      <c r="BB1318" s="6"/>
      <c r="BC1318" s="6"/>
      <c r="BD1318" s="6"/>
      <c r="BE1318" s="6"/>
      <c r="BF1318" s="6"/>
      <c r="BG1318" s="6"/>
      <c r="BH1318" s="6"/>
      <c r="BI1318" s="6"/>
      <c r="BJ1318" s="6"/>
      <c r="BK1318" s="6"/>
      <c r="BL1318" s="6"/>
      <c r="BM1318" s="6"/>
      <c r="BN1318" s="6"/>
      <c r="BO1318" s="6"/>
      <c r="BP1318" s="6"/>
      <c r="BQ1318" s="6"/>
    </row>
    <row r="1319" spans="2:69" hidden="1" x14ac:dyDescent="0.2">
      <c r="B1319" s="13"/>
      <c r="C1319" s="13"/>
      <c r="D1319" s="13"/>
      <c r="E1319" s="13"/>
      <c r="F1319" s="13"/>
      <c r="G1319" s="13"/>
      <c r="H1319" s="13"/>
      <c r="I1319" s="13"/>
      <c r="J1319" s="13"/>
      <c r="K1319" s="13"/>
      <c r="L1319" s="13"/>
      <c r="M1319" s="13"/>
      <c r="N1319" s="13"/>
      <c r="O1319" s="13"/>
      <c r="P1319" s="13"/>
      <c r="Q1319" s="13"/>
      <c r="R1319" s="13"/>
      <c r="S1319" s="13"/>
      <c r="T1319" s="13"/>
      <c r="U1319" s="13"/>
      <c r="V1319" s="13"/>
      <c r="W1319" s="13"/>
      <c r="X1319" s="13"/>
      <c r="Y1319" s="13"/>
      <c r="Z1319" s="13"/>
      <c r="AA1319" s="13"/>
      <c r="AB1319" s="13"/>
      <c r="AM1319" s="6"/>
      <c r="AN1319" s="6"/>
      <c r="AO1319" s="6"/>
      <c r="AP1319" s="6"/>
      <c r="AQ1319" s="6"/>
      <c r="AR1319" s="6"/>
      <c r="AS1319" s="6"/>
      <c r="AT1319" s="6"/>
      <c r="AU1319" s="6"/>
      <c r="AV1319" s="6"/>
      <c r="AW1319" s="6"/>
      <c r="AX1319" s="6"/>
      <c r="AY1319" s="6"/>
      <c r="AZ1319" s="6"/>
      <c r="BA1319" s="6"/>
      <c r="BB1319" s="6"/>
      <c r="BC1319" s="6"/>
      <c r="BD1319" s="6"/>
      <c r="BE1319" s="6"/>
      <c r="BF1319" s="6"/>
      <c r="BG1319" s="6"/>
      <c r="BH1319" s="6"/>
      <c r="BI1319" s="6"/>
      <c r="BJ1319" s="6"/>
      <c r="BK1319" s="6"/>
      <c r="BL1319" s="6"/>
      <c r="BM1319" s="6"/>
      <c r="BN1319" s="6"/>
      <c r="BO1319" s="6"/>
      <c r="BP1319" s="6"/>
      <c r="BQ1319" s="6"/>
    </row>
    <row r="1320" spans="2:69" hidden="1" x14ac:dyDescent="0.2">
      <c r="B1320" s="13"/>
      <c r="C1320" s="13"/>
      <c r="D1320" s="13"/>
      <c r="E1320" s="13"/>
      <c r="F1320" s="13"/>
      <c r="G1320" s="13"/>
      <c r="H1320" s="13"/>
      <c r="I1320" s="13"/>
      <c r="J1320" s="13"/>
      <c r="K1320" s="13"/>
      <c r="L1320" s="13"/>
      <c r="M1320" s="13"/>
      <c r="N1320" s="13"/>
      <c r="O1320" s="13"/>
      <c r="P1320" s="13"/>
      <c r="Q1320" s="13"/>
      <c r="R1320" s="13"/>
      <c r="S1320" s="13"/>
      <c r="T1320" s="13"/>
      <c r="U1320" s="13"/>
      <c r="V1320" s="13"/>
      <c r="W1320" s="13"/>
      <c r="X1320" s="13"/>
      <c r="Y1320" s="13"/>
      <c r="Z1320" s="13"/>
      <c r="AA1320" s="13"/>
      <c r="AB1320" s="13"/>
      <c r="AM1320" s="6"/>
      <c r="AN1320" s="6"/>
      <c r="AO1320" s="6"/>
      <c r="AP1320" s="6"/>
      <c r="AQ1320" s="6"/>
      <c r="AR1320" s="6"/>
      <c r="AS1320" s="6"/>
      <c r="AT1320" s="6"/>
      <c r="AU1320" s="6"/>
      <c r="AV1320" s="6"/>
      <c r="AW1320" s="6"/>
      <c r="AX1320" s="6"/>
      <c r="AY1320" s="6"/>
      <c r="AZ1320" s="6"/>
      <c r="BA1320" s="6"/>
      <c r="BB1320" s="6"/>
      <c r="BC1320" s="6"/>
      <c r="BD1320" s="6"/>
      <c r="BE1320" s="6"/>
      <c r="BF1320" s="6"/>
      <c r="BG1320" s="6"/>
      <c r="BH1320" s="6"/>
      <c r="BI1320" s="6"/>
      <c r="BJ1320" s="6"/>
      <c r="BK1320" s="6"/>
      <c r="BL1320" s="6"/>
      <c r="BM1320" s="6"/>
      <c r="BN1320" s="6"/>
      <c r="BO1320" s="6"/>
      <c r="BP1320" s="6"/>
      <c r="BQ1320" s="6"/>
    </row>
    <row r="1321" spans="2:69" hidden="1" x14ac:dyDescent="0.2">
      <c r="B1321" s="13"/>
      <c r="C1321" s="13"/>
      <c r="D1321" s="13"/>
      <c r="E1321" s="13"/>
      <c r="F1321" s="13"/>
      <c r="G1321" s="13"/>
      <c r="H1321" s="13"/>
      <c r="I1321" s="13"/>
      <c r="J1321" s="13"/>
      <c r="K1321" s="13"/>
      <c r="L1321" s="13"/>
      <c r="M1321" s="13"/>
      <c r="N1321" s="13"/>
      <c r="O1321" s="13"/>
      <c r="P1321" s="13"/>
      <c r="Q1321" s="13"/>
      <c r="R1321" s="13"/>
      <c r="S1321" s="13"/>
      <c r="T1321" s="13"/>
      <c r="U1321" s="13"/>
      <c r="V1321" s="13"/>
      <c r="W1321" s="13"/>
      <c r="X1321" s="13"/>
      <c r="Y1321" s="13"/>
      <c r="Z1321" s="13"/>
      <c r="AA1321" s="13"/>
      <c r="AB1321" s="13"/>
      <c r="AM1321" s="6"/>
      <c r="AN1321" s="6"/>
      <c r="AO1321" s="6"/>
      <c r="AP1321" s="6"/>
      <c r="AQ1321" s="6"/>
      <c r="AR1321" s="6"/>
      <c r="AS1321" s="6"/>
      <c r="AT1321" s="6"/>
      <c r="AU1321" s="6"/>
      <c r="AV1321" s="6"/>
      <c r="AW1321" s="6"/>
      <c r="AX1321" s="6"/>
      <c r="AY1321" s="6"/>
      <c r="AZ1321" s="6"/>
      <c r="BA1321" s="6"/>
      <c r="BB1321" s="6"/>
      <c r="BC1321" s="6"/>
      <c r="BD1321" s="6"/>
      <c r="BE1321" s="6"/>
      <c r="BF1321" s="6"/>
      <c r="BG1321" s="6"/>
      <c r="BH1321" s="6"/>
      <c r="BI1321" s="6"/>
      <c r="BJ1321" s="6"/>
      <c r="BK1321" s="6"/>
      <c r="BL1321" s="6"/>
      <c r="BM1321" s="6"/>
      <c r="BN1321" s="6"/>
      <c r="BO1321" s="6"/>
      <c r="BP1321" s="6"/>
      <c r="BQ1321" s="6"/>
    </row>
    <row r="1322" spans="2:69" hidden="1" x14ac:dyDescent="0.2">
      <c r="B1322" s="13"/>
      <c r="C1322" s="13"/>
      <c r="D1322" s="13"/>
      <c r="E1322" s="13"/>
      <c r="F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M1322" s="6"/>
      <c r="AN1322" s="6"/>
      <c r="AO1322" s="6"/>
      <c r="AP1322" s="6"/>
      <c r="AQ1322" s="6"/>
      <c r="AR1322" s="6"/>
      <c r="AS1322" s="6"/>
      <c r="AT1322" s="6"/>
      <c r="AU1322" s="6"/>
      <c r="AV1322" s="6"/>
      <c r="AW1322" s="6"/>
      <c r="AX1322" s="6"/>
      <c r="AY1322" s="6"/>
      <c r="AZ1322" s="6"/>
      <c r="BA1322" s="6"/>
      <c r="BB1322" s="6"/>
      <c r="BC1322" s="6"/>
      <c r="BD1322" s="6"/>
      <c r="BE1322" s="6"/>
      <c r="BF1322" s="6"/>
      <c r="BG1322" s="6"/>
      <c r="BH1322" s="6"/>
      <c r="BI1322" s="6"/>
      <c r="BJ1322" s="6"/>
      <c r="BK1322" s="6"/>
      <c r="BL1322" s="6"/>
      <c r="BM1322" s="6"/>
      <c r="BN1322" s="6"/>
      <c r="BO1322" s="6"/>
      <c r="BP1322" s="6"/>
      <c r="BQ1322" s="6"/>
    </row>
    <row r="1323" spans="2:69" hidden="1" x14ac:dyDescent="0.2">
      <c r="B1323" s="13"/>
      <c r="C1323" s="13"/>
      <c r="D1323" s="13"/>
      <c r="E1323" s="13"/>
      <c r="F1323" s="13"/>
      <c r="G1323" s="13"/>
      <c r="H1323" s="13"/>
      <c r="I1323" s="13"/>
      <c r="J1323" s="13"/>
      <c r="K1323" s="13"/>
      <c r="L1323" s="13"/>
      <c r="M1323" s="13"/>
      <c r="N1323" s="13"/>
      <c r="O1323" s="13"/>
      <c r="P1323" s="13"/>
      <c r="Q1323" s="13"/>
      <c r="R1323" s="13"/>
      <c r="S1323" s="13"/>
      <c r="T1323" s="13"/>
      <c r="U1323" s="13"/>
      <c r="V1323" s="13"/>
      <c r="W1323" s="13"/>
      <c r="X1323" s="13"/>
      <c r="Y1323" s="13"/>
      <c r="Z1323" s="13"/>
      <c r="AA1323" s="13"/>
      <c r="AB1323" s="13"/>
      <c r="AM1323" s="6"/>
      <c r="AN1323" s="6"/>
      <c r="AO1323" s="6"/>
      <c r="AP1323" s="6"/>
      <c r="AQ1323" s="6"/>
      <c r="AR1323" s="6"/>
      <c r="AS1323" s="6"/>
      <c r="AT1323" s="6"/>
      <c r="AU1323" s="6"/>
      <c r="AV1323" s="6"/>
      <c r="AW1323" s="6"/>
      <c r="AX1323" s="6"/>
      <c r="AY1323" s="6"/>
      <c r="AZ1323" s="6"/>
      <c r="BA1323" s="6"/>
      <c r="BB1323" s="6"/>
      <c r="BC1323" s="6"/>
      <c r="BD1323" s="6"/>
      <c r="BE1323" s="6"/>
      <c r="BF1323" s="6"/>
      <c r="BG1323" s="6"/>
      <c r="BH1323" s="6"/>
      <c r="BI1323" s="6"/>
      <c r="BJ1323" s="6"/>
      <c r="BK1323" s="6"/>
      <c r="BL1323" s="6"/>
      <c r="BM1323" s="6"/>
      <c r="BN1323" s="6"/>
      <c r="BO1323" s="6"/>
      <c r="BP1323" s="6"/>
      <c r="BQ1323" s="6"/>
    </row>
    <row r="1324" spans="2:69" hidden="1" x14ac:dyDescent="0.2">
      <c r="B1324" s="13"/>
      <c r="C1324" s="13"/>
      <c r="D1324" s="13"/>
      <c r="E1324" s="13"/>
      <c r="F1324" s="13"/>
      <c r="G1324" s="13"/>
      <c r="H1324" s="13"/>
      <c r="I1324" s="13"/>
      <c r="J1324" s="13"/>
      <c r="K1324" s="13"/>
      <c r="L1324" s="13"/>
      <c r="M1324" s="13"/>
      <c r="N1324" s="13"/>
      <c r="O1324" s="13"/>
      <c r="P1324" s="13"/>
      <c r="Q1324" s="13"/>
      <c r="R1324" s="13"/>
      <c r="S1324" s="13"/>
      <c r="T1324" s="13"/>
      <c r="U1324" s="13"/>
      <c r="V1324" s="13"/>
      <c r="W1324" s="13"/>
      <c r="X1324" s="13"/>
      <c r="Y1324" s="13"/>
      <c r="Z1324" s="13"/>
      <c r="AA1324" s="13"/>
      <c r="AB1324" s="13"/>
      <c r="AM1324" s="6"/>
      <c r="AN1324" s="6"/>
      <c r="AO1324" s="6"/>
      <c r="AP1324" s="6"/>
      <c r="AQ1324" s="6"/>
      <c r="AR1324" s="6"/>
      <c r="AS1324" s="6"/>
      <c r="AT1324" s="6"/>
      <c r="AU1324" s="6"/>
      <c r="AV1324" s="6"/>
      <c r="AW1324" s="6"/>
      <c r="AX1324" s="6"/>
      <c r="AY1324" s="6"/>
      <c r="AZ1324" s="6"/>
      <c r="BA1324" s="6"/>
      <c r="BB1324" s="6"/>
      <c r="BC1324" s="6"/>
      <c r="BD1324" s="6"/>
      <c r="BE1324" s="6"/>
      <c r="BF1324" s="6"/>
      <c r="BG1324" s="6"/>
      <c r="BH1324" s="6"/>
      <c r="BI1324" s="6"/>
      <c r="BJ1324" s="6"/>
      <c r="BK1324" s="6"/>
      <c r="BL1324" s="6"/>
      <c r="BM1324" s="6"/>
      <c r="BN1324" s="6"/>
      <c r="BO1324" s="6"/>
      <c r="BP1324" s="6"/>
      <c r="BQ1324" s="6"/>
    </row>
    <row r="1325" spans="2:69" hidden="1" x14ac:dyDescent="0.2">
      <c r="B1325" s="13"/>
      <c r="C1325" s="13"/>
      <c r="D1325" s="13"/>
      <c r="E1325" s="13"/>
      <c r="F1325" s="13"/>
      <c r="G1325" s="13"/>
      <c r="H1325" s="13"/>
      <c r="I1325" s="13"/>
      <c r="J1325" s="13"/>
      <c r="K1325" s="13"/>
      <c r="L1325" s="13"/>
      <c r="M1325" s="13"/>
      <c r="N1325" s="13"/>
      <c r="O1325" s="13"/>
      <c r="P1325" s="13"/>
      <c r="Q1325" s="13"/>
      <c r="R1325" s="13"/>
      <c r="S1325" s="13"/>
      <c r="T1325" s="13"/>
      <c r="U1325" s="13"/>
      <c r="V1325" s="13"/>
      <c r="W1325" s="13"/>
      <c r="X1325" s="13"/>
      <c r="Y1325" s="13"/>
      <c r="Z1325" s="13"/>
      <c r="AA1325" s="13"/>
      <c r="AB1325" s="13"/>
      <c r="AM1325" s="6"/>
      <c r="AN1325" s="6"/>
      <c r="AO1325" s="6"/>
      <c r="AP1325" s="6"/>
      <c r="AQ1325" s="6"/>
      <c r="AR1325" s="6"/>
      <c r="AS1325" s="6"/>
      <c r="AT1325" s="6"/>
      <c r="AU1325" s="6"/>
      <c r="AV1325" s="6"/>
      <c r="AW1325" s="6"/>
      <c r="AX1325" s="6"/>
      <c r="AY1325" s="6"/>
      <c r="AZ1325" s="6"/>
      <c r="BA1325" s="6"/>
      <c r="BB1325" s="6"/>
      <c r="BC1325" s="6"/>
      <c r="BD1325" s="6"/>
      <c r="BE1325" s="6"/>
      <c r="BF1325" s="6"/>
      <c r="BG1325" s="6"/>
      <c r="BH1325" s="6"/>
      <c r="BI1325" s="6"/>
      <c r="BJ1325" s="6"/>
      <c r="BK1325" s="6"/>
      <c r="BL1325" s="6"/>
      <c r="BM1325" s="6"/>
      <c r="BN1325" s="6"/>
      <c r="BO1325" s="6"/>
      <c r="BP1325" s="6"/>
      <c r="BQ1325" s="6"/>
    </row>
    <row r="1326" spans="2:69" hidden="1" x14ac:dyDescent="0.2">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M1326" s="6"/>
      <c r="AN1326" s="6"/>
      <c r="AO1326" s="6"/>
      <c r="AP1326" s="6"/>
      <c r="AQ1326" s="6"/>
      <c r="AR1326" s="6"/>
      <c r="AS1326" s="6"/>
      <c r="AT1326" s="6"/>
      <c r="AU1326" s="6"/>
      <c r="AV1326" s="6"/>
      <c r="AW1326" s="6"/>
      <c r="AX1326" s="6"/>
      <c r="AY1326" s="6"/>
      <c r="AZ1326" s="6"/>
      <c r="BA1326" s="6"/>
      <c r="BB1326" s="6"/>
      <c r="BC1326" s="6"/>
      <c r="BD1326" s="6"/>
      <c r="BE1326" s="6"/>
      <c r="BF1326" s="6"/>
      <c r="BG1326" s="6"/>
      <c r="BH1326" s="6"/>
      <c r="BI1326" s="6"/>
      <c r="BJ1326" s="6"/>
      <c r="BK1326" s="6"/>
      <c r="BL1326" s="6"/>
      <c r="BM1326" s="6"/>
      <c r="BN1326" s="6"/>
      <c r="BO1326" s="6"/>
      <c r="BP1326" s="6"/>
      <c r="BQ1326" s="6"/>
    </row>
    <row r="1327" spans="2:69" hidden="1" x14ac:dyDescent="0.2">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M1327" s="6"/>
      <c r="AN1327" s="6"/>
      <c r="AO1327" s="6"/>
      <c r="AP1327" s="6"/>
      <c r="AQ1327" s="6"/>
      <c r="AR1327" s="6"/>
      <c r="AS1327" s="6"/>
      <c r="AT1327" s="6"/>
      <c r="AU1327" s="6"/>
      <c r="AV1327" s="6"/>
      <c r="AW1327" s="6"/>
      <c r="AX1327" s="6"/>
      <c r="AY1327" s="6"/>
      <c r="AZ1327" s="6"/>
      <c r="BA1327" s="6"/>
      <c r="BB1327" s="6"/>
      <c r="BC1327" s="6"/>
      <c r="BD1327" s="6"/>
      <c r="BE1327" s="6"/>
      <c r="BF1327" s="6"/>
      <c r="BG1327" s="6"/>
      <c r="BH1327" s="6"/>
      <c r="BI1327" s="6"/>
      <c r="BJ1327" s="6"/>
      <c r="BK1327" s="6"/>
      <c r="BL1327" s="6"/>
      <c r="BM1327" s="6"/>
      <c r="BN1327" s="6"/>
      <c r="BO1327" s="6"/>
      <c r="BP1327" s="6"/>
      <c r="BQ1327" s="6"/>
    </row>
    <row r="1328" spans="2:69" hidden="1" x14ac:dyDescent="0.2">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M1328" s="6"/>
      <c r="AN1328" s="6"/>
      <c r="AO1328" s="6"/>
      <c r="AP1328" s="6"/>
      <c r="AQ1328" s="6"/>
      <c r="AR1328" s="6"/>
      <c r="AS1328" s="6"/>
      <c r="AT1328" s="6"/>
      <c r="AU1328" s="6"/>
      <c r="AV1328" s="6"/>
      <c r="AW1328" s="6"/>
      <c r="AX1328" s="6"/>
      <c r="AY1328" s="6"/>
      <c r="AZ1328" s="6"/>
      <c r="BA1328" s="6"/>
      <c r="BB1328" s="6"/>
      <c r="BC1328" s="6"/>
      <c r="BD1328" s="6"/>
      <c r="BE1328" s="6"/>
      <c r="BF1328" s="6"/>
      <c r="BG1328" s="6"/>
      <c r="BH1328" s="6"/>
      <c r="BI1328" s="6"/>
      <c r="BJ1328" s="6"/>
      <c r="BK1328" s="6"/>
      <c r="BL1328" s="6"/>
      <c r="BM1328" s="6"/>
      <c r="BN1328" s="6"/>
      <c r="BO1328" s="6"/>
      <c r="BP1328" s="6"/>
      <c r="BQ1328" s="6"/>
    </row>
    <row r="1329" spans="2:69" hidden="1" x14ac:dyDescent="0.2">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M1329" s="6"/>
      <c r="AN1329" s="6"/>
      <c r="AO1329" s="6"/>
      <c r="AP1329" s="6"/>
      <c r="AQ1329" s="6"/>
      <c r="AR1329" s="6"/>
      <c r="AS1329" s="6"/>
      <c r="AT1329" s="6"/>
      <c r="AU1329" s="6"/>
      <c r="AV1329" s="6"/>
      <c r="AW1329" s="6"/>
      <c r="AX1329" s="6"/>
      <c r="AY1329" s="6"/>
      <c r="AZ1329" s="6"/>
      <c r="BA1329" s="6"/>
      <c r="BB1329" s="6"/>
      <c r="BC1329" s="6"/>
      <c r="BD1329" s="6"/>
      <c r="BE1329" s="6"/>
      <c r="BF1329" s="6"/>
      <c r="BG1329" s="6"/>
      <c r="BH1329" s="6"/>
      <c r="BI1329" s="6"/>
      <c r="BJ1329" s="6"/>
      <c r="BK1329" s="6"/>
      <c r="BL1329" s="6"/>
      <c r="BM1329" s="6"/>
      <c r="BN1329" s="6"/>
      <c r="BO1329" s="6"/>
      <c r="BP1329" s="6"/>
      <c r="BQ1329" s="6"/>
    </row>
    <row r="1330" spans="2:69" hidden="1" x14ac:dyDescent="0.2">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M1330" s="6"/>
      <c r="AN1330" s="6"/>
      <c r="AO1330" s="6"/>
      <c r="AP1330" s="6"/>
      <c r="AQ1330" s="6"/>
      <c r="AR1330" s="6"/>
      <c r="AS1330" s="6"/>
      <c r="AT1330" s="6"/>
      <c r="AU1330" s="6"/>
      <c r="AV1330" s="6"/>
      <c r="AW1330" s="6"/>
      <c r="AX1330" s="6"/>
      <c r="AY1330" s="6"/>
      <c r="AZ1330" s="6"/>
      <c r="BA1330" s="6"/>
      <c r="BB1330" s="6"/>
      <c r="BC1330" s="6"/>
      <c r="BD1330" s="6"/>
      <c r="BE1330" s="6"/>
      <c r="BF1330" s="6"/>
      <c r="BG1330" s="6"/>
      <c r="BH1330" s="6"/>
      <c r="BI1330" s="6"/>
      <c r="BJ1330" s="6"/>
      <c r="BK1330" s="6"/>
      <c r="BL1330" s="6"/>
      <c r="BM1330" s="6"/>
      <c r="BN1330" s="6"/>
      <c r="BO1330" s="6"/>
      <c r="BP1330" s="6"/>
      <c r="BQ1330" s="6"/>
    </row>
    <row r="1331" spans="2:69" hidden="1" x14ac:dyDescent="0.2">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M1331" s="6"/>
      <c r="AN1331" s="6"/>
      <c r="AO1331" s="6"/>
      <c r="AP1331" s="6"/>
      <c r="AQ1331" s="6"/>
      <c r="AR1331" s="6"/>
      <c r="AS1331" s="6"/>
      <c r="AT1331" s="6"/>
      <c r="AU1331" s="6"/>
      <c r="AV1331" s="6"/>
      <c r="AW1331" s="6"/>
      <c r="AX1331" s="6"/>
      <c r="AY1331" s="6"/>
      <c r="AZ1331" s="6"/>
      <c r="BA1331" s="6"/>
      <c r="BB1331" s="6"/>
      <c r="BC1331" s="6"/>
      <c r="BD1331" s="6"/>
      <c r="BE1331" s="6"/>
      <c r="BF1331" s="6"/>
      <c r="BG1331" s="6"/>
      <c r="BH1331" s="6"/>
      <c r="BI1331" s="6"/>
      <c r="BJ1331" s="6"/>
      <c r="BK1331" s="6"/>
      <c r="BL1331" s="6"/>
      <c r="BM1331" s="6"/>
      <c r="BN1331" s="6"/>
      <c r="BO1331" s="6"/>
      <c r="BP1331" s="6"/>
      <c r="BQ1331" s="6"/>
    </row>
    <row r="1332" spans="2:69" hidden="1" x14ac:dyDescent="0.2">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M1332" s="6"/>
      <c r="AN1332" s="6"/>
      <c r="AO1332" s="6"/>
      <c r="AP1332" s="6"/>
      <c r="AQ1332" s="6"/>
      <c r="AR1332" s="6"/>
      <c r="AS1332" s="6"/>
      <c r="AT1332" s="6"/>
      <c r="AU1332" s="6"/>
      <c r="AV1332" s="6"/>
      <c r="AW1332" s="6"/>
      <c r="AX1332" s="6"/>
      <c r="AY1332" s="6"/>
      <c r="AZ1332" s="6"/>
      <c r="BA1332" s="6"/>
      <c r="BB1332" s="6"/>
      <c r="BC1332" s="6"/>
      <c r="BD1332" s="6"/>
      <c r="BE1332" s="6"/>
      <c r="BF1332" s="6"/>
      <c r="BG1332" s="6"/>
      <c r="BH1332" s="6"/>
      <c r="BI1332" s="6"/>
      <c r="BJ1332" s="6"/>
      <c r="BK1332" s="6"/>
      <c r="BL1332" s="6"/>
      <c r="BM1332" s="6"/>
      <c r="BN1332" s="6"/>
      <c r="BO1332" s="6"/>
      <c r="BP1332" s="6"/>
      <c r="BQ1332" s="6"/>
    </row>
    <row r="1333" spans="2:69" hidden="1" x14ac:dyDescent="0.2">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M1333" s="6"/>
      <c r="AN1333" s="6"/>
      <c r="AO1333" s="6"/>
      <c r="AP1333" s="6"/>
      <c r="AQ1333" s="6"/>
      <c r="AR1333" s="6"/>
      <c r="AS1333" s="6"/>
      <c r="AT1333" s="6"/>
      <c r="AU1333" s="6"/>
      <c r="AV1333" s="6"/>
      <c r="AW1333" s="6"/>
      <c r="AX1333" s="6"/>
      <c r="AY1333" s="6"/>
      <c r="AZ1333" s="6"/>
      <c r="BA1333" s="6"/>
      <c r="BB1333" s="6"/>
      <c r="BC1333" s="6"/>
      <c r="BD1333" s="6"/>
      <c r="BE1333" s="6"/>
      <c r="BF1333" s="6"/>
      <c r="BG1333" s="6"/>
      <c r="BH1333" s="6"/>
      <c r="BI1333" s="6"/>
      <c r="BJ1333" s="6"/>
      <c r="BK1333" s="6"/>
      <c r="BL1333" s="6"/>
      <c r="BM1333" s="6"/>
      <c r="BN1333" s="6"/>
      <c r="BO1333" s="6"/>
      <c r="BP1333" s="6"/>
      <c r="BQ1333" s="6"/>
    </row>
    <row r="1334" spans="2:69" hidden="1" x14ac:dyDescent="0.2">
      <c r="B1334" s="13"/>
      <c r="C1334" s="13"/>
      <c r="D1334" s="13"/>
      <c r="E1334" s="13"/>
      <c r="F1334" s="13"/>
      <c r="G1334" s="13"/>
      <c r="H1334" s="13"/>
      <c r="I1334" s="13"/>
      <c r="J1334" s="13"/>
      <c r="K1334" s="13"/>
      <c r="L1334" s="13"/>
      <c r="M1334" s="13"/>
      <c r="N1334" s="13"/>
      <c r="O1334" s="13"/>
      <c r="P1334" s="13"/>
      <c r="Q1334" s="13"/>
      <c r="R1334" s="13"/>
      <c r="S1334" s="13"/>
      <c r="T1334" s="13"/>
      <c r="U1334" s="13"/>
      <c r="V1334" s="13"/>
      <c r="W1334" s="13"/>
      <c r="X1334" s="13"/>
      <c r="Y1334" s="13"/>
      <c r="Z1334" s="13"/>
      <c r="AA1334" s="13"/>
      <c r="AB1334" s="13"/>
      <c r="AM1334" s="6"/>
      <c r="AN1334" s="6"/>
      <c r="AO1334" s="6"/>
      <c r="AP1334" s="6"/>
      <c r="AQ1334" s="6"/>
      <c r="AR1334" s="6"/>
      <c r="AS1334" s="6"/>
      <c r="AT1334" s="6"/>
      <c r="AU1334" s="6"/>
      <c r="AV1334" s="6"/>
      <c r="AW1334" s="6"/>
      <c r="AX1334" s="6"/>
      <c r="AY1334" s="6"/>
      <c r="AZ1334" s="6"/>
      <c r="BA1334" s="6"/>
      <c r="BB1334" s="6"/>
      <c r="BC1334" s="6"/>
      <c r="BD1334" s="6"/>
      <c r="BE1334" s="6"/>
      <c r="BF1334" s="6"/>
      <c r="BG1334" s="6"/>
      <c r="BH1334" s="6"/>
      <c r="BI1334" s="6"/>
      <c r="BJ1334" s="6"/>
      <c r="BK1334" s="6"/>
      <c r="BL1334" s="6"/>
      <c r="BM1334" s="6"/>
      <c r="BN1334" s="6"/>
      <c r="BO1334" s="6"/>
      <c r="BP1334" s="6"/>
      <c r="BQ1334" s="6"/>
    </row>
    <row r="1335" spans="2:69" hidden="1" x14ac:dyDescent="0.2">
      <c r="B1335" s="13"/>
      <c r="C1335" s="13"/>
      <c r="D1335" s="13"/>
      <c r="E1335" s="13"/>
      <c r="F1335" s="13"/>
      <c r="G1335" s="13"/>
      <c r="H1335" s="13"/>
      <c r="I1335" s="13"/>
      <c r="J1335" s="13"/>
      <c r="K1335" s="13"/>
      <c r="L1335" s="13"/>
      <c r="M1335" s="13"/>
      <c r="N1335" s="13"/>
      <c r="O1335" s="13"/>
      <c r="P1335" s="13"/>
      <c r="Q1335" s="13"/>
      <c r="R1335" s="13"/>
      <c r="S1335" s="13"/>
      <c r="T1335" s="13"/>
      <c r="U1335" s="13"/>
      <c r="V1335" s="13"/>
      <c r="W1335" s="13"/>
      <c r="X1335" s="13"/>
      <c r="Y1335" s="13"/>
      <c r="Z1335" s="13"/>
      <c r="AA1335" s="13"/>
      <c r="AB1335" s="13"/>
      <c r="AM1335" s="6"/>
      <c r="AN1335" s="6"/>
      <c r="AO1335" s="6"/>
      <c r="AP1335" s="6"/>
      <c r="AQ1335" s="6"/>
      <c r="AR1335" s="6"/>
      <c r="AS1335" s="6"/>
      <c r="AT1335" s="6"/>
      <c r="AU1335" s="6"/>
      <c r="AV1335" s="6"/>
      <c r="AW1335" s="6"/>
      <c r="AX1335" s="6"/>
      <c r="AY1335" s="6"/>
      <c r="AZ1335" s="6"/>
      <c r="BA1335" s="6"/>
      <c r="BB1335" s="6"/>
      <c r="BC1335" s="6"/>
      <c r="BD1335" s="6"/>
      <c r="BE1335" s="6"/>
      <c r="BF1335" s="6"/>
      <c r="BG1335" s="6"/>
      <c r="BH1335" s="6"/>
      <c r="BI1335" s="6"/>
      <c r="BJ1335" s="6"/>
      <c r="BK1335" s="6"/>
      <c r="BL1335" s="6"/>
      <c r="BM1335" s="6"/>
      <c r="BN1335" s="6"/>
      <c r="BO1335" s="6"/>
      <c r="BP1335" s="6"/>
      <c r="BQ1335" s="6"/>
    </row>
    <row r="1336" spans="2:69" hidden="1" x14ac:dyDescent="0.2">
      <c r="B1336" s="13"/>
      <c r="C1336" s="13"/>
      <c r="D1336" s="13"/>
      <c r="E1336" s="13"/>
      <c r="F1336" s="13"/>
      <c r="G1336" s="13"/>
      <c r="H1336" s="13"/>
      <c r="I1336" s="13"/>
      <c r="J1336" s="13"/>
      <c r="K1336" s="13"/>
      <c r="L1336" s="13"/>
      <c r="M1336" s="13"/>
      <c r="N1336" s="13"/>
      <c r="O1336" s="13"/>
      <c r="P1336" s="13"/>
      <c r="Q1336" s="13"/>
      <c r="R1336" s="13"/>
      <c r="S1336" s="13"/>
      <c r="T1336" s="13"/>
      <c r="U1336" s="13"/>
      <c r="V1336" s="13"/>
      <c r="W1336" s="13"/>
      <c r="X1336" s="13"/>
      <c r="Y1336" s="13"/>
      <c r="Z1336" s="13"/>
      <c r="AA1336" s="13"/>
      <c r="AB1336" s="13"/>
      <c r="AM1336" s="6"/>
      <c r="AN1336" s="6"/>
      <c r="AO1336" s="6"/>
      <c r="AP1336" s="6"/>
      <c r="AQ1336" s="6"/>
      <c r="AR1336" s="6"/>
      <c r="AS1336" s="6"/>
      <c r="AT1336" s="6"/>
      <c r="AU1336" s="6"/>
      <c r="AV1336" s="6"/>
      <c r="AW1336" s="6"/>
      <c r="AX1336" s="6"/>
      <c r="AY1336" s="6"/>
      <c r="AZ1336" s="6"/>
      <c r="BA1336" s="6"/>
      <c r="BB1336" s="6"/>
      <c r="BC1336" s="6"/>
      <c r="BD1336" s="6"/>
      <c r="BE1336" s="6"/>
      <c r="BF1336" s="6"/>
      <c r="BG1336" s="6"/>
      <c r="BH1336" s="6"/>
      <c r="BI1336" s="6"/>
      <c r="BJ1336" s="6"/>
      <c r="BK1336" s="6"/>
      <c r="BL1336" s="6"/>
      <c r="BM1336" s="6"/>
      <c r="BN1336" s="6"/>
      <c r="BO1336" s="6"/>
      <c r="BP1336" s="6"/>
      <c r="BQ1336" s="6"/>
    </row>
    <row r="1337" spans="2:69" hidden="1" x14ac:dyDescent="0.2">
      <c r="B1337" s="13"/>
      <c r="C1337" s="13"/>
      <c r="D1337" s="13"/>
      <c r="E1337" s="13"/>
      <c r="F1337" s="13"/>
      <c r="G1337" s="13"/>
      <c r="H1337" s="13"/>
      <c r="I1337" s="13"/>
      <c r="J1337" s="13"/>
      <c r="K1337" s="13"/>
      <c r="L1337" s="13"/>
      <c r="M1337" s="13"/>
      <c r="N1337" s="13"/>
      <c r="O1337" s="13"/>
      <c r="P1337" s="13"/>
      <c r="Q1337" s="13"/>
      <c r="R1337" s="13"/>
      <c r="S1337" s="13"/>
      <c r="T1337" s="13"/>
      <c r="U1337" s="13"/>
      <c r="V1337" s="13"/>
      <c r="W1337" s="13"/>
      <c r="X1337" s="13"/>
      <c r="Y1337" s="13"/>
      <c r="Z1337" s="13"/>
      <c r="AA1337" s="13"/>
      <c r="AB1337" s="13"/>
      <c r="AM1337" s="6"/>
      <c r="AN1337" s="6"/>
      <c r="AO1337" s="6"/>
      <c r="AP1337" s="6"/>
      <c r="AQ1337" s="6"/>
      <c r="AR1337" s="6"/>
      <c r="AS1337" s="6"/>
      <c r="AT1337" s="6"/>
      <c r="AU1337" s="6"/>
      <c r="AV1337" s="6"/>
      <c r="AW1337" s="6"/>
      <c r="AX1337" s="6"/>
      <c r="AY1337" s="6"/>
      <c r="AZ1337" s="6"/>
      <c r="BA1337" s="6"/>
      <c r="BB1337" s="6"/>
      <c r="BC1337" s="6"/>
      <c r="BD1337" s="6"/>
      <c r="BE1337" s="6"/>
      <c r="BF1337" s="6"/>
      <c r="BG1337" s="6"/>
      <c r="BH1337" s="6"/>
      <c r="BI1337" s="6"/>
      <c r="BJ1337" s="6"/>
      <c r="BK1337" s="6"/>
      <c r="BL1337" s="6"/>
      <c r="BM1337" s="6"/>
      <c r="BN1337" s="6"/>
      <c r="BO1337" s="6"/>
      <c r="BP1337" s="6"/>
      <c r="BQ1337" s="6"/>
    </row>
    <row r="1338" spans="2:69" hidden="1" x14ac:dyDescent="0.2">
      <c r="B1338" s="13"/>
      <c r="C1338" s="13"/>
      <c r="D1338" s="13"/>
      <c r="E1338" s="13"/>
      <c r="F1338" s="13"/>
      <c r="G1338" s="13"/>
      <c r="H1338" s="13"/>
      <c r="I1338" s="13"/>
      <c r="J1338" s="13"/>
      <c r="K1338" s="13"/>
      <c r="L1338" s="13"/>
      <c r="M1338" s="13"/>
      <c r="N1338" s="13"/>
      <c r="O1338" s="13"/>
      <c r="P1338" s="13"/>
      <c r="Q1338" s="13"/>
      <c r="R1338" s="13"/>
      <c r="S1338" s="13"/>
      <c r="T1338" s="13"/>
      <c r="U1338" s="13"/>
      <c r="V1338" s="13"/>
      <c r="W1338" s="13"/>
      <c r="X1338" s="13"/>
      <c r="Y1338" s="13"/>
      <c r="Z1338" s="13"/>
      <c r="AA1338" s="13"/>
      <c r="AB1338" s="13"/>
      <c r="AM1338" s="6"/>
      <c r="AN1338" s="6"/>
      <c r="AO1338" s="6"/>
      <c r="AP1338" s="6"/>
      <c r="AQ1338" s="6"/>
      <c r="AR1338" s="6"/>
      <c r="AS1338" s="6"/>
      <c r="AT1338" s="6"/>
      <c r="AU1338" s="6"/>
      <c r="AV1338" s="6"/>
      <c r="AW1338" s="6"/>
      <c r="AX1338" s="6"/>
      <c r="AY1338" s="6"/>
      <c r="AZ1338" s="6"/>
      <c r="BA1338" s="6"/>
      <c r="BB1338" s="6"/>
      <c r="BC1338" s="6"/>
      <c r="BD1338" s="6"/>
      <c r="BE1338" s="6"/>
      <c r="BF1338" s="6"/>
      <c r="BG1338" s="6"/>
      <c r="BH1338" s="6"/>
      <c r="BI1338" s="6"/>
      <c r="BJ1338" s="6"/>
      <c r="BK1338" s="6"/>
      <c r="BL1338" s="6"/>
      <c r="BM1338" s="6"/>
      <c r="BN1338" s="6"/>
      <c r="BO1338" s="6"/>
      <c r="BP1338" s="6"/>
      <c r="BQ1338" s="6"/>
    </row>
    <row r="1339" spans="2:69" hidden="1" x14ac:dyDescent="0.2">
      <c r="B1339" s="13"/>
      <c r="C1339" s="13"/>
      <c r="D1339" s="13"/>
      <c r="E1339" s="13"/>
      <c r="F1339" s="13"/>
      <c r="G1339" s="13"/>
      <c r="H1339" s="13"/>
      <c r="I1339" s="13"/>
      <c r="J1339" s="13"/>
      <c r="K1339" s="13"/>
      <c r="L1339" s="13"/>
      <c r="M1339" s="13"/>
      <c r="N1339" s="13"/>
      <c r="O1339" s="13"/>
      <c r="P1339" s="13"/>
      <c r="Q1339" s="13"/>
      <c r="R1339" s="13"/>
      <c r="S1339" s="13"/>
      <c r="T1339" s="13"/>
      <c r="U1339" s="13"/>
      <c r="V1339" s="13"/>
      <c r="W1339" s="13"/>
      <c r="X1339" s="13"/>
      <c r="Y1339" s="13"/>
      <c r="Z1339" s="13"/>
      <c r="AA1339" s="13"/>
      <c r="AB1339" s="13"/>
      <c r="AM1339" s="6"/>
      <c r="AN1339" s="6"/>
      <c r="AO1339" s="6"/>
      <c r="AP1339" s="6"/>
      <c r="AQ1339" s="6"/>
      <c r="AR1339" s="6"/>
      <c r="AS1339" s="6"/>
      <c r="AT1339" s="6"/>
      <c r="AU1339" s="6"/>
      <c r="AV1339" s="6"/>
      <c r="AW1339" s="6"/>
      <c r="AX1339" s="6"/>
      <c r="AY1339" s="6"/>
      <c r="AZ1339" s="6"/>
      <c r="BA1339" s="6"/>
      <c r="BB1339" s="6"/>
      <c r="BC1339" s="6"/>
      <c r="BD1339" s="6"/>
      <c r="BE1339" s="6"/>
      <c r="BF1339" s="6"/>
      <c r="BG1339" s="6"/>
      <c r="BH1339" s="6"/>
      <c r="BI1339" s="6"/>
      <c r="BJ1339" s="6"/>
      <c r="BK1339" s="6"/>
      <c r="BL1339" s="6"/>
      <c r="BM1339" s="6"/>
      <c r="BN1339" s="6"/>
      <c r="BO1339" s="6"/>
      <c r="BP1339" s="6"/>
      <c r="BQ1339" s="6"/>
    </row>
    <row r="1340" spans="2:69" hidden="1" x14ac:dyDescent="0.2">
      <c r="B1340" s="13"/>
      <c r="C1340" s="13"/>
      <c r="D1340" s="13"/>
      <c r="E1340" s="13"/>
      <c r="F1340" s="13"/>
      <c r="G1340" s="13"/>
      <c r="H1340" s="13"/>
      <c r="I1340" s="13"/>
      <c r="J1340" s="13"/>
      <c r="K1340" s="13"/>
      <c r="L1340" s="13"/>
      <c r="M1340" s="13"/>
      <c r="N1340" s="13"/>
      <c r="O1340" s="13"/>
      <c r="P1340" s="13"/>
      <c r="Q1340" s="13"/>
      <c r="R1340" s="13"/>
      <c r="S1340" s="13"/>
      <c r="T1340" s="13"/>
      <c r="U1340" s="13"/>
      <c r="V1340" s="13"/>
      <c r="W1340" s="13"/>
      <c r="X1340" s="13"/>
      <c r="Y1340" s="13"/>
      <c r="Z1340" s="13"/>
      <c r="AA1340" s="13"/>
      <c r="AB1340" s="13"/>
      <c r="AM1340" s="6"/>
      <c r="AN1340" s="6"/>
      <c r="AO1340" s="6"/>
      <c r="AP1340" s="6"/>
      <c r="AQ1340" s="6"/>
      <c r="AR1340" s="6"/>
      <c r="AS1340" s="6"/>
      <c r="AT1340" s="6"/>
      <c r="AU1340" s="6"/>
      <c r="AV1340" s="6"/>
      <c r="AW1340" s="6"/>
      <c r="AX1340" s="6"/>
      <c r="AY1340" s="6"/>
      <c r="AZ1340" s="6"/>
      <c r="BA1340" s="6"/>
      <c r="BB1340" s="6"/>
      <c r="BC1340" s="6"/>
      <c r="BD1340" s="6"/>
      <c r="BE1340" s="6"/>
      <c r="BF1340" s="6"/>
      <c r="BG1340" s="6"/>
      <c r="BH1340" s="6"/>
      <c r="BI1340" s="6"/>
      <c r="BJ1340" s="6"/>
      <c r="BK1340" s="6"/>
      <c r="BL1340" s="6"/>
      <c r="BM1340" s="6"/>
      <c r="BN1340" s="6"/>
      <c r="BO1340" s="6"/>
      <c r="BP1340" s="6"/>
      <c r="BQ1340" s="6"/>
    </row>
    <row r="1341" spans="2:69" hidden="1" x14ac:dyDescent="0.2">
      <c r="B1341" s="13"/>
      <c r="C1341" s="13"/>
      <c r="D1341" s="13"/>
      <c r="E1341" s="13"/>
      <c r="F1341" s="13"/>
      <c r="G1341" s="13"/>
      <c r="H1341" s="13"/>
      <c r="I1341" s="13"/>
      <c r="J1341" s="13"/>
      <c r="K1341" s="13"/>
      <c r="L1341" s="13"/>
      <c r="M1341" s="13"/>
      <c r="N1341" s="13"/>
      <c r="O1341" s="13"/>
      <c r="P1341" s="13"/>
      <c r="Q1341" s="13"/>
      <c r="R1341" s="13"/>
      <c r="S1341" s="13"/>
      <c r="T1341" s="13"/>
      <c r="U1341" s="13"/>
      <c r="V1341" s="13"/>
      <c r="W1341" s="13"/>
      <c r="X1341" s="13"/>
      <c r="Y1341" s="13"/>
      <c r="Z1341" s="13"/>
      <c r="AA1341" s="13"/>
      <c r="AB1341" s="13"/>
      <c r="AM1341" s="6"/>
      <c r="AN1341" s="6"/>
      <c r="AO1341" s="6"/>
      <c r="AP1341" s="6"/>
      <c r="AQ1341" s="6"/>
      <c r="AR1341" s="6"/>
      <c r="AS1341" s="6"/>
      <c r="AT1341" s="6"/>
      <c r="AU1341" s="6"/>
      <c r="AV1341" s="6"/>
      <c r="AW1341" s="6"/>
      <c r="AX1341" s="6"/>
      <c r="AY1341" s="6"/>
      <c r="AZ1341" s="6"/>
      <c r="BA1341" s="6"/>
      <c r="BB1341" s="6"/>
      <c r="BC1341" s="6"/>
      <c r="BD1341" s="6"/>
      <c r="BE1341" s="6"/>
      <c r="BF1341" s="6"/>
      <c r="BG1341" s="6"/>
      <c r="BH1341" s="6"/>
      <c r="BI1341" s="6"/>
      <c r="BJ1341" s="6"/>
      <c r="BK1341" s="6"/>
      <c r="BL1341" s="6"/>
      <c r="BM1341" s="6"/>
      <c r="BN1341" s="6"/>
      <c r="BO1341" s="6"/>
      <c r="BP1341" s="6"/>
      <c r="BQ1341" s="6"/>
    </row>
    <row r="1342" spans="2:69" hidden="1" x14ac:dyDescent="0.2">
      <c r="B1342" s="13"/>
      <c r="C1342" s="13"/>
      <c r="D1342" s="13"/>
      <c r="E1342" s="13"/>
      <c r="F1342" s="13"/>
      <c r="G1342" s="13"/>
      <c r="H1342" s="13"/>
      <c r="I1342" s="13"/>
      <c r="J1342" s="13"/>
      <c r="K1342" s="13"/>
      <c r="L1342" s="13"/>
      <c r="M1342" s="13"/>
      <c r="N1342" s="13"/>
      <c r="O1342" s="13"/>
      <c r="P1342" s="13"/>
      <c r="Q1342" s="13"/>
      <c r="R1342" s="13"/>
      <c r="S1342" s="13"/>
      <c r="T1342" s="13"/>
      <c r="U1342" s="13"/>
      <c r="V1342" s="13"/>
      <c r="W1342" s="13"/>
      <c r="X1342" s="13"/>
      <c r="Y1342" s="13"/>
      <c r="Z1342" s="13"/>
      <c r="AA1342" s="13"/>
      <c r="AB1342" s="13"/>
      <c r="AM1342" s="6"/>
      <c r="AN1342" s="6"/>
      <c r="AO1342" s="6"/>
      <c r="AP1342" s="6"/>
      <c r="AQ1342" s="6"/>
      <c r="AR1342" s="6"/>
      <c r="AS1342" s="6"/>
      <c r="AT1342" s="6"/>
      <c r="AU1342" s="6"/>
      <c r="AV1342" s="6"/>
      <c r="AW1342" s="6"/>
      <c r="AX1342" s="6"/>
      <c r="AY1342" s="6"/>
      <c r="AZ1342" s="6"/>
      <c r="BA1342" s="6"/>
      <c r="BB1342" s="6"/>
      <c r="BC1342" s="6"/>
      <c r="BD1342" s="6"/>
      <c r="BE1342" s="6"/>
      <c r="BF1342" s="6"/>
      <c r="BG1342" s="6"/>
      <c r="BH1342" s="6"/>
      <c r="BI1342" s="6"/>
      <c r="BJ1342" s="6"/>
      <c r="BK1342" s="6"/>
      <c r="BL1342" s="6"/>
      <c r="BM1342" s="6"/>
      <c r="BN1342" s="6"/>
      <c r="BO1342" s="6"/>
      <c r="BP1342" s="6"/>
      <c r="BQ1342" s="6"/>
    </row>
    <row r="1343" spans="2:69" hidden="1" x14ac:dyDescent="0.2">
      <c r="B1343" s="13"/>
      <c r="C1343" s="13"/>
      <c r="D1343" s="13"/>
      <c r="E1343" s="13"/>
      <c r="F1343" s="13"/>
      <c r="G1343" s="13"/>
      <c r="H1343" s="13"/>
      <c r="I1343" s="13"/>
      <c r="J1343" s="13"/>
      <c r="K1343" s="13"/>
      <c r="L1343" s="13"/>
      <c r="M1343" s="13"/>
      <c r="N1343" s="13"/>
      <c r="O1343" s="13"/>
      <c r="P1343" s="13"/>
      <c r="Q1343" s="13"/>
      <c r="R1343" s="13"/>
      <c r="S1343" s="13"/>
      <c r="T1343" s="13"/>
      <c r="U1343" s="13"/>
      <c r="V1343" s="13"/>
      <c r="W1343" s="13"/>
      <c r="X1343" s="13"/>
      <c r="Y1343" s="13"/>
      <c r="Z1343" s="13"/>
      <c r="AA1343" s="13"/>
      <c r="AB1343" s="13"/>
      <c r="AM1343" s="6"/>
      <c r="AN1343" s="6"/>
      <c r="AO1343" s="6"/>
      <c r="AP1343" s="6"/>
      <c r="AQ1343" s="6"/>
      <c r="AR1343" s="6"/>
      <c r="AS1343" s="6"/>
      <c r="AT1343" s="6"/>
      <c r="AU1343" s="6"/>
      <c r="AV1343" s="6"/>
      <c r="AW1343" s="6"/>
      <c r="AX1343" s="6"/>
      <c r="AY1343" s="6"/>
      <c r="AZ1343" s="6"/>
      <c r="BA1343" s="6"/>
      <c r="BB1343" s="6"/>
      <c r="BC1343" s="6"/>
      <c r="BD1343" s="6"/>
      <c r="BE1343" s="6"/>
      <c r="BF1343" s="6"/>
      <c r="BG1343" s="6"/>
      <c r="BH1343" s="6"/>
      <c r="BI1343" s="6"/>
      <c r="BJ1343" s="6"/>
      <c r="BK1343" s="6"/>
      <c r="BL1343" s="6"/>
      <c r="BM1343" s="6"/>
      <c r="BN1343" s="6"/>
      <c r="BO1343" s="6"/>
      <c r="BP1343" s="6"/>
      <c r="BQ1343" s="6"/>
    </row>
    <row r="1344" spans="2:69" hidden="1" x14ac:dyDescent="0.2">
      <c r="B1344" s="13"/>
      <c r="C1344" s="13"/>
      <c r="D1344" s="13"/>
      <c r="E1344" s="13"/>
      <c r="F1344" s="13"/>
      <c r="G1344" s="13"/>
      <c r="H1344" s="13"/>
      <c r="I1344" s="13"/>
      <c r="J1344" s="13"/>
      <c r="K1344" s="13"/>
      <c r="L1344" s="13"/>
      <c r="M1344" s="13"/>
      <c r="N1344" s="13"/>
      <c r="O1344" s="13"/>
      <c r="P1344" s="13"/>
      <c r="Q1344" s="13"/>
      <c r="R1344" s="13"/>
      <c r="S1344" s="13"/>
      <c r="T1344" s="13"/>
      <c r="U1344" s="13"/>
      <c r="V1344" s="13"/>
      <c r="W1344" s="13"/>
      <c r="X1344" s="13"/>
      <c r="Y1344" s="13"/>
      <c r="Z1344" s="13"/>
      <c r="AA1344" s="13"/>
      <c r="AB1344" s="13"/>
      <c r="AM1344" s="6"/>
      <c r="AN1344" s="6"/>
      <c r="AO1344" s="6"/>
      <c r="AP1344" s="6"/>
      <c r="AQ1344" s="6"/>
      <c r="AR1344" s="6"/>
      <c r="AS1344" s="6"/>
      <c r="AT1344" s="6"/>
      <c r="AU1344" s="6"/>
      <c r="AV1344" s="6"/>
      <c r="AW1344" s="6"/>
      <c r="AX1344" s="6"/>
      <c r="AY1344" s="6"/>
      <c r="AZ1344" s="6"/>
      <c r="BA1344" s="6"/>
      <c r="BB1344" s="6"/>
      <c r="BC1344" s="6"/>
      <c r="BD1344" s="6"/>
      <c r="BE1344" s="6"/>
      <c r="BF1344" s="6"/>
      <c r="BG1344" s="6"/>
      <c r="BH1344" s="6"/>
      <c r="BI1344" s="6"/>
      <c r="BJ1344" s="6"/>
      <c r="BK1344" s="6"/>
      <c r="BL1344" s="6"/>
      <c r="BM1344" s="6"/>
      <c r="BN1344" s="6"/>
      <c r="BO1344" s="6"/>
      <c r="BP1344" s="6"/>
      <c r="BQ1344" s="6"/>
    </row>
    <row r="1345" spans="2:69" hidden="1" x14ac:dyDescent="0.2">
      <c r="B1345" s="13"/>
      <c r="C1345" s="13"/>
      <c r="D1345" s="13"/>
      <c r="E1345" s="13"/>
      <c r="F1345" s="13"/>
      <c r="G1345" s="13"/>
      <c r="H1345" s="13"/>
      <c r="I1345" s="13"/>
      <c r="J1345" s="13"/>
      <c r="K1345" s="13"/>
      <c r="L1345" s="13"/>
      <c r="M1345" s="13"/>
      <c r="N1345" s="13"/>
      <c r="O1345" s="13"/>
      <c r="P1345" s="13"/>
      <c r="Q1345" s="13"/>
      <c r="R1345" s="13"/>
      <c r="S1345" s="13"/>
      <c r="T1345" s="13"/>
      <c r="U1345" s="13"/>
      <c r="V1345" s="13"/>
      <c r="W1345" s="13"/>
      <c r="X1345" s="13"/>
      <c r="Y1345" s="13"/>
      <c r="Z1345" s="13"/>
      <c r="AA1345" s="13"/>
      <c r="AB1345" s="13"/>
      <c r="AM1345" s="6"/>
      <c r="AN1345" s="6"/>
      <c r="AO1345" s="6"/>
      <c r="AP1345" s="6"/>
      <c r="AQ1345" s="6"/>
      <c r="AR1345" s="6"/>
      <c r="AS1345" s="6"/>
      <c r="AT1345" s="6"/>
      <c r="AU1345" s="6"/>
      <c r="AV1345" s="6"/>
      <c r="AW1345" s="6"/>
      <c r="AX1345" s="6"/>
      <c r="AY1345" s="6"/>
      <c r="AZ1345" s="6"/>
      <c r="BA1345" s="6"/>
      <c r="BB1345" s="6"/>
      <c r="BC1345" s="6"/>
      <c r="BD1345" s="6"/>
      <c r="BE1345" s="6"/>
      <c r="BF1345" s="6"/>
      <c r="BG1345" s="6"/>
      <c r="BH1345" s="6"/>
      <c r="BI1345" s="6"/>
      <c r="BJ1345" s="6"/>
      <c r="BK1345" s="6"/>
      <c r="BL1345" s="6"/>
      <c r="BM1345" s="6"/>
      <c r="BN1345" s="6"/>
      <c r="BO1345" s="6"/>
      <c r="BP1345" s="6"/>
      <c r="BQ1345" s="6"/>
    </row>
    <row r="1346" spans="2:69" hidden="1" x14ac:dyDescent="0.2">
      <c r="B1346" s="13"/>
      <c r="C1346" s="13"/>
      <c r="D1346" s="13"/>
      <c r="E1346" s="13"/>
      <c r="F1346" s="13"/>
      <c r="G1346" s="13"/>
      <c r="H1346" s="13"/>
      <c r="I1346" s="13"/>
      <c r="J1346" s="13"/>
      <c r="K1346" s="13"/>
      <c r="L1346" s="13"/>
      <c r="M1346" s="13"/>
      <c r="N1346" s="13"/>
      <c r="O1346" s="13"/>
      <c r="P1346" s="13"/>
      <c r="Q1346" s="13"/>
      <c r="R1346" s="13"/>
      <c r="S1346" s="13"/>
      <c r="T1346" s="13"/>
      <c r="U1346" s="13"/>
      <c r="V1346" s="13"/>
      <c r="W1346" s="13"/>
      <c r="X1346" s="13"/>
      <c r="Y1346" s="13"/>
      <c r="Z1346" s="13"/>
      <c r="AA1346" s="13"/>
      <c r="AB1346" s="13"/>
      <c r="AM1346" s="6"/>
      <c r="AN1346" s="6"/>
      <c r="AO1346" s="6"/>
      <c r="AP1346" s="6"/>
      <c r="AQ1346" s="6"/>
      <c r="AR1346" s="6"/>
      <c r="AS1346" s="6"/>
      <c r="AT1346" s="6"/>
      <c r="AU1346" s="6"/>
      <c r="AV1346" s="6"/>
      <c r="AW1346" s="6"/>
      <c r="AX1346" s="6"/>
      <c r="AY1346" s="6"/>
      <c r="AZ1346" s="6"/>
      <c r="BA1346" s="6"/>
      <c r="BB1346" s="6"/>
      <c r="BC1346" s="6"/>
      <c r="BD1346" s="6"/>
      <c r="BE1346" s="6"/>
      <c r="BF1346" s="6"/>
      <c r="BG1346" s="6"/>
      <c r="BH1346" s="6"/>
      <c r="BI1346" s="6"/>
      <c r="BJ1346" s="6"/>
      <c r="BK1346" s="6"/>
      <c r="BL1346" s="6"/>
      <c r="BM1346" s="6"/>
      <c r="BN1346" s="6"/>
      <c r="BO1346" s="6"/>
      <c r="BP1346" s="6"/>
      <c r="BQ1346" s="6"/>
    </row>
    <row r="1347" spans="2:69" hidden="1" x14ac:dyDescent="0.2">
      <c r="B1347" s="13"/>
      <c r="C1347" s="13"/>
      <c r="D1347" s="13"/>
      <c r="E1347" s="13"/>
      <c r="F1347" s="13"/>
      <c r="G1347" s="13"/>
      <c r="H1347" s="13"/>
      <c r="I1347" s="13"/>
      <c r="J1347" s="13"/>
      <c r="K1347" s="13"/>
      <c r="L1347" s="13"/>
      <c r="M1347" s="13"/>
      <c r="N1347" s="13"/>
      <c r="O1347" s="13"/>
      <c r="P1347" s="13"/>
      <c r="Q1347" s="13"/>
      <c r="R1347" s="13"/>
      <c r="S1347" s="13"/>
      <c r="T1347" s="13"/>
      <c r="U1347" s="13"/>
      <c r="V1347" s="13"/>
      <c r="W1347" s="13"/>
      <c r="X1347" s="13"/>
      <c r="Y1347" s="13"/>
      <c r="Z1347" s="13"/>
      <c r="AA1347" s="13"/>
      <c r="AB1347" s="13"/>
      <c r="AM1347" s="6"/>
      <c r="AN1347" s="6"/>
      <c r="AO1347" s="6"/>
      <c r="AP1347" s="6"/>
      <c r="AQ1347" s="6"/>
      <c r="AR1347" s="6"/>
      <c r="AS1347" s="6"/>
      <c r="AT1347" s="6"/>
      <c r="AU1347" s="6"/>
      <c r="AV1347" s="6"/>
      <c r="AW1347" s="6"/>
      <c r="AX1347" s="6"/>
      <c r="AY1347" s="6"/>
      <c r="AZ1347" s="6"/>
      <c r="BA1347" s="6"/>
      <c r="BB1347" s="6"/>
      <c r="BC1347" s="6"/>
      <c r="BD1347" s="6"/>
      <c r="BE1347" s="6"/>
      <c r="BF1347" s="6"/>
      <c r="BG1347" s="6"/>
      <c r="BH1347" s="6"/>
      <c r="BI1347" s="6"/>
      <c r="BJ1347" s="6"/>
      <c r="BK1347" s="6"/>
      <c r="BL1347" s="6"/>
      <c r="BM1347" s="6"/>
      <c r="BN1347" s="6"/>
      <c r="BO1347" s="6"/>
      <c r="BP1347" s="6"/>
      <c r="BQ1347" s="6"/>
    </row>
    <row r="1348" spans="2:69" hidden="1" x14ac:dyDescent="0.2">
      <c r="B1348" s="13"/>
      <c r="C1348" s="13"/>
      <c r="D1348" s="13"/>
      <c r="E1348" s="13"/>
      <c r="F1348" s="13"/>
      <c r="G1348" s="13"/>
      <c r="H1348" s="13"/>
      <c r="I1348" s="13"/>
      <c r="J1348" s="13"/>
      <c r="K1348" s="13"/>
      <c r="L1348" s="13"/>
      <c r="M1348" s="13"/>
      <c r="N1348" s="13"/>
      <c r="O1348" s="13"/>
      <c r="P1348" s="13"/>
      <c r="Q1348" s="13"/>
      <c r="R1348" s="13"/>
      <c r="S1348" s="13"/>
      <c r="T1348" s="13"/>
      <c r="U1348" s="13"/>
      <c r="V1348" s="13"/>
      <c r="W1348" s="13"/>
      <c r="X1348" s="13"/>
      <c r="Y1348" s="13"/>
      <c r="Z1348" s="13"/>
      <c r="AA1348" s="13"/>
      <c r="AB1348" s="13"/>
      <c r="AM1348" s="6"/>
      <c r="AN1348" s="6"/>
      <c r="AO1348" s="6"/>
      <c r="AP1348" s="6"/>
      <c r="AQ1348" s="6"/>
      <c r="AR1348" s="6"/>
      <c r="AS1348" s="6"/>
      <c r="AT1348" s="6"/>
      <c r="AU1348" s="6"/>
      <c r="AV1348" s="6"/>
      <c r="AW1348" s="6"/>
      <c r="AX1348" s="6"/>
      <c r="AY1348" s="6"/>
      <c r="AZ1348" s="6"/>
      <c r="BA1348" s="6"/>
      <c r="BB1348" s="6"/>
      <c r="BC1348" s="6"/>
      <c r="BD1348" s="6"/>
      <c r="BE1348" s="6"/>
      <c r="BF1348" s="6"/>
      <c r="BG1348" s="6"/>
      <c r="BH1348" s="6"/>
      <c r="BI1348" s="6"/>
      <c r="BJ1348" s="6"/>
      <c r="BK1348" s="6"/>
      <c r="BL1348" s="6"/>
      <c r="BM1348" s="6"/>
      <c r="BN1348" s="6"/>
      <c r="BO1348" s="6"/>
      <c r="BP1348" s="6"/>
      <c r="BQ1348" s="6"/>
    </row>
    <row r="1349" spans="2:69" hidden="1" x14ac:dyDescent="0.2">
      <c r="B1349" s="13"/>
      <c r="C1349" s="13"/>
      <c r="D1349" s="13"/>
      <c r="E1349" s="13"/>
      <c r="F1349" s="13"/>
      <c r="G1349" s="13"/>
      <c r="H1349" s="13"/>
      <c r="I1349" s="13"/>
      <c r="J1349" s="13"/>
      <c r="K1349" s="13"/>
      <c r="L1349" s="13"/>
      <c r="M1349" s="13"/>
      <c r="N1349" s="13"/>
      <c r="O1349" s="13"/>
      <c r="P1349" s="13"/>
      <c r="Q1349" s="13"/>
      <c r="R1349" s="13"/>
      <c r="S1349" s="13"/>
      <c r="T1349" s="13"/>
      <c r="U1349" s="13"/>
      <c r="V1349" s="13"/>
      <c r="W1349" s="13"/>
      <c r="X1349" s="13"/>
      <c r="Y1349" s="13"/>
      <c r="Z1349" s="13"/>
      <c r="AA1349" s="13"/>
      <c r="AB1349" s="13"/>
      <c r="AM1349" s="6"/>
      <c r="AN1349" s="6"/>
      <c r="AO1349" s="6"/>
      <c r="AP1349" s="6"/>
      <c r="AQ1349" s="6"/>
      <c r="AR1349" s="6"/>
      <c r="AS1349" s="6"/>
      <c r="AT1349" s="6"/>
      <c r="AU1349" s="6"/>
      <c r="AV1349" s="6"/>
      <c r="AW1349" s="6"/>
      <c r="AX1349" s="6"/>
      <c r="AY1349" s="6"/>
      <c r="AZ1349" s="6"/>
      <c r="BA1349" s="6"/>
      <c r="BB1349" s="6"/>
      <c r="BC1349" s="6"/>
      <c r="BD1349" s="6"/>
      <c r="BE1349" s="6"/>
      <c r="BF1349" s="6"/>
      <c r="BG1349" s="6"/>
      <c r="BH1349" s="6"/>
      <c r="BI1349" s="6"/>
      <c r="BJ1349" s="6"/>
      <c r="BK1349" s="6"/>
      <c r="BL1349" s="6"/>
      <c r="BM1349" s="6"/>
      <c r="BN1349" s="6"/>
      <c r="BO1349" s="6"/>
      <c r="BP1349" s="6"/>
      <c r="BQ1349" s="6"/>
    </row>
    <row r="1350" spans="2:69" hidden="1" x14ac:dyDescent="0.2">
      <c r="B1350" s="13"/>
      <c r="C1350" s="13"/>
      <c r="D1350" s="13"/>
      <c r="E1350" s="13"/>
      <c r="F1350" s="13"/>
      <c r="G1350" s="13"/>
      <c r="H1350" s="13"/>
      <c r="I1350" s="13"/>
      <c r="J1350" s="13"/>
      <c r="K1350" s="13"/>
      <c r="L1350" s="13"/>
      <c r="M1350" s="13"/>
      <c r="N1350" s="13"/>
      <c r="O1350" s="13"/>
      <c r="P1350" s="13"/>
      <c r="Q1350" s="13"/>
      <c r="R1350" s="13"/>
      <c r="S1350" s="13"/>
      <c r="T1350" s="13"/>
      <c r="U1350" s="13"/>
      <c r="V1350" s="13"/>
      <c r="W1350" s="13"/>
      <c r="X1350" s="13"/>
      <c r="Y1350" s="13"/>
      <c r="Z1350" s="13"/>
      <c r="AA1350" s="13"/>
      <c r="AB1350" s="13"/>
      <c r="AM1350" s="6"/>
      <c r="AN1350" s="6"/>
      <c r="AO1350" s="6"/>
      <c r="AP1350" s="6"/>
      <c r="AQ1350" s="6"/>
      <c r="AR1350" s="6"/>
      <c r="AS1350" s="6"/>
      <c r="AT1350" s="6"/>
      <c r="AU1350" s="6"/>
      <c r="AV1350" s="6"/>
      <c r="AW1350" s="6"/>
      <c r="AX1350" s="6"/>
      <c r="AY1350" s="6"/>
      <c r="AZ1350" s="6"/>
      <c r="BA1350" s="6"/>
      <c r="BB1350" s="6"/>
      <c r="BC1350" s="6"/>
      <c r="BD1350" s="6"/>
      <c r="BE1350" s="6"/>
      <c r="BF1350" s="6"/>
      <c r="BG1350" s="6"/>
      <c r="BH1350" s="6"/>
      <c r="BI1350" s="6"/>
      <c r="BJ1350" s="6"/>
      <c r="BK1350" s="6"/>
      <c r="BL1350" s="6"/>
      <c r="BM1350" s="6"/>
      <c r="BN1350" s="6"/>
      <c r="BO1350" s="6"/>
      <c r="BP1350" s="6"/>
      <c r="BQ1350" s="6"/>
    </row>
    <row r="1351" spans="2:69" hidden="1" x14ac:dyDescent="0.2">
      <c r="B1351" s="13"/>
      <c r="C1351" s="13"/>
      <c r="D1351" s="13"/>
      <c r="E1351" s="13"/>
      <c r="F1351" s="13"/>
      <c r="G1351" s="13"/>
      <c r="H1351" s="13"/>
      <c r="I1351" s="13"/>
      <c r="J1351" s="13"/>
      <c r="K1351" s="13"/>
      <c r="L1351" s="13"/>
      <c r="M1351" s="13"/>
      <c r="N1351" s="13"/>
      <c r="O1351" s="13"/>
      <c r="P1351" s="13"/>
      <c r="Q1351" s="13"/>
      <c r="R1351" s="13"/>
      <c r="S1351" s="13"/>
      <c r="T1351" s="13"/>
      <c r="U1351" s="13"/>
      <c r="V1351" s="13"/>
      <c r="W1351" s="13"/>
      <c r="X1351" s="13"/>
      <c r="Y1351" s="13"/>
      <c r="Z1351" s="13"/>
      <c r="AA1351" s="13"/>
      <c r="AB1351" s="13"/>
      <c r="AM1351" s="6"/>
      <c r="AN1351" s="6"/>
      <c r="AO1351" s="6"/>
      <c r="AP1351" s="6"/>
      <c r="AQ1351" s="6"/>
      <c r="AR1351" s="6"/>
      <c r="AS1351" s="6"/>
      <c r="AT1351" s="6"/>
      <c r="AU1351" s="6"/>
      <c r="AV1351" s="6"/>
      <c r="AW1351" s="6"/>
      <c r="AX1351" s="6"/>
      <c r="AY1351" s="6"/>
      <c r="AZ1351" s="6"/>
      <c r="BA1351" s="6"/>
      <c r="BB1351" s="6"/>
      <c r="BC1351" s="6"/>
      <c r="BD1351" s="6"/>
      <c r="BE1351" s="6"/>
      <c r="BF1351" s="6"/>
      <c r="BG1351" s="6"/>
      <c r="BH1351" s="6"/>
      <c r="BI1351" s="6"/>
      <c r="BJ1351" s="6"/>
      <c r="BK1351" s="6"/>
      <c r="BL1351" s="6"/>
      <c r="BM1351" s="6"/>
      <c r="BN1351" s="6"/>
      <c r="BO1351" s="6"/>
      <c r="BP1351" s="6"/>
      <c r="BQ1351" s="6"/>
    </row>
    <row r="1352" spans="2:69" hidden="1" x14ac:dyDescent="0.2">
      <c r="B1352" s="13"/>
      <c r="C1352" s="13"/>
      <c r="D1352" s="13"/>
      <c r="E1352" s="13"/>
      <c r="F1352" s="13"/>
      <c r="G1352" s="13"/>
      <c r="H1352" s="13"/>
      <c r="I1352" s="13"/>
      <c r="J1352" s="13"/>
      <c r="K1352" s="13"/>
      <c r="L1352" s="13"/>
      <c r="M1352" s="13"/>
      <c r="N1352" s="13"/>
      <c r="O1352" s="13"/>
      <c r="P1352" s="13"/>
      <c r="Q1352" s="13"/>
      <c r="R1352" s="13"/>
      <c r="S1352" s="13"/>
      <c r="T1352" s="13"/>
      <c r="U1352" s="13"/>
      <c r="V1352" s="13"/>
      <c r="W1352" s="13"/>
      <c r="X1352" s="13"/>
      <c r="Y1352" s="13"/>
      <c r="Z1352" s="13"/>
      <c r="AA1352" s="13"/>
      <c r="AB1352" s="13"/>
      <c r="AM1352" s="6"/>
      <c r="AN1352" s="6"/>
      <c r="AO1352" s="6"/>
      <c r="AP1352" s="6"/>
      <c r="AQ1352" s="6"/>
      <c r="AR1352" s="6"/>
      <c r="AS1352" s="6"/>
      <c r="AT1352" s="6"/>
      <c r="AU1352" s="6"/>
      <c r="AV1352" s="6"/>
      <c r="AW1352" s="6"/>
      <c r="AX1352" s="6"/>
      <c r="AY1352" s="6"/>
      <c r="AZ1352" s="6"/>
      <c r="BA1352" s="6"/>
      <c r="BB1352" s="6"/>
      <c r="BC1352" s="6"/>
      <c r="BD1352" s="6"/>
      <c r="BE1352" s="6"/>
      <c r="BF1352" s="6"/>
      <c r="BG1352" s="6"/>
      <c r="BH1352" s="6"/>
      <c r="BI1352" s="6"/>
      <c r="BJ1352" s="6"/>
      <c r="BK1352" s="6"/>
      <c r="BL1352" s="6"/>
      <c r="BM1352" s="6"/>
      <c r="BN1352" s="6"/>
      <c r="BO1352" s="6"/>
      <c r="BP1352" s="6"/>
      <c r="BQ1352" s="6"/>
    </row>
    <row r="1353" spans="2:69" hidden="1" x14ac:dyDescent="0.2">
      <c r="B1353" s="13"/>
      <c r="C1353" s="13"/>
      <c r="D1353" s="13"/>
      <c r="E1353" s="13"/>
      <c r="F1353" s="13"/>
      <c r="G1353" s="13"/>
      <c r="H1353" s="13"/>
      <c r="I1353" s="13"/>
      <c r="J1353" s="13"/>
      <c r="K1353" s="13"/>
      <c r="L1353" s="13"/>
      <c r="M1353" s="13"/>
      <c r="N1353" s="13"/>
      <c r="O1353" s="13"/>
      <c r="P1353" s="13"/>
      <c r="Q1353" s="13"/>
      <c r="R1353" s="13"/>
      <c r="S1353" s="13"/>
      <c r="T1353" s="13"/>
      <c r="U1353" s="13"/>
      <c r="V1353" s="13"/>
      <c r="W1353" s="13"/>
      <c r="X1353" s="13"/>
      <c r="Y1353" s="13"/>
      <c r="Z1353" s="13"/>
      <c r="AA1353" s="13"/>
      <c r="AB1353" s="13"/>
      <c r="AM1353" s="6"/>
      <c r="AN1353" s="6"/>
      <c r="AO1353" s="6"/>
      <c r="AP1353" s="6"/>
      <c r="AQ1353" s="6"/>
      <c r="AR1353" s="6"/>
      <c r="AS1353" s="6"/>
      <c r="AT1353" s="6"/>
      <c r="AU1353" s="6"/>
      <c r="AV1353" s="6"/>
      <c r="AW1353" s="6"/>
      <c r="AX1353" s="6"/>
      <c r="AY1353" s="6"/>
      <c r="AZ1353" s="6"/>
      <c r="BA1353" s="6"/>
      <c r="BB1353" s="6"/>
      <c r="BC1353" s="6"/>
      <c r="BD1353" s="6"/>
      <c r="BE1353" s="6"/>
      <c r="BF1353" s="6"/>
      <c r="BG1353" s="6"/>
      <c r="BH1353" s="6"/>
      <c r="BI1353" s="6"/>
      <c r="BJ1353" s="6"/>
      <c r="BK1353" s="6"/>
      <c r="BL1353" s="6"/>
      <c r="BM1353" s="6"/>
      <c r="BN1353" s="6"/>
      <c r="BO1353" s="6"/>
      <c r="BP1353" s="6"/>
      <c r="BQ1353" s="6"/>
    </row>
    <row r="1354" spans="2:69" hidden="1" x14ac:dyDescent="0.2">
      <c r="B1354" s="13"/>
      <c r="C1354" s="13"/>
      <c r="D1354" s="13"/>
      <c r="E1354" s="13"/>
      <c r="F1354" s="13"/>
      <c r="G1354" s="13"/>
      <c r="H1354" s="13"/>
      <c r="I1354" s="13"/>
      <c r="J1354" s="13"/>
      <c r="K1354" s="13"/>
      <c r="L1354" s="13"/>
      <c r="M1354" s="13"/>
      <c r="N1354" s="13"/>
      <c r="O1354" s="13"/>
      <c r="P1354" s="13"/>
      <c r="Q1354" s="13"/>
      <c r="R1354" s="13"/>
      <c r="S1354" s="13"/>
      <c r="T1354" s="13"/>
      <c r="U1354" s="13"/>
      <c r="V1354" s="13"/>
      <c r="W1354" s="13"/>
      <c r="X1354" s="13"/>
      <c r="Y1354" s="13"/>
      <c r="Z1354" s="13"/>
      <c r="AA1354" s="13"/>
      <c r="AB1354" s="13"/>
      <c r="AM1354" s="6"/>
      <c r="AN1354" s="6"/>
      <c r="AO1354" s="6"/>
      <c r="AP1354" s="6"/>
      <c r="AQ1354" s="6"/>
      <c r="AR1354" s="6"/>
      <c r="AS1354" s="6"/>
      <c r="AT1354" s="6"/>
      <c r="AU1354" s="6"/>
      <c r="AV1354" s="6"/>
      <c r="AW1354" s="6"/>
      <c r="AX1354" s="6"/>
      <c r="AY1354" s="6"/>
      <c r="AZ1354" s="6"/>
      <c r="BA1354" s="6"/>
      <c r="BB1354" s="6"/>
      <c r="BC1354" s="6"/>
      <c r="BD1354" s="6"/>
      <c r="BE1354" s="6"/>
      <c r="BF1354" s="6"/>
      <c r="BG1354" s="6"/>
      <c r="BH1354" s="6"/>
      <c r="BI1354" s="6"/>
      <c r="BJ1354" s="6"/>
      <c r="BK1354" s="6"/>
      <c r="BL1354" s="6"/>
      <c r="BM1354" s="6"/>
      <c r="BN1354" s="6"/>
      <c r="BO1354" s="6"/>
      <c r="BP1354" s="6"/>
      <c r="BQ1354" s="6"/>
    </row>
    <row r="1355" spans="2:69" hidden="1" x14ac:dyDescent="0.2">
      <c r="B1355" s="13"/>
      <c r="C1355" s="13"/>
      <c r="D1355" s="13"/>
      <c r="E1355" s="13"/>
      <c r="F1355" s="13"/>
      <c r="G1355" s="13"/>
      <c r="H1355" s="13"/>
      <c r="I1355" s="13"/>
      <c r="J1355" s="13"/>
      <c r="K1355" s="13"/>
      <c r="L1355" s="13"/>
      <c r="M1355" s="13"/>
      <c r="N1355" s="13"/>
      <c r="O1355" s="13"/>
      <c r="P1355" s="13"/>
      <c r="Q1355" s="13"/>
      <c r="R1355" s="13"/>
      <c r="S1355" s="13"/>
      <c r="T1355" s="13"/>
      <c r="U1355" s="13"/>
      <c r="V1355" s="13"/>
      <c r="W1355" s="13"/>
      <c r="X1355" s="13"/>
      <c r="Y1355" s="13"/>
      <c r="Z1355" s="13"/>
      <c r="AA1355" s="13"/>
      <c r="AB1355" s="13"/>
      <c r="AM1355" s="6"/>
      <c r="AN1355" s="6"/>
      <c r="AO1355" s="6"/>
      <c r="AP1355" s="6"/>
      <c r="AQ1355" s="6"/>
      <c r="AR1355" s="6"/>
      <c r="AS1355" s="6"/>
      <c r="AT1355" s="6"/>
      <c r="AU1355" s="6"/>
      <c r="AV1355" s="6"/>
      <c r="AW1355" s="6"/>
      <c r="AX1355" s="6"/>
      <c r="AY1355" s="6"/>
      <c r="AZ1355" s="6"/>
      <c r="BA1355" s="6"/>
      <c r="BB1355" s="6"/>
      <c r="BC1355" s="6"/>
      <c r="BD1355" s="6"/>
      <c r="BE1355" s="6"/>
      <c r="BF1355" s="6"/>
      <c r="BG1355" s="6"/>
      <c r="BH1355" s="6"/>
      <c r="BI1355" s="6"/>
      <c r="BJ1355" s="6"/>
      <c r="BK1355" s="6"/>
      <c r="BL1355" s="6"/>
      <c r="BM1355" s="6"/>
      <c r="BN1355" s="6"/>
      <c r="BO1355" s="6"/>
      <c r="BP1355" s="6"/>
      <c r="BQ1355" s="6"/>
    </row>
    <row r="1356" spans="2:69" hidden="1" x14ac:dyDescent="0.2">
      <c r="B1356" s="13"/>
      <c r="C1356" s="13"/>
      <c r="D1356" s="13"/>
      <c r="E1356" s="13"/>
      <c r="F1356" s="13"/>
      <c r="G1356" s="13"/>
      <c r="H1356" s="13"/>
      <c r="I1356" s="13"/>
      <c r="J1356" s="13"/>
      <c r="K1356" s="13"/>
      <c r="L1356" s="13"/>
      <c r="M1356" s="13"/>
      <c r="N1356" s="13"/>
      <c r="O1356" s="13"/>
      <c r="P1356" s="13"/>
      <c r="Q1356" s="13"/>
      <c r="R1356" s="13"/>
      <c r="S1356" s="13"/>
      <c r="T1356" s="13"/>
      <c r="U1356" s="13"/>
      <c r="V1356" s="13"/>
      <c r="W1356" s="13"/>
      <c r="X1356" s="13"/>
      <c r="Y1356" s="13"/>
      <c r="Z1356" s="13"/>
      <c r="AA1356" s="13"/>
      <c r="AB1356" s="13"/>
      <c r="AM1356" s="6"/>
      <c r="AN1356" s="6"/>
      <c r="AO1356" s="6"/>
      <c r="AP1356" s="6"/>
      <c r="AQ1356" s="6"/>
      <c r="AR1356" s="6"/>
      <c r="AS1356" s="6"/>
      <c r="AT1356" s="6"/>
      <c r="AU1356" s="6"/>
      <c r="AV1356" s="6"/>
      <c r="AW1356" s="6"/>
      <c r="AX1356" s="6"/>
      <c r="AY1356" s="6"/>
      <c r="AZ1356" s="6"/>
      <c r="BA1356" s="6"/>
      <c r="BB1356" s="6"/>
      <c r="BC1356" s="6"/>
      <c r="BD1356" s="6"/>
      <c r="BE1356" s="6"/>
      <c r="BF1356" s="6"/>
      <c r="BG1356" s="6"/>
      <c r="BH1356" s="6"/>
      <c r="BI1356" s="6"/>
      <c r="BJ1356" s="6"/>
      <c r="BK1356" s="6"/>
      <c r="BL1356" s="6"/>
      <c r="BM1356" s="6"/>
      <c r="BN1356" s="6"/>
      <c r="BO1356" s="6"/>
      <c r="BP1356" s="6"/>
      <c r="BQ1356" s="6"/>
    </row>
    <row r="1357" spans="2:69" hidden="1" x14ac:dyDescent="0.2">
      <c r="B1357" s="13"/>
      <c r="C1357" s="13"/>
      <c r="D1357" s="13"/>
      <c r="E1357" s="13"/>
      <c r="F1357" s="13"/>
      <c r="G1357" s="13"/>
      <c r="H1357" s="13"/>
      <c r="I1357" s="13"/>
      <c r="J1357" s="13"/>
      <c r="K1357" s="13"/>
      <c r="L1357" s="13"/>
      <c r="M1357" s="13"/>
      <c r="N1357" s="13"/>
      <c r="O1357" s="13"/>
      <c r="P1357" s="13"/>
      <c r="Q1357" s="13"/>
      <c r="R1357" s="13"/>
      <c r="S1357" s="13"/>
      <c r="T1357" s="13"/>
      <c r="U1357" s="13"/>
      <c r="V1357" s="13"/>
      <c r="W1357" s="13"/>
      <c r="X1357" s="13"/>
      <c r="Y1357" s="13"/>
      <c r="Z1357" s="13"/>
      <c r="AA1357" s="13"/>
      <c r="AB1357" s="13"/>
      <c r="AM1357" s="6"/>
      <c r="AN1357" s="6"/>
      <c r="AO1357" s="6"/>
      <c r="AP1357" s="6"/>
      <c r="AQ1357" s="6"/>
      <c r="AR1357" s="6"/>
      <c r="AS1357" s="6"/>
      <c r="AT1357" s="6"/>
      <c r="AU1357" s="6"/>
      <c r="AV1357" s="6"/>
      <c r="AW1357" s="6"/>
      <c r="AX1357" s="6"/>
      <c r="AY1357" s="6"/>
      <c r="AZ1357" s="6"/>
      <c r="BA1357" s="6"/>
      <c r="BB1357" s="6"/>
      <c r="BC1357" s="6"/>
      <c r="BD1357" s="6"/>
      <c r="BE1357" s="6"/>
      <c r="BF1357" s="6"/>
      <c r="BG1357" s="6"/>
      <c r="BH1357" s="6"/>
      <c r="BI1357" s="6"/>
      <c r="BJ1357" s="6"/>
      <c r="BK1357" s="6"/>
      <c r="BL1357" s="6"/>
      <c r="BM1357" s="6"/>
      <c r="BN1357" s="6"/>
      <c r="BO1357" s="6"/>
      <c r="BP1357" s="6"/>
      <c r="BQ1357" s="6"/>
    </row>
    <row r="1358" spans="2:69" hidden="1" x14ac:dyDescent="0.2">
      <c r="B1358" s="13"/>
      <c r="C1358" s="13"/>
      <c r="D1358" s="13"/>
      <c r="E1358" s="13"/>
      <c r="F1358" s="13"/>
      <c r="G1358" s="13"/>
      <c r="H1358" s="13"/>
      <c r="I1358" s="13"/>
      <c r="J1358" s="13"/>
      <c r="K1358" s="13"/>
      <c r="L1358" s="13"/>
      <c r="M1358" s="13"/>
      <c r="N1358" s="13"/>
      <c r="O1358" s="13"/>
      <c r="P1358" s="13"/>
      <c r="Q1358" s="13"/>
      <c r="R1358" s="13"/>
      <c r="S1358" s="13"/>
      <c r="T1358" s="13"/>
      <c r="U1358" s="13"/>
      <c r="V1358" s="13"/>
      <c r="W1358" s="13"/>
      <c r="X1358" s="13"/>
      <c r="Y1358" s="13"/>
      <c r="Z1358" s="13"/>
      <c r="AA1358" s="13"/>
      <c r="AB1358" s="13"/>
      <c r="AM1358" s="6"/>
      <c r="AN1358" s="6"/>
      <c r="AO1358" s="6"/>
      <c r="AP1358" s="6"/>
      <c r="AQ1358" s="6"/>
      <c r="AR1358" s="6"/>
      <c r="AS1358" s="6"/>
      <c r="AT1358" s="6"/>
      <c r="AU1358" s="6"/>
      <c r="AV1358" s="6"/>
      <c r="AW1358" s="6"/>
      <c r="AX1358" s="6"/>
      <c r="AY1358" s="6"/>
      <c r="AZ1358" s="6"/>
      <c r="BA1358" s="6"/>
      <c r="BB1358" s="6"/>
      <c r="BC1358" s="6"/>
      <c r="BD1358" s="6"/>
      <c r="BE1358" s="6"/>
      <c r="BF1358" s="6"/>
      <c r="BG1358" s="6"/>
      <c r="BH1358" s="6"/>
      <c r="BI1358" s="6"/>
      <c r="BJ1358" s="6"/>
      <c r="BK1358" s="6"/>
      <c r="BL1358" s="6"/>
      <c r="BM1358" s="6"/>
      <c r="BN1358" s="6"/>
      <c r="BO1358" s="6"/>
      <c r="BP1358" s="6"/>
      <c r="BQ1358" s="6"/>
    </row>
    <row r="1359" spans="2:69" hidden="1" x14ac:dyDescent="0.2">
      <c r="B1359" s="13"/>
      <c r="C1359" s="13"/>
      <c r="D1359" s="13"/>
      <c r="E1359" s="13"/>
      <c r="F1359" s="13"/>
      <c r="G1359" s="13"/>
      <c r="H1359" s="13"/>
      <c r="I1359" s="13"/>
      <c r="J1359" s="13"/>
      <c r="K1359" s="13"/>
      <c r="L1359" s="13"/>
      <c r="M1359" s="13"/>
      <c r="N1359" s="13"/>
      <c r="O1359" s="13"/>
      <c r="P1359" s="13"/>
      <c r="Q1359" s="13"/>
      <c r="R1359" s="13"/>
      <c r="S1359" s="13"/>
      <c r="T1359" s="13"/>
      <c r="U1359" s="13"/>
      <c r="V1359" s="13"/>
      <c r="W1359" s="13"/>
      <c r="X1359" s="13"/>
      <c r="Y1359" s="13"/>
      <c r="Z1359" s="13"/>
      <c r="AA1359" s="13"/>
      <c r="AB1359" s="13"/>
      <c r="AM1359" s="6"/>
      <c r="AN1359" s="6"/>
      <c r="AO1359" s="6"/>
      <c r="AP1359" s="6"/>
      <c r="AQ1359" s="6"/>
      <c r="AR1359" s="6"/>
      <c r="AS1359" s="6"/>
      <c r="AT1359" s="6"/>
      <c r="AU1359" s="6"/>
      <c r="AV1359" s="6"/>
      <c r="AW1359" s="6"/>
      <c r="AX1359" s="6"/>
      <c r="AY1359" s="6"/>
      <c r="AZ1359" s="6"/>
      <c r="BA1359" s="6"/>
      <c r="BB1359" s="6"/>
      <c r="BC1359" s="6"/>
      <c r="BD1359" s="6"/>
      <c r="BE1359" s="6"/>
      <c r="BF1359" s="6"/>
      <c r="BG1359" s="6"/>
      <c r="BH1359" s="6"/>
      <c r="BI1359" s="6"/>
      <c r="BJ1359" s="6"/>
      <c r="BK1359" s="6"/>
      <c r="BL1359" s="6"/>
      <c r="BM1359" s="6"/>
      <c r="BN1359" s="6"/>
      <c r="BO1359" s="6"/>
      <c r="BP1359" s="6"/>
      <c r="BQ1359" s="6"/>
    </row>
    <row r="1360" spans="2:69" hidden="1" x14ac:dyDescent="0.2">
      <c r="B1360" s="13"/>
      <c r="C1360" s="13"/>
      <c r="D1360" s="13"/>
      <c r="E1360" s="13"/>
      <c r="F1360" s="13"/>
      <c r="G1360" s="13"/>
      <c r="H1360" s="13"/>
      <c r="I1360" s="13"/>
      <c r="J1360" s="13"/>
      <c r="K1360" s="13"/>
      <c r="L1360" s="13"/>
      <c r="M1360" s="13"/>
      <c r="N1360" s="13"/>
      <c r="O1360" s="13"/>
      <c r="P1360" s="13"/>
      <c r="Q1360" s="13"/>
      <c r="R1360" s="13"/>
      <c r="S1360" s="13"/>
      <c r="T1360" s="13"/>
      <c r="U1360" s="13"/>
      <c r="V1360" s="13"/>
      <c r="W1360" s="13"/>
      <c r="X1360" s="13"/>
      <c r="Y1360" s="13"/>
      <c r="Z1360" s="13"/>
      <c r="AA1360" s="13"/>
      <c r="AB1360" s="13"/>
      <c r="AM1360" s="6"/>
      <c r="AN1360" s="6"/>
      <c r="AO1360" s="6"/>
      <c r="AP1360" s="6"/>
      <c r="AQ1360" s="6"/>
      <c r="AR1360" s="6"/>
      <c r="AS1360" s="6"/>
      <c r="AT1360" s="6"/>
      <c r="AU1360" s="6"/>
      <c r="AV1360" s="6"/>
      <c r="AW1360" s="6"/>
      <c r="AX1360" s="6"/>
      <c r="AY1360" s="6"/>
      <c r="AZ1360" s="6"/>
      <c r="BA1360" s="6"/>
      <c r="BB1360" s="6"/>
      <c r="BC1360" s="6"/>
      <c r="BD1360" s="6"/>
      <c r="BE1360" s="6"/>
      <c r="BF1360" s="6"/>
      <c r="BG1360" s="6"/>
      <c r="BH1360" s="6"/>
      <c r="BI1360" s="6"/>
      <c r="BJ1360" s="6"/>
      <c r="BK1360" s="6"/>
      <c r="BL1360" s="6"/>
      <c r="BM1360" s="6"/>
      <c r="BN1360" s="6"/>
      <c r="BO1360" s="6"/>
      <c r="BP1360" s="6"/>
      <c r="BQ1360" s="6"/>
    </row>
    <row r="1361" spans="2:69" hidden="1" x14ac:dyDescent="0.2">
      <c r="B1361" s="13"/>
      <c r="C1361" s="13"/>
      <c r="D1361" s="13"/>
      <c r="E1361" s="13"/>
      <c r="F1361" s="13"/>
      <c r="G1361" s="13"/>
      <c r="H1361" s="13"/>
      <c r="I1361" s="13"/>
      <c r="J1361" s="13"/>
      <c r="K1361" s="13"/>
      <c r="L1361" s="13"/>
      <c r="M1361" s="13"/>
      <c r="N1361" s="13"/>
      <c r="O1361" s="13"/>
      <c r="P1361" s="13"/>
      <c r="Q1361" s="13"/>
      <c r="R1361" s="13"/>
      <c r="S1361" s="13"/>
      <c r="T1361" s="13"/>
      <c r="U1361" s="13"/>
      <c r="V1361" s="13"/>
      <c r="W1361" s="13"/>
      <c r="X1361" s="13"/>
      <c r="Y1361" s="13"/>
      <c r="Z1361" s="13"/>
      <c r="AA1361" s="13"/>
      <c r="AB1361" s="13"/>
      <c r="AM1361" s="6"/>
      <c r="AN1361" s="6"/>
      <c r="AO1361" s="6"/>
      <c r="AP1361" s="6"/>
      <c r="AQ1361" s="6"/>
      <c r="AR1361" s="6"/>
      <c r="AS1361" s="6"/>
      <c r="AT1361" s="6"/>
      <c r="AU1361" s="6"/>
      <c r="AV1361" s="6"/>
      <c r="AW1361" s="6"/>
      <c r="AX1361" s="6"/>
      <c r="AY1361" s="6"/>
      <c r="AZ1361" s="6"/>
      <c r="BA1361" s="6"/>
      <c r="BB1361" s="6"/>
      <c r="BC1361" s="6"/>
      <c r="BD1361" s="6"/>
      <c r="BE1361" s="6"/>
      <c r="BF1361" s="6"/>
      <c r="BG1361" s="6"/>
      <c r="BH1361" s="6"/>
      <c r="BI1361" s="6"/>
      <c r="BJ1361" s="6"/>
      <c r="BK1361" s="6"/>
      <c r="BL1361" s="6"/>
      <c r="BM1361" s="6"/>
      <c r="BN1361" s="6"/>
      <c r="BO1361" s="6"/>
      <c r="BP1361" s="6"/>
      <c r="BQ1361" s="6"/>
    </row>
    <row r="1362" spans="2:69" hidden="1" x14ac:dyDescent="0.2">
      <c r="B1362" s="13"/>
      <c r="C1362" s="13"/>
      <c r="D1362" s="13"/>
      <c r="E1362" s="13"/>
      <c r="F1362" s="13"/>
      <c r="G1362" s="13"/>
      <c r="H1362" s="13"/>
      <c r="I1362" s="13"/>
      <c r="J1362" s="13"/>
      <c r="K1362" s="13"/>
      <c r="L1362" s="13"/>
      <c r="M1362" s="13"/>
      <c r="N1362" s="13"/>
      <c r="O1362" s="13"/>
      <c r="P1362" s="13"/>
      <c r="Q1362" s="13"/>
      <c r="R1362" s="13"/>
      <c r="S1362" s="13"/>
      <c r="T1362" s="13"/>
      <c r="U1362" s="13"/>
      <c r="V1362" s="13"/>
      <c r="W1362" s="13"/>
      <c r="X1362" s="13"/>
      <c r="Y1362" s="13"/>
      <c r="Z1362" s="13"/>
      <c r="AA1362" s="13"/>
      <c r="AB1362" s="13"/>
      <c r="AM1362" s="6"/>
      <c r="AN1362" s="6"/>
      <c r="AO1362" s="6"/>
      <c r="AP1362" s="6"/>
      <c r="AQ1362" s="6"/>
      <c r="AR1362" s="6"/>
      <c r="AS1362" s="6"/>
      <c r="AT1362" s="6"/>
      <c r="AU1362" s="6"/>
      <c r="AV1362" s="6"/>
      <c r="AW1362" s="6"/>
      <c r="AX1362" s="6"/>
      <c r="AY1362" s="6"/>
      <c r="AZ1362" s="6"/>
      <c r="BA1362" s="6"/>
      <c r="BB1362" s="6"/>
      <c r="BC1362" s="6"/>
      <c r="BD1362" s="6"/>
      <c r="BE1362" s="6"/>
      <c r="BF1362" s="6"/>
      <c r="BG1362" s="6"/>
      <c r="BH1362" s="6"/>
      <c r="BI1362" s="6"/>
      <c r="BJ1362" s="6"/>
      <c r="BK1362" s="6"/>
      <c r="BL1362" s="6"/>
      <c r="BM1362" s="6"/>
      <c r="BN1362" s="6"/>
      <c r="BO1362" s="6"/>
      <c r="BP1362" s="6"/>
      <c r="BQ1362" s="6"/>
    </row>
    <row r="1363" spans="2:69" hidden="1" x14ac:dyDescent="0.2">
      <c r="B1363" s="13"/>
      <c r="C1363" s="13"/>
      <c r="D1363" s="13"/>
      <c r="E1363" s="13"/>
      <c r="F1363" s="13"/>
      <c r="G1363" s="13"/>
      <c r="H1363" s="13"/>
      <c r="I1363" s="13"/>
      <c r="J1363" s="13"/>
      <c r="K1363" s="13"/>
      <c r="L1363" s="13"/>
      <c r="M1363" s="13"/>
      <c r="N1363" s="13"/>
      <c r="O1363" s="13"/>
      <c r="P1363" s="13"/>
      <c r="Q1363" s="13"/>
      <c r="R1363" s="13"/>
      <c r="S1363" s="13"/>
      <c r="T1363" s="13"/>
      <c r="U1363" s="13"/>
      <c r="V1363" s="13"/>
      <c r="W1363" s="13"/>
      <c r="X1363" s="13"/>
      <c r="Y1363" s="13"/>
      <c r="Z1363" s="13"/>
      <c r="AA1363" s="13"/>
      <c r="AB1363" s="13"/>
      <c r="AM1363" s="6"/>
      <c r="AN1363" s="6"/>
      <c r="AO1363" s="6"/>
      <c r="AP1363" s="6"/>
      <c r="AQ1363" s="6"/>
      <c r="AR1363" s="6"/>
      <c r="AS1363" s="6"/>
      <c r="AT1363" s="6"/>
      <c r="AU1363" s="6"/>
      <c r="AV1363" s="6"/>
      <c r="AW1363" s="6"/>
      <c r="AX1363" s="6"/>
      <c r="AY1363" s="6"/>
      <c r="AZ1363" s="6"/>
      <c r="BA1363" s="6"/>
      <c r="BB1363" s="6"/>
      <c r="BC1363" s="6"/>
      <c r="BD1363" s="6"/>
      <c r="BE1363" s="6"/>
      <c r="BF1363" s="6"/>
      <c r="BG1363" s="6"/>
      <c r="BH1363" s="6"/>
      <c r="BI1363" s="6"/>
      <c r="BJ1363" s="6"/>
      <c r="BK1363" s="6"/>
      <c r="BL1363" s="6"/>
      <c r="BM1363" s="6"/>
      <c r="BN1363" s="6"/>
      <c r="BO1363" s="6"/>
      <c r="BP1363" s="6"/>
      <c r="BQ1363" s="6"/>
    </row>
    <row r="1364" spans="2:69" hidden="1" x14ac:dyDescent="0.2">
      <c r="B1364" s="13"/>
      <c r="C1364" s="13"/>
      <c r="D1364" s="13"/>
      <c r="E1364" s="13"/>
      <c r="F1364" s="13"/>
      <c r="G1364" s="13"/>
      <c r="H1364" s="13"/>
      <c r="I1364" s="13"/>
      <c r="J1364" s="13"/>
      <c r="K1364" s="13"/>
      <c r="L1364" s="13"/>
      <c r="M1364" s="13"/>
      <c r="N1364" s="13"/>
      <c r="O1364" s="13"/>
      <c r="P1364" s="13"/>
      <c r="Q1364" s="13"/>
      <c r="R1364" s="13"/>
      <c r="S1364" s="13"/>
      <c r="T1364" s="13"/>
      <c r="U1364" s="13"/>
      <c r="V1364" s="13"/>
      <c r="W1364" s="13"/>
      <c r="X1364" s="13"/>
      <c r="Y1364" s="13"/>
      <c r="Z1364" s="13"/>
      <c r="AA1364" s="13"/>
      <c r="AB1364" s="13"/>
      <c r="AM1364" s="6"/>
      <c r="AN1364" s="6"/>
      <c r="AO1364" s="6"/>
      <c r="AP1364" s="6"/>
      <c r="AQ1364" s="6"/>
      <c r="AR1364" s="6"/>
      <c r="AS1364" s="6"/>
      <c r="AT1364" s="6"/>
      <c r="AU1364" s="6"/>
      <c r="AV1364" s="6"/>
      <c r="AW1364" s="6"/>
      <c r="AX1364" s="6"/>
      <c r="AY1364" s="6"/>
      <c r="AZ1364" s="6"/>
      <c r="BA1364" s="6"/>
      <c r="BB1364" s="6"/>
      <c r="BC1364" s="6"/>
      <c r="BD1364" s="6"/>
      <c r="BE1364" s="6"/>
      <c r="BF1364" s="6"/>
      <c r="BG1364" s="6"/>
      <c r="BH1364" s="6"/>
      <c r="BI1364" s="6"/>
      <c r="BJ1364" s="6"/>
      <c r="BK1364" s="6"/>
      <c r="BL1364" s="6"/>
      <c r="BM1364" s="6"/>
      <c r="BN1364" s="6"/>
      <c r="BO1364" s="6"/>
      <c r="BP1364" s="6"/>
      <c r="BQ1364" s="6"/>
    </row>
    <row r="1365" spans="2:69" hidden="1" x14ac:dyDescent="0.2">
      <c r="B1365" s="13"/>
      <c r="C1365" s="13"/>
      <c r="D1365" s="13"/>
      <c r="E1365" s="13"/>
      <c r="F1365" s="13"/>
      <c r="G1365" s="13"/>
      <c r="H1365" s="13"/>
      <c r="I1365" s="13"/>
      <c r="J1365" s="13"/>
      <c r="K1365" s="13"/>
      <c r="L1365" s="13"/>
      <c r="M1365" s="13"/>
      <c r="N1365" s="13"/>
      <c r="O1365" s="13"/>
      <c r="P1365" s="13"/>
      <c r="Q1365" s="13"/>
      <c r="R1365" s="13"/>
      <c r="S1365" s="13"/>
      <c r="T1365" s="13"/>
      <c r="U1365" s="13"/>
      <c r="V1365" s="13"/>
      <c r="W1365" s="13"/>
      <c r="X1365" s="13"/>
      <c r="Y1365" s="13"/>
      <c r="Z1365" s="13"/>
      <c r="AA1365" s="13"/>
      <c r="AB1365" s="13"/>
      <c r="AM1365" s="6"/>
      <c r="AN1365" s="6"/>
      <c r="AO1365" s="6"/>
      <c r="AP1365" s="6"/>
      <c r="AQ1365" s="6"/>
      <c r="AR1365" s="6"/>
      <c r="AS1365" s="6"/>
      <c r="AT1365" s="6"/>
      <c r="AU1365" s="6"/>
      <c r="AV1365" s="6"/>
      <c r="AW1365" s="6"/>
      <c r="AX1365" s="6"/>
      <c r="AY1365" s="6"/>
      <c r="AZ1365" s="6"/>
      <c r="BA1365" s="6"/>
      <c r="BB1365" s="6"/>
      <c r="BC1365" s="6"/>
      <c r="BD1365" s="6"/>
      <c r="BE1365" s="6"/>
      <c r="BF1365" s="6"/>
      <c r="BG1365" s="6"/>
      <c r="BH1365" s="6"/>
      <c r="BI1365" s="6"/>
      <c r="BJ1365" s="6"/>
      <c r="BK1365" s="6"/>
      <c r="BL1365" s="6"/>
      <c r="BM1365" s="6"/>
      <c r="BN1365" s="6"/>
      <c r="BO1365" s="6"/>
      <c r="BP1365" s="6"/>
      <c r="BQ1365" s="6"/>
    </row>
    <row r="1366" spans="2:69" hidden="1" x14ac:dyDescent="0.2">
      <c r="B1366" s="13"/>
      <c r="C1366" s="13"/>
      <c r="D1366" s="13"/>
      <c r="E1366" s="13"/>
      <c r="F1366" s="13"/>
      <c r="G1366" s="13"/>
      <c r="H1366" s="13"/>
      <c r="I1366" s="13"/>
      <c r="J1366" s="13"/>
      <c r="K1366" s="13"/>
      <c r="L1366" s="13"/>
      <c r="M1366" s="13"/>
      <c r="N1366" s="13"/>
      <c r="O1366" s="13"/>
      <c r="P1366" s="13"/>
      <c r="Q1366" s="13"/>
      <c r="R1366" s="13"/>
      <c r="S1366" s="13"/>
      <c r="T1366" s="13"/>
      <c r="U1366" s="13"/>
      <c r="V1366" s="13"/>
      <c r="W1366" s="13"/>
      <c r="X1366" s="13"/>
      <c r="Y1366" s="13"/>
      <c r="Z1366" s="13"/>
      <c r="AA1366" s="13"/>
      <c r="AB1366" s="13"/>
      <c r="AM1366" s="6"/>
      <c r="AN1366" s="6"/>
      <c r="AO1366" s="6"/>
      <c r="AP1366" s="6"/>
      <c r="AQ1366" s="6"/>
      <c r="AR1366" s="6"/>
      <c r="AS1366" s="6"/>
      <c r="AT1366" s="6"/>
      <c r="AU1366" s="6"/>
      <c r="AV1366" s="6"/>
      <c r="AW1366" s="6"/>
      <c r="AX1366" s="6"/>
      <c r="AY1366" s="6"/>
      <c r="AZ1366" s="6"/>
      <c r="BA1366" s="6"/>
      <c r="BB1366" s="6"/>
      <c r="BC1366" s="6"/>
      <c r="BD1366" s="6"/>
      <c r="BE1366" s="6"/>
      <c r="BF1366" s="6"/>
      <c r="BG1366" s="6"/>
      <c r="BH1366" s="6"/>
      <c r="BI1366" s="6"/>
      <c r="BJ1366" s="6"/>
      <c r="BK1366" s="6"/>
      <c r="BL1366" s="6"/>
      <c r="BM1366" s="6"/>
      <c r="BN1366" s="6"/>
      <c r="BO1366" s="6"/>
      <c r="BP1366" s="6"/>
      <c r="BQ1366" s="6"/>
    </row>
    <row r="1367" spans="2:69" hidden="1" x14ac:dyDescent="0.2">
      <c r="B1367" s="13"/>
      <c r="C1367" s="13"/>
      <c r="D1367" s="13"/>
      <c r="E1367" s="13"/>
      <c r="F1367" s="13"/>
      <c r="G1367" s="13"/>
      <c r="H1367" s="13"/>
      <c r="I1367" s="13"/>
      <c r="J1367" s="13"/>
      <c r="K1367" s="13"/>
      <c r="L1367" s="13"/>
      <c r="M1367" s="13"/>
      <c r="N1367" s="13"/>
      <c r="O1367" s="13"/>
      <c r="P1367" s="13"/>
      <c r="Q1367" s="13"/>
      <c r="R1367" s="13"/>
      <c r="S1367" s="13"/>
      <c r="T1367" s="13"/>
      <c r="U1367" s="13"/>
      <c r="V1367" s="13"/>
      <c r="W1367" s="13"/>
      <c r="X1367" s="13"/>
      <c r="Y1367" s="13"/>
      <c r="Z1367" s="13"/>
      <c r="AA1367" s="13"/>
      <c r="AB1367" s="13"/>
      <c r="AM1367" s="6"/>
      <c r="AN1367" s="6"/>
      <c r="AO1367" s="6"/>
      <c r="AP1367" s="6"/>
      <c r="AQ1367" s="6"/>
      <c r="AR1367" s="6"/>
      <c r="AS1367" s="6"/>
      <c r="AT1367" s="6"/>
      <c r="AU1367" s="6"/>
      <c r="AV1367" s="6"/>
      <c r="AW1367" s="6"/>
      <c r="AX1367" s="6"/>
      <c r="AY1367" s="6"/>
      <c r="AZ1367" s="6"/>
      <c r="BA1367" s="6"/>
      <c r="BB1367" s="6"/>
      <c r="BC1367" s="6"/>
      <c r="BD1367" s="6"/>
      <c r="BE1367" s="6"/>
      <c r="BF1367" s="6"/>
      <c r="BG1367" s="6"/>
      <c r="BH1367" s="6"/>
      <c r="BI1367" s="6"/>
      <c r="BJ1367" s="6"/>
      <c r="BK1367" s="6"/>
      <c r="BL1367" s="6"/>
      <c r="BM1367" s="6"/>
      <c r="BN1367" s="6"/>
      <c r="BO1367" s="6"/>
      <c r="BP1367" s="6"/>
      <c r="BQ1367" s="6"/>
    </row>
    <row r="1368" spans="2:69" hidden="1" x14ac:dyDescent="0.2">
      <c r="B1368" s="13"/>
      <c r="C1368" s="13"/>
      <c r="D1368" s="13"/>
      <c r="E1368" s="13"/>
      <c r="F1368" s="13"/>
      <c r="G1368" s="13"/>
      <c r="H1368" s="13"/>
      <c r="I1368" s="13"/>
      <c r="J1368" s="13"/>
      <c r="K1368" s="13"/>
      <c r="L1368" s="13"/>
      <c r="M1368" s="13"/>
      <c r="N1368" s="13"/>
      <c r="O1368" s="13"/>
      <c r="P1368" s="13"/>
      <c r="Q1368" s="13"/>
      <c r="R1368" s="13"/>
      <c r="S1368" s="13"/>
      <c r="T1368" s="13"/>
      <c r="U1368" s="13"/>
      <c r="V1368" s="13"/>
      <c r="W1368" s="13"/>
      <c r="X1368" s="13"/>
      <c r="Y1368" s="13"/>
      <c r="Z1368" s="13"/>
      <c r="AA1368" s="13"/>
      <c r="AB1368" s="13"/>
      <c r="AM1368" s="6"/>
      <c r="AN1368" s="6"/>
      <c r="AO1368" s="6"/>
      <c r="AP1368" s="6"/>
      <c r="AQ1368" s="6"/>
      <c r="AR1368" s="6"/>
      <c r="AS1368" s="6"/>
      <c r="AT1368" s="6"/>
      <c r="AU1368" s="6"/>
      <c r="AV1368" s="6"/>
      <c r="AW1368" s="6"/>
      <c r="AX1368" s="6"/>
      <c r="AY1368" s="6"/>
      <c r="AZ1368" s="6"/>
      <c r="BA1368" s="6"/>
      <c r="BB1368" s="6"/>
      <c r="BC1368" s="6"/>
      <c r="BD1368" s="6"/>
      <c r="BE1368" s="6"/>
      <c r="BF1368" s="6"/>
      <c r="BG1368" s="6"/>
      <c r="BH1368" s="6"/>
      <c r="BI1368" s="6"/>
      <c r="BJ1368" s="6"/>
      <c r="BK1368" s="6"/>
      <c r="BL1368" s="6"/>
      <c r="BM1368" s="6"/>
      <c r="BN1368" s="6"/>
      <c r="BO1368" s="6"/>
      <c r="BP1368" s="6"/>
      <c r="BQ1368" s="6"/>
    </row>
    <row r="1369" spans="2:69" hidden="1" x14ac:dyDescent="0.2">
      <c r="B1369" s="13"/>
      <c r="C1369" s="13"/>
      <c r="D1369" s="13"/>
      <c r="E1369" s="13"/>
      <c r="F1369" s="13"/>
      <c r="G1369" s="13"/>
      <c r="H1369" s="13"/>
      <c r="I1369" s="13"/>
      <c r="J1369" s="13"/>
      <c r="K1369" s="13"/>
      <c r="L1369" s="13"/>
      <c r="M1369" s="13"/>
      <c r="N1369" s="13"/>
      <c r="O1369" s="13"/>
      <c r="P1369" s="13"/>
      <c r="Q1369" s="13"/>
      <c r="R1369" s="13"/>
      <c r="S1369" s="13"/>
      <c r="T1369" s="13"/>
      <c r="U1369" s="13"/>
      <c r="V1369" s="13"/>
      <c r="W1369" s="13"/>
      <c r="X1369" s="13"/>
      <c r="Y1369" s="13"/>
      <c r="Z1369" s="13"/>
      <c r="AA1369" s="13"/>
      <c r="AB1369" s="13"/>
      <c r="AM1369" s="6"/>
      <c r="AN1369" s="6"/>
      <c r="AO1369" s="6"/>
      <c r="AP1369" s="6"/>
      <c r="AQ1369" s="6"/>
      <c r="AR1369" s="6"/>
      <c r="AS1369" s="6"/>
      <c r="AT1369" s="6"/>
      <c r="AU1369" s="6"/>
      <c r="AV1369" s="6"/>
      <c r="AW1369" s="6"/>
      <c r="AX1369" s="6"/>
      <c r="AY1369" s="6"/>
      <c r="AZ1369" s="6"/>
      <c r="BA1369" s="6"/>
      <c r="BB1369" s="6"/>
      <c r="BC1369" s="6"/>
      <c r="BD1369" s="6"/>
      <c r="BE1369" s="6"/>
      <c r="BF1369" s="6"/>
      <c r="BG1369" s="6"/>
      <c r="BH1369" s="6"/>
      <c r="BI1369" s="6"/>
      <c r="BJ1369" s="6"/>
      <c r="BK1369" s="6"/>
      <c r="BL1369" s="6"/>
      <c r="BM1369" s="6"/>
      <c r="BN1369" s="6"/>
      <c r="BO1369" s="6"/>
      <c r="BP1369" s="6"/>
      <c r="BQ1369" s="6"/>
    </row>
    <row r="1370" spans="2:69" hidden="1" x14ac:dyDescent="0.2">
      <c r="B1370" s="13"/>
      <c r="C1370" s="13"/>
      <c r="D1370" s="13"/>
      <c r="E1370" s="13"/>
      <c r="F1370" s="13"/>
      <c r="G1370" s="13"/>
      <c r="H1370" s="13"/>
      <c r="I1370" s="13"/>
      <c r="J1370" s="13"/>
      <c r="K1370" s="13"/>
      <c r="L1370" s="13"/>
      <c r="M1370" s="13"/>
      <c r="N1370" s="13"/>
      <c r="O1370" s="13"/>
      <c r="P1370" s="13"/>
      <c r="Q1370" s="13"/>
      <c r="R1370" s="13"/>
      <c r="S1370" s="13"/>
      <c r="T1370" s="13"/>
      <c r="U1370" s="13"/>
      <c r="V1370" s="13"/>
      <c r="W1370" s="13"/>
      <c r="X1370" s="13"/>
      <c r="Y1370" s="13"/>
      <c r="Z1370" s="13"/>
      <c r="AA1370" s="13"/>
      <c r="AB1370" s="13"/>
      <c r="AM1370" s="6"/>
      <c r="AN1370" s="6"/>
      <c r="AO1370" s="6"/>
      <c r="AP1370" s="6"/>
      <c r="AQ1370" s="6"/>
      <c r="AR1370" s="6"/>
      <c r="AS1370" s="6"/>
      <c r="AT1370" s="6"/>
      <c r="AU1370" s="6"/>
      <c r="AV1370" s="6"/>
      <c r="AW1370" s="6"/>
      <c r="AX1370" s="6"/>
      <c r="AY1370" s="6"/>
      <c r="AZ1370" s="6"/>
      <c r="BA1370" s="6"/>
      <c r="BB1370" s="6"/>
      <c r="BC1370" s="6"/>
      <c r="BD1370" s="6"/>
      <c r="BE1370" s="6"/>
      <c r="BF1370" s="6"/>
      <c r="BG1370" s="6"/>
      <c r="BH1370" s="6"/>
      <c r="BI1370" s="6"/>
      <c r="BJ1370" s="6"/>
      <c r="BK1370" s="6"/>
      <c r="BL1370" s="6"/>
      <c r="BM1370" s="6"/>
      <c r="BN1370" s="6"/>
      <c r="BO1370" s="6"/>
      <c r="BP1370" s="6"/>
      <c r="BQ1370" s="6"/>
    </row>
    <row r="1371" spans="2:69" hidden="1" x14ac:dyDescent="0.2">
      <c r="B1371" s="13"/>
      <c r="C1371" s="13"/>
      <c r="D1371" s="13"/>
      <c r="E1371" s="13"/>
      <c r="F1371" s="13"/>
      <c r="G1371" s="13"/>
      <c r="H1371" s="13"/>
      <c r="I1371" s="13"/>
      <c r="J1371" s="13"/>
      <c r="K1371" s="13"/>
      <c r="L1371" s="13"/>
      <c r="M1371" s="13"/>
      <c r="N1371" s="13"/>
      <c r="O1371" s="13"/>
      <c r="P1371" s="13"/>
      <c r="Q1371" s="13"/>
      <c r="R1371" s="13"/>
      <c r="S1371" s="13"/>
      <c r="T1371" s="13"/>
      <c r="U1371" s="13"/>
      <c r="V1371" s="13"/>
      <c r="W1371" s="13"/>
      <c r="X1371" s="13"/>
      <c r="Y1371" s="13"/>
      <c r="Z1371" s="13"/>
      <c r="AA1371" s="13"/>
      <c r="AB1371" s="13"/>
      <c r="AM1371" s="6"/>
      <c r="AN1371" s="6"/>
      <c r="AO1371" s="6"/>
      <c r="AP1371" s="6"/>
      <c r="AQ1371" s="6"/>
      <c r="AR1371" s="6"/>
      <c r="AS1371" s="6"/>
      <c r="AT1371" s="6"/>
      <c r="AU1371" s="6"/>
      <c r="AV1371" s="6"/>
      <c r="AW1371" s="6"/>
      <c r="AX1371" s="6"/>
      <c r="AY1371" s="6"/>
      <c r="AZ1371" s="6"/>
      <c r="BA1371" s="6"/>
      <c r="BB1371" s="6"/>
      <c r="BC1371" s="6"/>
      <c r="BD1371" s="6"/>
      <c r="BE1371" s="6"/>
      <c r="BF1371" s="6"/>
      <c r="BG1371" s="6"/>
      <c r="BH1371" s="6"/>
      <c r="BI1371" s="6"/>
      <c r="BJ1371" s="6"/>
      <c r="BK1371" s="6"/>
      <c r="BL1371" s="6"/>
      <c r="BM1371" s="6"/>
      <c r="BN1371" s="6"/>
      <c r="BO1371" s="6"/>
      <c r="BP1371" s="6"/>
      <c r="BQ1371" s="6"/>
    </row>
    <row r="1372" spans="2:69" hidden="1" x14ac:dyDescent="0.2">
      <c r="B1372" s="13"/>
      <c r="C1372" s="13"/>
      <c r="D1372" s="13"/>
      <c r="E1372" s="13"/>
      <c r="F1372" s="13"/>
      <c r="G1372" s="13"/>
      <c r="H1372" s="13"/>
      <c r="I1372" s="13"/>
      <c r="J1372" s="13"/>
      <c r="K1372" s="13"/>
      <c r="L1372" s="13"/>
      <c r="M1372" s="13"/>
      <c r="N1372" s="13"/>
      <c r="O1372" s="13"/>
      <c r="P1372" s="13"/>
      <c r="Q1372" s="13"/>
      <c r="R1372" s="13"/>
      <c r="S1372" s="13"/>
      <c r="T1372" s="13"/>
      <c r="U1372" s="13"/>
      <c r="V1372" s="13"/>
      <c r="W1372" s="13"/>
      <c r="X1372" s="13"/>
      <c r="Y1372" s="13"/>
      <c r="Z1372" s="13"/>
      <c r="AA1372" s="13"/>
      <c r="AB1372" s="13"/>
      <c r="AM1372" s="6"/>
      <c r="AN1372" s="6"/>
      <c r="AO1372" s="6"/>
      <c r="AP1372" s="6"/>
      <c r="AQ1372" s="6"/>
      <c r="AR1372" s="6"/>
      <c r="AS1372" s="6"/>
      <c r="AT1372" s="6"/>
      <c r="AU1372" s="6"/>
      <c r="AV1372" s="6"/>
      <c r="AW1372" s="6"/>
      <c r="AX1372" s="6"/>
      <c r="AY1372" s="6"/>
      <c r="AZ1372" s="6"/>
      <c r="BA1372" s="6"/>
      <c r="BB1372" s="6"/>
      <c r="BC1372" s="6"/>
      <c r="BD1372" s="6"/>
      <c r="BE1372" s="6"/>
      <c r="BF1372" s="6"/>
      <c r="BG1372" s="6"/>
      <c r="BH1372" s="6"/>
      <c r="BI1372" s="6"/>
      <c r="BJ1372" s="6"/>
      <c r="BK1372" s="6"/>
      <c r="BL1372" s="6"/>
      <c r="BM1372" s="6"/>
      <c r="BN1372" s="6"/>
      <c r="BO1372" s="6"/>
      <c r="BP1372" s="6"/>
      <c r="BQ1372" s="6"/>
    </row>
    <row r="1373" spans="2:69" hidden="1" x14ac:dyDescent="0.2">
      <c r="B1373" s="13"/>
      <c r="C1373" s="13"/>
      <c r="D1373" s="13"/>
      <c r="E1373" s="13"/>
      <c r="F1373" s="13"/>
      <c r="G1373" s="13"/>
      <c r="H1373" s="13"/>
      <c r="I1373" s="13"/>
      <c r="J1373" s="13"/>
      <c r="K1373" s="13"/>
      <c r="L1373" s="13"/>
      <c r="M1373" s="13"/>
      <c r="N1373" s="13"/>
      <c r="O1373" s="13"/>
      <c r="P1373" s="13"/>
      <c r="Q1373" s="13"/>
      <c r="R1373" s="13"/>
      <c r="S1373" s="13"/>
      <c r="T1373" s="13"/>
      <c r="U1373" s="13"/>
      <c r="V1373" s="13"/>
      <c r="W1373" s="13"/>
      <c r="X1373" s="13"/>
      <c r="Y1373" s="13"/>
      <c r="Z1373" s="13"/>
      <c r="AA1373" s="13"/>
      <c r="AB1373" s="13"/>
      <c r="AM1373" s="6"/>
      <c r="AN1373" s="6"/>
      <c r="AO1373" s="6"/>
      <c r="AP1373" s="6"/>
      <c r="AQ1373" s="6"/>
      <c r="AR1373" s="6"/>
      <c r="AS1373" s="6"/>
      <c r="AT1373" s="6"/>
      <c r="AU1373" s="6"/>
      <c r="AV1373" s="6"/>
      <c r="AW1373" s="6"/>
      <c r="AX1373" s="6"/>
      <c r="AY1373" s="6"/>
      <c r="AZ1373" s="6"/>
      <c r="BA1373" s="6"/>
      <c r="BB1373" s="6"/>
      <c r="BC1373" s="6"/>
      <c r="BD1373" s="6"/>
      <c r="BE1373" s="6"/>
      <c r="BF1373" s="6"/>
      <c r="BG1373" s="6"/>
      <c r="BH1373" s="6"/>
      <c r="BI1373" s="6"/>
      <c r="BJ1373" s="6"/>
      <c r="BK1373" s="6"/>
      <c r="BL1373" s="6"/>
      <c r="BM1373" s="6"/>
      <c r="BN1373" s="6"/>
      <c r="BO1373" s="6"/>
      <c r="BP1373" s="6"/>
      <c r="BQ1373" s="6"/>
    </row>
    <row r="1374" spans="2:69" hidden="1" x14ac:dyDescent="0.2">
      <c r="B1374" s="13"/>
      <c r="C1374" s="13"/>
      <c r="D1374" s="13"/>
      <c r="E1374" s="13"/>
      <c r="F1374" s="13"/>
      <c r="G1374" s="13"/>
      <c r="H1374" s="13"/>
      <c r="I1374" s="13"/>
      <c r="J1374" s="13"/>
      <c r="K1374" s="13"/>
      <c r="L1374" s="13"/>
      <c r="M1374" s="13"/>
      <c r="N1374" s="13"/>
      <c r="O1374" s="13"/>
      <c r="P1374" s="13"/>
      <c r="Q1374" s="13"/>
      <c r="R1374" s="13"/>
      <c r="S1374" s="13"/>
      <c r="T1374" s="13"/>
      <c r="U1374" s="13"/>
      <c r="V1374" s="13"/>
      <c r="W1374" s="13"/>
      <c r="X1374" s="13"/>
      <c r="Y1374" s="13"/>
      <c r="Z1374" s="13"/>
      <c r="AA1374" s="13"/>
      <c r="AB1374" s="13"/>
      <c r="AM1374" s="6"/>
      <c r="AN1374" s="6"/>
      <c r="AO1374" s="6"/>
      <c r="AP1374" s="6"/>
      <c r="AQ1374" s="6"/>
      <c r="AR1374" s="6"/>
      <c r="AS1374" s="6"/>
      <c r="AT1374" s="6"/>
      <c r="AU1374" s="6"/>
      <c r="AV1374" s="6"/>
      <c r="AW1374" s="6"/>
      <c r="AX1374" s="6"/>
      <c r="AY1374" s="6"/>
      <c r="AZ1374" s="6"/>
      <c r="BA1374" s="6"/>
      <c r="BB1374" s="6"/>
      <c r="BC1374" s="6"/>
      <c r="BD1374" s="6"/>
      <c r="BE1374" s="6"/>
      <c r="BF1374" s="6"/>
      <c r="BG1374" s="6"/>
      <c r="BH1374" s="6"/>
      <c r="BI1374" s="6"/>
      <c r="BJ1374" s="6"/>
      <c r="BK1374" s="6"/>
      <c r="BL1374" s="6"/>
      <c r="BM1374" s="6"/>
      <c r="BN1374" s="6"/>
      <c r="BO1374" s="6"/>
      <c r="BP1374" s="6"/>
      <c r="BQ1374" s="6"/>
    </row>
    <row r="1375" spans="2:69" hidden="1" x14ac:dyDescent="0.2">
      <c r="B1375" s="13"/>
      <c r="C1375" s="13"/>
      <c r="D1375" s="13"/>
      <c r="E1375" s="13"/>
      <c r="F1375" s="13"/>
      <c r="G1375" s="13"/>
      <c r="H1375" s="13"/>
      <c r="I1375" s="13"/>
      <c r="J1375" s="13"/>
      <c r="K1375" s="13"/>
      <c r="L1375" s="13"/>
      <c r="M1375" s="13"/>
      <c r="N1375" s="13"/>
      <c r="O1375" s="13"/>
      <c r="P1375" s="13"/>
      <c r="Q1375" s="13"/>
      <c r="R1375" s="13"/>
      <c r="S1375" s="13"/>
      <c r="T1375" s="13"/>
      <c r="U1375" s="13"/>
      <c r="V1375" s="13"/>
      <c r="W1375" s="13"/>
      <c r="X1375" s="13"/>
      <c r="Y1375" s="13"/>
      <c r="Z1375" s="13"/>
      <c r="AA1375" s="13"/>
      <c r="AB1375" s="13"/>
      <c r="AM1375" s="6"/>
      <c r="AN1375" s="6"/>
      <c r="AO1375" s="6"/>
      <c r="AP1375" s="6"/>
      <c r="AQ1375" s="6"/>
      <c r="AR1375" s="6"/>
      <c r="AS1375" s="6"/>
      <c r="AT1375" s="6"/>
      <c r="AU1375" s="6"/>
      <c r="AV1375" s="6"/>
      <c r="AW1375" s="6"/>
      <c r="AX1375" s="6"/>
      <c r="AY1375" s="6"/>
      <c r="AZ1375" s="6"/>
      <c r="BA1375" s="6"/>
      <c r="BB1375" s="6"/>
      <c r="BC1375" s="6"/>
      <c r="BD1375" s="6"/>
      <c r="BE1375" s="6"/>
      <c r="BF1375" s="6"/>
      <c r="BG1375" s="6"/>
      <c r="BH1375" s="6"/>
      <c r="BI1375" s="6"/>
      <c r="BJ1375" s="6"/>
      <c r="BK1375" s="6"/>
      <c r="BL1375" s="6"/>
      <c r="BM1375" s="6"/>
      <c r="BN1375" s="6"/>
      <c r="BO1375" s="6"/>
      <c r="BP1375" s="6"/>
      <c r="BQ1375" s="6"/>
    </row>
    <row r="1376" spans="2:69" hidden="1" x14ac:dyDescent="0.2">
      <c r="B1376" s="13"/>
      <c r="C1376" s="13"/>
      <c r="D1376" s="13"/>
      <c r="E1376" s="13"/>
      <c r="F1376" s="13"/>
      <c r="G1376" s="13"/>
      <c r="H1376" s="13"/>
      <c r="I1376" s="13"/>
      <c r="J1376" s="13"/>
      <c r="K1376" s="13"/>
      <c r="L1376" s="13"/>
      <c r="M1376" s="13"/>
      <c r="N1376" s="13"/>
      <c r="O1376" s="13"/>
      <c r="P1376" s="13"/>
      <c r="Q1376" s="13"/>
      <c r="R1376" s="13"/>
      <c r="S1376" s="13"/>
      <c r="T1376" s="13"/>
      <c r="U1376" s="13"/>
      <c r="V1376" s="13"/>
      <c r="W1376" s="13"/>
      <c r="X1376" s="13"/>
      <c r="Y1376" s="13"/>
      <c r="Z1376" s="13"/>
      <c r="AA1376" s="13"/>
      <c r="AB1376" s="13"/>
      <c r="AM1376" s="6"/>
      <c r="AN1376" s="6"/>
      <c r="AO1376" s="6"/>
      <c r="AP1376" s="6"/>
      <c r="AQ1376" s="6"/>
      <c r="AR1376" s="6"/>
      <c r="AS1376" s="6"/>
      <c r="AT1376" s="6"/>
      <c r="AU1376" s="6"/>
      <c r="AV1376" s="6"/>
      <c r="AW1376" s="6"/>
      <c r="AX1376" s="6"/>
      <c r="AY1376" s="6"/>
      <c r="AZ1376" s="6"/>
      <c r="BA1376" s="6"/>
      <c r="BB1376" s="6"/>
      <c r="BC1376" s="6"/>
      <c r="BD1376" s="6"/>
      <c r="BE1376" s="6"/>
      <c r="BF1376" s="6"/>
      <c r="BG1376" s="6"/>
      <c r="BH1376" s="6"/>
      <c r="BI1376" s="6"/>
      <c r="BJ1376" s="6"/>
      <c r="BK1376" s="6"/>
      <c r="BL1376" s="6"/>
      <c r="BM1376" s="6"/>
      <c r="BN1376" s="6"/>
      <c r="BO1376" s="6"/>
      <c r="BP1376" s="6"/>
      <c r="BQ1376" s="6"/>
    </row>
    <row r="1377" spans="2:69" hidden="1" x14ac:dyDescent="0.2">
      <c r="B1377" s="13"/>
      <c r="C1377" s="13"/>
      <c r="D1377" s="13"/>
      <c r="E1377" s="13"/>
      <c r="F1377" s="13"/>
      <c r="G1377" s="13"/>
      <c r="H1377" s="13"/>
      <c r="I1377" s="13"/>
      <c r="J1377" s="13"/>
      <c r="K1377" s="13"/>
      <c r="L1377" s="13"/>
      <c r="M1377" s="13"/>
      <c r="N1377" s="13"/>
      <c r="O1377" s="13"/>
      <c r="P1377" s="13"/>
      <c r="Q1377" s="13"/>
      <c r="R1377" s="13"/>
      <c r="S1377" s="13"/>
      <c r="T1377" s="13"/>
      <c r="U1377" s="13"/>
      <c r="V1377" s="13"/>
      <c r="W1377" s="13"/>
      <c r="X1377" s="13"/>
      <c r="Y1377" s="13"/>
      <c r="Z1377" s="13"/>
      <c r="AA1377" s="13"/>
      <c r="AB1377" s="13"/>
      <c r="AM1377" s="6"/>
      <c r="AN1377" s="6"/>
      <c r="AO1377" s="6"/>
      <c r="AP1377" s="6"/>
      <c r="AQ1377" s="6"/>
      <c r="AR1377" s="6"/>
      <c r="AS1377" s="6"/>
      <c r="AT1377" s="6"/>
      <c r="AU1377" s="6"/>
      <c r="AV1377" s="6"/>
      <c r="AW1377" s="6"/>
      <c r="AX1377" s="6"/>
      <c r="AY1377" s="6"/>
      <c r="AZ1377" s="6"/>
      <c r="BA1377" s="6"/>
      <c r="BB1377" s="6"/>
      <c r="BC1377" s="6"/>
      <c r="BD1377" s="6"/>
      <c r="BE1377" s="6"/>
      <c r="BF1377" s="6"/>
      <c r="BG1377" s="6"/>
      <c r="BH1377" s="6"/>
      <c r="BI1377" s="6"/>
      <c r="BJ1377" s="6"/>
      <c r="BK1377" s="6"/>
      <c r="BL1377" s="6"/>
      <c r="BM1377" s="6"/>
      <c r="BN1377" s="6"/>
      <c r="BO1377" s="6"/>
      <c r="BP1377" s="6"/>
      <c r="BQ1377" s="6"/>
    </row>
    <row r="1378" spans="2:69" hidden="1" x14ac:dyDescent="0.2">
      <c r="B1378" s="13"/>
      <c r="C1378" s="13"/>
      <c r="D1378" s="13"/>
      <c r="E1378" s="13"/>
      <c r="F1378" s="13"/>
      <c r="G1378" s="13"/>
      <c r="H1378" s="13"/>
      <c r="I1378" s="13"/>
      <c r="J1378" s="13"/>
      <c r="K1378" s="13"/>
      <c r="L1378" s="13"/>
      <c r="M1378" s="13"/>
      <c r="N1378" s="13"/>
      <c r="O1378" s="13"/>
      <c r="P1378" s="13"/>
      <c r="Q1378" s="13"/>
      <c r="R1378" s="13"/>
      <c r="S1378" s="13"/>
      <c r="T1378" s="13"/>
      <c r="U1378" s="13"/>
      <c r="V1378" s="13"/>
      <c r="W1378" s="13"/>
      <c r="X1378" s="13"/>
      <c r="Y1378" s="13"/>
      <c r="Z1378" s="13"/>
      <c r="AA1378" s="13"/>
      <c r="AB1378" s="13"/>
      <c r="AM1378" s="6"/>
      <c r="AN1378" s="6"/>
      <c r="AO1378" s="6"/>
      <c r="AP1378" s="6"/>
      <c r="AQ1378" s="6"/>
      <c r="AR1378" s="6"/>
      <c r="AS1378" s="6"/>
      <c r="AT1378" s="6"/>
      <c r="AU1378" s="6"/>
      <c r="AV1378" s="6"/>
      <c r="AW1378" s="6"/>
      <c r="AX1378" s="6"/>
      <c r="AY1378" s="6"/>
      <c r="AZ1378" s="6"/>
      <c r="BA1378" s="6"/>
      <c r="BB1378" s="6"/>
      <c r="BC1378" s="6"/>
      <c r="BD1378" s="6"/>
      <c r="BE1378" s="6"/>
      <c r="BF1378" s="6"/>
      <c r="BG1378" s="6"/>
      <c r="BH1378" s="6"/>
      <c r="BI1378" s="6"/>
      <c r="BJ1378" s="6"/>
      <c r="BK1378" s="6"/>
      <c r="BL1378" s="6"/>
      <c r="BM1378" s="6"/>
      <c r="BN1378" s="6"/>
      <c r="BO1378" s="6"/>
      <c r="BP1378" s="6"/>
      <c r="BQ1378" s="6"/>
    </row>
    <row r="1379" spans="2:69" hidden="1" x14ac:dyDescent="0.2">
      <c r="B1379" s="13"/>
      <c r="C1379" s="13"/>
      <c r="D1379" s="13"/>
      <c r="E1379" s="13"/>
      <c r="F1379" s="13"/>
      <c r="G1379" s="13"/>
      <c r="H1379" s="13"/>
      <c r="I1379" s="13"/>
      <c r="J1379" s="13"/>
      <c r="K1379" s="13"/>
      <c r="L1379" s="13"/>
      <c r="M1379" s="13"/>
      <c r="N1379" s="13"/>
      <c r="O1379" s="13"/>
      <c r="P1379" s="13"/>
      <c r="Q1379" s="13"/>
      <c r="R1379" s="13"/>
      <c r="S1379" s="13"/>
      <c r="T1379" s="13"/>
      <c r="U1379" s="13"/>
      <c r="V1379" s="13"/>
      <c r="W1379" s="13"/>
      <c r="X1379" s="13"/>
      <c r="Y1379" s="13"/>
      <c r="Z1379" s="13"/>
      <c r="AA1379" s="13"/>
      <c r="AB1379" s="13"/>
      <c r="AM1379" s="6"/>
      <c r="AN1379" s="6"/>
      <c r="AO1379" s="6"/>
      <c r="AP1379" s="6"/>
      <c r="AQ1379" s="6"/>
      <c r="AR1379" s="6"/>
      <c r="AS1379" s="6"/>
      <c r="AT1379" s="6"/>
      <c r="AU1379" s="6"/>
      <c r="AV1379" s="6"/>
      <c r="AW1379" s="6"/>
      <c r="AX1379" s="6"/>
      <c r="AY1379" s="6"/>
      <c r="AZ1379" s="6"/>
      <c r="BA1379" s="6"/>
      <c r="BB1379" s="6"/>
      <c r="BC1379" s="6"/>
      <c r="BD1379" s="6"/>
      <c r="BE1379" s="6"/>
      <c r="BF1379" s="6"/>
      <c r="BG1379" s="6"/>
      <c r="BH1379" s="6"/>
      <c r="BI1379" s="6"/>
      <c r="BJ1379" s="6"/>
      <c r="BK1379" s="6"/>
      <c r="BL1379" s="6"/>
      <c r="BM1379" s="6"/>
      <c r="BN1379" s="6"/>
      <c r="BO1379" s="6"/>
      <c r="BP1379" s="6"/>
      <c r="BQ1379" s="6"/>
    </row>
    <row r="1380" spans="2:69" hidden="1" x14ac:dyDescent="0.2">
      <c r="B1380" s="13"/>
      <c r="C1380" s="13"/>
      <c r="D1380" s="13"/>
      <c r="E1380" s="13"/>
      <c r="F1380" s="13"/>
      <c r="G1380" s="13"/>
      <c r="H1380" s="13"/>
      <c r="I1380" s="13"/>
      <c r="J1380" s="13"/>
      <c r="K1380" s="13"/>
      <c r="L1380" s="13"/>
      <c r="M1380" s="13"/>
      <c r="N1380" s="13"/>
      <c r="O1380" s="13"/>
      <c r="P1380" s="13"/>
      <c r="Q1380" s="13"/>
      <c r="R1380" s="13"/>
      <c r="S1380" s="13"/>
      <c r="T1380" s="13"/>
      <c r="U1380" s="13"/>
      <c r="V1380" s="13"/>
      <c r="W1380" s="13"/>
      <c r="X1380" s="13"/>
      <c r="Y1380" s="13"/>
      <c r="Z1380" s="13"/>
      <c r="AA1380" s="13"/>
      <c r="AB1380" s="13"/>
      <c r="AM1380" s="6"/>
      <c r="AN1380" s="6"/>
      <c r="AO1380" s="6"/>
      <c r="AP1380" s="6"/>
      <c r="AQ1380" s="6"/>
      <c r="AR1380" s="6"/>
      <c r="AS1380" s="6"/>
      <c r="AT1380" s="6"/>
      <c r="AU1380" s="6"/>
      <c r="AV1380" s="6"/>
      <c r="AW1380" s="6"/>
      <c r="AX1380" s="6"/>
      <c r="AY1380" s="6"/>
      <c r="AZ1380" s="6"/>
      <c r="BA1380" s="6"/>
      <c r="BB1380" s="6"/>
      <c r="BC1380" s="6"/>
      <c r="BD1380" s="6"/>
      <c r="BE1380" s="6"/>
      <c r="BF1380" s="6"/>
      <c r="BG1380" s="6"/>
      <c r="BH1380" s="6"/>
      <c r="BI1380" s="6"/>
      <c r="BJ1380" s="6"/>
      <c r="BK1380" s="6"/>
      <c r="BL1380" s="6"/>
      <c r="BM1380" s="6"/>
      <c r="BN1380" s="6"/>
      <c r="BO1380" s="6"/>
      <c r="BP1380" s="6"/>
      <c r="BQ1380" s="6"/>
    </row>
    <row r="1381" spans="2:69" hidden="1" x14ac:dyDescent="0.2">
      <c r="B1381" s="13"/>
      <c r="C1381" s="13"/>
      <c r="D1381" s="13"/>
      <c r="E1381" s="13"/>
      <c r="F1381" s="13"/>
      <c r="G1381" s="13"/>
      <c r="H1381" s="13"/>
      <c r="I1381" s="13"/>
      <c r="J1381" s="13"/>
      <c r="K1381" s="13"/>
      <c r="L1381" s="13"/>
      <c r="M1381" s="13"/>
      <c r="N1381" s="13"/>
      <c r="O1381" s="13"/>
      <c r="P1381" s="13"/>
      <c r="Q1381" s="13"/>
      <c r="R1381" s="13"/>
      <c r="S1381" s="13"/>
      <c r="T1381" s="13"/>
      <c r="U1381" s="13"/>
      <c r="V1381" s="13"/>
      <c r="W1381" s="13"/>
      <c r="X1381" s="13"/>
      <c r="Y1381" s="13"/>
      <c r="Z1381" s="13"/>
      <c r="AA1381" s="13"/>
      <c r="AB1381" s="13"/>
      <c r="AM1381" s="6"/>
      <c r="AN1381" s="6"/>
      <c r="AO1381" s="6"/>
      <c r="AP1381" s="6"/>
      <c r="AQ1381" s="6"/>
      <c r="AR1381" s="6"/>
      <c r="AS1381" s="6"/>
      <c r="AT1381" s="6"/>
      <c r="AU1381" s="6"/>
      <c r="AV1381" s="6"/>
      <c r="AW1381" s="6"/>
      <c r="AX1381" s="6"/>
      <c r="AY1381" s="6"/>
      <c r="AZ1381" s="6"/>
      <c r="BA1381" s="6"/>
      <c r="BB1381" s="6"/>
      <c r="BC1381" s="6"/>
      <c r="BD1381" s="6"/>
      <c r="BE1381" s="6"/>
      <c r="BF1381" s="6"/>
      <c r="BG1381" s="6"/>
      <c r="BH1381" s="6"/>
      <c r="BI1381" s="6"/>
      <c r="BJ1381" s="6"/>
      <c r="BK1381" s="6"/>
      <c r="BL1381" s="6"/>
      <c r="BM1381" s="6"/>
      <c r="BN1381" s="6"/>
      <c r="BO1381" s="6"/>
      <c r="BP1381" s="6"/>
      <c r="BQ1381" s="6"/>
    </row>
    <row r="1382" spans="2:69" hidden="1" x14ac:dyDescent="0.2">
      <c r="B1382" s="13"/>
      <c r="C1382" s="13"/>
      <c r="D1382" s="13"/>
      <c r="E1382" s="13"/>
      <c r="F1382" s="13"/>
      <c r="G1382" s="13"/>
      <c r="H1382" s="13"/>
      <c r="I1382" s="13"/>
      <c r="J1382" s="13"/>
      <c r="K1382" s="13"/>
      <c r="L1382" s="13"/>
      <c r="M1382" s="13"/>
      <c r="N1382" s="13"/>
      <c r="O1382" s="13"/>
      <c r="P1382" s="13"/>
      <c r="Q1382" s="13"/>
      <c r="R1382" s="13"/>
      <c r="S1382" s="13"/>
      <c r="T1382" s="13"/>
      <c r="U1382" s="13"/>
      <c r="V1382" s="13"/>
      <c r="W1382" s="13"/>
      <c r="X1382" s="13"/>
      <c r="Y1382" s="13"/>
      <c r="Z1382" s="13"/>
      <c r="AA1382" s="13"/>
      <c r="AB1382" s="13"/>
      <c r="AM1382" s="6"/>
      <c r="AN1382" s="6"/>
      <c r="AO1382" s="6"/>
      <c r="AP1382" s="6"/>
      <c r="AQ1382" s="6"/>
      <c r="AR1382" s="6"/>
      <c r="AS1382" s="6"/>
      <c r="AT1382" s="6"/>
      <c r="AU1382" s="6"/>
      <c r="AV1382" s="6"/>
      <c r="AW1382" s="6"/>
      <c r="AX1382" s="6"/>
      <c r="AY1382" s="6"/>
      <c r="AZ1382" s="6"/>
      <c r="BA1382" s="6"/>
      <c r="BB1382" s="6"/>
      <c r="BC1382" s="6"/>
      <c r="BD1382" s="6"/>
      <c r="BE1382" s="6"/>
      <c r="BF1382" s="6"/>
      <c r="BG1382" s="6"/>
      <c r="BH1382" s="6"/>
      <c r="BI1382" s="6"/>
      <c r="BJ1382" s="6"/>
      <c r="BK1382" s="6"/>
      <c r="BL1382" s="6"/>
      <c r="BM1382" s="6"/>
      <c r="BN1382" s="6"/>
      <c r="BO1382" s="6"/>
      <c r="BP1382" s="6"/>
      <c r="BQ1382" s="6"/>
    </row>
    <row r="1383" spans="2:69" hidden="1" x14ac:dyDescent="0.2">
      <c r="B1383" s="13"/>
      <c r="C1383" s="13"/>
      <c r="D1383" s="13"/>
      <c r="E1383" s="13"/>
      <c r="F1383" s="13"/>
      <c r="G1383" s="13"/>
      <c r="H1383" s="13"/>
      <c r="I1383" s="13"/>
      <c r="J1383" s="13"/>
      <c r="K1383" s="13"/>
      <c r="L1383" s="13"/>
      <c r="M1383" s="13"/>
      <c r="N1383" s="13"/>
      <c r="O1383" s="13"/>
      <c r="P1383" s="13"/>
      <c r="Q1383" s="13"/>
      <c r="R1383" s="13"/>
      <c r="S1383" s="13"/>
      <c r="T1383" s="13"/>
      <c r="U1383" s="13"/>
      <c r="V1383" s="13"/>
      <c r="W1383" s="13"/>
      <c r="X1383" s="13"/>
      <c r="Y1383" s="13"/>
      <c r="Z1383" s="13"/>
      <c r="AA1383" s="13"/>
      <c r="AB1383" s="13"/>
      <c r="AM1383" s="6"/>
      <c r="AN1383" s="6"/>
      <c r="AO1383" s="6"/>
      <c r="AP1383" s="6"/>
      <c r="AQ1383" s="6"/>
      <c r="AR1383" s="6"/>
      <c r="AS1383" s="6"/>
      <c r="AT1383" s="6"/>
      <c r="AU1383" s="6"/>
      <c r="AV1383" s="6"/>
      <c r="AW1383" s="6"/>
      <c r="AX1383" s="6"/>
      <c r="AY1383" s="6"/>
      <c r="AZ1383" s="6"/>
      <c r="BA1383" s="6"/>
      <c r="BB1383" s="6"/>
      <c r="BC1383" s="6"/>
      <c r="BD1383" s="6"/>
      <c r="BE1383" s="6"/>
      <c r="BF1383" s="6"/>
      <c r="BG1383" s="6"/>
      <c r="BH1383" s="6"/>
      <c r="BI1383" s="6"/>
      <c r="BJ1383" s="6"/>
      <c r="BK1383" s="6"/>
      <c r="BL1383" s="6"/>
      <c r="BM1383" s="6"/>
      <c r="BN1383" s="6"/>
      <c r="BO1383" s="6"/>
      <c r="BP1383" s="6"/>
      <c r="BQ1383" s="6"/>
    </row>
    <row r="1384" spans="2:69" hidden="1" x14ac:dyDescent="0.2">
      <c r="B1384" s="13"/>
      <c r="C1384" s="13"/>
      <c r="D1384" s="13"/>
      <c r="E1384" s="13"/>
      <c r="F1384" s="13"/>
      <c r="G1384" s="13"/>
      <c r="H1384" s="13"/>
      <c r="I1384" s="13"/>
      <c r="J1384" s="13"/>
      <c r="K1384" s="13"/>
      <c r="L1384" s="13"/>
      <c r="M1384" s="13"/>
      <c r="N1384" s="13"/>
      <c r="O1384" s="13"/>
      <c r="P1384" s="13"/>
      <c r="Q1384" s="13"/>
      <c r="R1384" s="13"/>
      <c r="S1384" s="13"/>
      <c r="T1384" s="13"/>
      <c r="U1384" s="13"/>
      <c r="V1384" s="13"/>
      <c r="W1384" s="13"/>
      <c r="X1384" s="13"/>
      <c r="Y1384" s="13"/>
      <c r="Z1384" s="13"/>
      <c r="AA1384" s="13"/>
      <c r="AB1384" s="13"/>
      <c r="AM1384" s="6"/>
      <c r="AN1384" s="6"/>
      <c r="AO1384" s="6"/>
      <c r="AP1384" s="6"/>
      <c r="AQ1384" s="6"/>
      <c r="AR1384" s="6"/>
      <c r="AS1384" s="6"/>
      <c r="AT1384" s="6"/>
      <c r="AU1384" s="6"/>
      <c r="AV1384" s="6"/>
      <c r="AW1384" s="6"/>
      <c r="AX1384" s="6"/>
      <c r="AY1384" s="6"/>
      <c r="AZ1384" s="6"/>
      <c r="BA1384" s="6"/>
      <c r="BB1384" s="6"/>
      <c r="BC1384" s="6"/>
      <c r="BD1384" s="6"/>
      <c r="BE1384" s="6"/>
      <c r="BF1384" s="6"/>
      <c r="BG1384" s="6"/>
      <c r="BH1384" s="6"/>
      <c r="BI1384" s="6"/>
      <c r="BJ1384" s="6"/>
      <c r="BK1384" s="6"/>
      <c r="BL1384" s="6"/>
      <c r="BM1384" s="6"/>
      <c r="BN1384" s="6"/>
      <c r="BO1384" s="6"/>
      <c r="BP1384" s="6"/>
      <c r="BQ1384" s="6"/>
    </row>
    <row r="1385" spans="2:69" hidden="1" x14ac:dyDescent="0.2">
      <c r="B1385" s="13"/>
      <c r="C1385" s="13"/>
      <c r="D1385" s="13"/>
      <c r="E1385" s="13"/>
      <c r="F1385" s="13"/>
      <c r="G1385" s="13"/>
      <c r="H1385" s="13"/>
      <c r="I1385" s="13"/>
      <c r="J1385" s="13"/>
      <c r="K1385" s="13"/>
      <c r="L1385" s="13"/>
      <c r="M1385" s="13"/>
      <c r="N1385" s="13"/>
      <c r="O1385" s="13"/>
      <c r="P1385" s="13"/>
      <c r="Q1385" s="13"/>
      <c r="R1385" s="13"/>
      <c r="S1385" s="13"/>
      <c r="T1385" s="13"/>
      <c r="U1385" s="13"/>
      <c r="V1385" s="13"/>
      <c r="W1385" s="13"/>
      <c r="X1385" s="13"/>
      <c r="Y1385" s="13"/>
      <c r="Z1385" s="13"/>
      <c r="AA1385" s="13"/>
      <c r="AB1385" s="13"/>
      <c r="AM1385" s="6"/>
      <c r="AN1385" s="6"/>
      <c r="AO1385" s="6"/>
      <c r="AP1385" s="6"/>
      <c r="AQ1385" s="6"/>
      <c r="AR1385" s="6"/>
      <c r="AS1385" s="6"/>
      <c r="AT1385" s="6"/>
      <c r="AU1385" s="6"/>
      <c r="AV1385" s="6"/>
      <c r="AW1385" s="6"/>
      <c r="AX1385" s="6"/>
      <c r="AY1385" s="6"/>
      <c r="AZ1385" s="6"/>
      <c r="BA1385" s="6"/>
      <c r="BB1385" s="6"/>
      <c r="BC1385" s="6"/>
      <c r="BD1385" s="6"/>
      <c r="BE1385" s="6"/>
      <c r="BF1385" s="6"/>
      <c r="BG1385" s="6"/>
      <c r="BH1385" s="6"/>
      <c r="BI1385" s="6"/>
      <c r="BJ1385" s="6"/>
      <c r="BK1385" s="6"/>
      <c r="BL1385" s="6"/>
      <c r="BM1385" s="6"/>
      <c r="BN1385" s="6"/>
      <c r="BO1385" s="6"/>
      <c r="BP1385" s="6"/>
      <c r="BQ1385" s="6"/>
    </row>
    <row r="1386" spans="2:69" hidden="1" x14ac:dyDescent="0.2">
      <c r="B1386" s="13"/>
      <c r="C1386" s="13"/>
      <c r="D1386" s="13"/>
      <c r="E1386" s="13"/>
      <c r="F1386" s="13"/>
      <c r="G1386" s="13"/>
      <c r="H1386" s="13"/>
      <c r="I1386" s="13"/>
      <c r="J1386" s="13"/>
      <c r="K1386" s="13"/>
      <c r="L1386" s="13"/>
      <c r="M1386" s="13"/>
      <c r="N1386" s="13"/>
      <c r="O1386" s="13"/>
      <c r="P1386" s="13"/>
      <c r="Q1386" s="13"/>
      <c r="R1386" s="13"/>
      <c r="S1386" s="13"/>
      <c r="T1386" s="13"/>
      <c r="U1386" s="13"/>
      <c r="V1386" s="13"/>
      <c r="W1386" s="13"/>
      <c r="X1386" s="13"/>
      <c r="Y1386" s="13"/>
      <c r="Z1386" s="13"/>
      <c r="AA1386" s="13"/>
      <c r="AB1386" s="13"/>
      <c r="AM1386" s="6"/>
      <c r="AN1386" s="6"/>
      <c r="AO1386" s="6"/>
      <c r="AP1386" s="6"/>
      <c r="AQ1386" s="6"/>
      <c r="AR1386" s="6"/>
      <c r="AS1386" s="6"/>
      <c r="AT1386" s="6"/>
      <c r="AU1386" s="6"/>
      <c r="AV1386" s="6"/>
      <c r="AW1386" s="6"/>
      <c r="AX1386" s="6"/>
      <c r="AY1386" s="6"/>
      <c r="AZ1386" s="6"/>
      <c r="BA1386" s="6"/>
      <c r="BB1386" s="6"/>
      <c r="BC1386" s="6"/>
      <c r="BD1386" s="6"/>
      <c r="BE1386" s="6"/>
      <c r="BF1386" s="6"/>
      <c r="BG1386" s="6"/>
      <c r="BH1386" s="6"/>
      <c r="BI1386" s="6"/>
      <c r="BJ1386" s="6"/>
      <c r="BK1386" s="6"/>
      <c r="BL1386" s="6"/>
      <c r="BM1386" s="6"/>
      <c r="BN1386" s="6"/>
      <c r="BO1386" s="6"/>
      <c r="BP1386" s="6"/>
      <c r="BQ1386" s="6"/>
    </row>
    <row r="1387" spans="2:69" hidden="1" x14ac:dyDescent="0.2">
      <c r="B1387" s="13"/>
      <c r="C1387" s="13"/>
      <c r="D1387" s="13"/>
      <c r="E1387" s="13"/>
      <c r="F1387" s="13"/>
      <c r="G1387" s="13"/>
      <c r="H1387" s="13"/>
      <c r="I1387" s="13"/>
      <c r="J1387" s="13"/>
      <c r="K1387" s="13"/>
      <c r="L1387" s="13"/>
      <c r="M1387" s="13"/>
      <c r="N1387" s="13"/>
      <c r="O1387" s="13"/>
      <c r="P1387" s="13"/>
      <c r="Q1387" s="13"/>
      <c r="R1387" s="13"/>
      <c r="S1387" s="13"/>
      <c r="T1387" s="13"/>
      <c r="U1387" s="13"/>
      <c r="V1387" s="13"/>
      <c r="W1387" s="13"/>
      <c r="X1387" s="13"/>
      <c r="Y1387" s="13"/>
      <c r="Z1387" s="13"/>
      <c r="AA1387" s="13"/>
      <c r="AB1387" s="13"/>
      <c r="AM1387" s="6"/>
      <c r="AN1387" s="6"/>
      <c r="AO1387" s="6"/>
      <c r="AP1387" s="6"/>
      <c r="AQ1387" s="6"/>
      <c r="AR1387" s="6"/>
      <c r="AS1387" s="6"/>
      <c r="AT1387" s="6"/>
      <c r="AU1387" s="6"/>
      <c r="AV1387" s="6"/>
      <c r="AW1387" s="6"/>
      <c r="AX1387" s="6"/>
      <c r="AY1387" s="6"/>
      <c r="AZ1387" s="6"/>
      <c r="BA1387" s="6"/>
      <c r="BB1387" s="6"/>
      <c r="BC1387" s="6"/>
      <c r="BD1387" s="6"/>
      <c r="BE1387" s="6"/>
      <c r="BF1387" s="6"/>
      <c r="BG1387" s="6"/>
      <c r="BH1387" s="6"/>
      <c r="BI1387" s="6"/>
      <c r="BJ1387" s="6"/>
      <c r="BK1387" s="6"/>
      <c r="BL1387" s="6"/>
      <c r="BM1387" s="6"/>
      <c r="BN1387" s="6"/>
      <c r="BO1387" s="6"/>
      <c r="BP1387" s="6"/>
      <c r="BQ1387" s="6"/>
    </row>
    <row r="1388" spans="2:69" hidden="1" x14ac:dyDescent="0.2">
      <c r="B1388" s="13"/>
      <c r="C1388" s="13"/>
      <c r="D1388" s="13"/>
      <c r="E1388" s="13"/>
      <c r="F1388" s="13"/>
      <c r="G1388" s="13"/>
      <c r="H1388" s="13"/>
      <c r="I1388" s="13"/>
      <c r="J1388" s="13"/>
      <c r="K1388" s="13"/>
      <c r="L1388" s="13"/>
      <c r="M1388" s="13"/>
      <c r="N1388" s="13"/>
      <c r="O1388" s="13"/>
      <c r="P1388" s="13"/>
      <c r="Q1388" s="13"/>
      <c r="R1388" s="13"/>
      <c r="S1388" s="13"/>
      <c r="T1388" s="13"/>
      <c r="U1388" s="13"/>
      <c r="V1388" s="13"/>
      <c r="W1388" s="13"/>
      <c r="X1388" s="13"/>
      <c r="Y1388" s="13"/>
      <c r="Z1388" s="13"/>
      <c r="AA1388" s="13"/>
      <c r="AB1388" s="13"/>
      <c r="AM1388" s="6"/>
      <c r="AN1388" s="6"/>
      <c r="AO1388" s="6"/>
      <c r="AP1388" s="6"/>
      <c r="AQ1388" s="6"/>
      <c r="AR1388" s="6"/>
      <c r="AS1388" s="6"/>
      <c r="AT1388" s="6"/>
      <c r="AU1388" s="6"/>
      <c r="AV1388" s="6"/>
      <c r="AW1388" s="6"/>
      <c r="AX1388" s="6"/>
      <c r="AY1388" s="6"/>
      <c r="AZ1388" s="6"/>
      <c r="BA1388" s="6"/>
      <c r="BB1388" s="6"/>
      <c r="BC1388" s="6"/>
      <c r="BD1388" s="6"/>
      <c r="BE1388" s="6"/>
      <c r="BF1388" s="6"/>
      <c r="BG1388" s="6"/>
      <c r="BH1388" s="6"/>
      <c r="BI1388" s="6"/>
      <c r="BJ1388" s="6"/>
      <c r="BK1388" s="6"/>
      <c r="BL1388" s="6"/>
      <c r="BM1388" s="6"/>
      <c r="BN1388" s="6"/>
      <c r="BO1388" s="6"/>
      <c r="BP1388" s="6"/>
      <c r="BQ1388" s="6"/>
    </row>
    <row r="1389" spans="2:69" hidden="1" x14ac:dyDescent="0.2">
      <c r="B1389" s="13"/>
      <c r="C1389" s="13"/>
      <c r="D1389" s="13"/>
      <c r="E1389" s="13"/>
      <c r="F1389" s="13"/>
      <c r="G1389" s="13"/>
      <c r="H1389" s="13"/>
      <c r="I1389" s="13"/>
      <c r="J1389" s="13"/>
      <c r="K1389" s="13"/>
      <c r="L1389" s="13"/>
      <c r="M1389" s="13"/>
      <c r="N1389" s="13"/>
      <c r="O1389" s="13"/>
      <c r="P1389" s="13"/>
      <c r="Q1389" s="13"/>
      <c r="R1389" s="13"/>
      <c r="S1389" s="13"/>
      <c r="T1389" s="13"/>
      <c r="U1389" s="13"/>
      <c r="V1389" s="13"/>
      <c r="W1389" s="13"/>
      <c r="X1389" s="13"/>
      <c r="Y1389" s="13"/>
      <c r="Z1389" s="13"/>
      <c r="AA1389" s="13"/>
      <c r="AB1389" s="13"/>
      <c r="AM1389" s="6"/>
      <c r="AN1389" s="6"/>
      <c r="AO1389" s="6"/>
      <c r="AP1389" s="6"/>
      <c r="AQ1389" s="6"/>
      <c r="AR1389" s="6"/>
      <c r="AS1389" s="6"/>
      <c r="AT1389" s="6"/>
      <c r="AU1389" s="6"/>
      <c r="AV1389" s="6"/>
      <c r="AW1389" s="6"/>
      <c r="AX1389" s="6"/>
      <c r="AY1389" s="6"/>
      <c r="AZ1389" s="6"/>
      <c r="BA1389" s="6"/>
      <c r="BB1389" s="6"/>
      <c r="BC1389" s="6"/>
      <c r="BD1389" s="6"/>
      <c r="BE1389" s="6"/>
      <c r="BF1389" s="6"/>
      <c r="BG1389" s="6"/>
      <c r="BH1389" s="6"/>
      <c r="BI1389" s="6"/>
      <c r="BJ1389" s="6"/>
      <c r="BK1389" s="6"/>
      <c r="BL1389" s="6"/>
      <c r="BM1389" s="6"/>
      <c r="BN1389" s="6"/>
      <c r="BO1389" s="6"/>
      <c r="BP1389" s="6"/>
      <c r="BQ1389" s="6"/>
    </row>
    <row r="1390" spans="2:69" hidden="1" x14ac:dyDescent="0.2">
      <c r="B1390" s="13"/>
      <c r="C1390" s="13"/>
      <c r="D1390" s="13"/>
      <c r="E1390" s="13"/>
      <c r="F1390" s="13"/>
      <c r="G1390" s="13"/>
      <c r="H1390" s="13"/>
      <c r="I1390" s="13"/>
      <c r="J1390" s="13"/>
      <c r="K1390" s="13"/>
      <c r="L1390" s="13"/>
      <c r="M1390" s="13"/>
      <c r="N1390" s="13"/>
      <c r="O1390" s="13"/>
      <c r="P1390" s="13"/>
      <c r="Q1390" s="13"/>
      <c r="R1390" s="13"/>
      <c r="S1390" s="13"/>
      <c r="T1390" s="13"/>
      <c r="U1390" s="13"/>
      <c r="V1390" s="13"/>
      <c r="W1390" s="13"/>
      <c r="X1390" s="13"/>
      <c r="Y1390" s="13"/>
      <c r="Z1390" s="13"/>
      <c r="AA1390" s="13"/>
      <c r="AB1390" s="13"/>
      <c r="AM1390" s="6"/>
      <c r="AN1390" s="6"/>
      <c r="AO1390" s="6"/>
      <c r="AP1390" s="6"/>
      <c r="AQ1390" s="6"/>
      <c r="AR1390" s="6"/>
      <c r="AS1390" s="6"/>
      <c r="AT1390" s="6"/>
      <c r="AU1390" s="6"/>
      <c r="AV1390" s="6"/>
      <c r="AW1390" s="6"/>
      <c r="AX1390" s="6"/>
      <c r="AY1390" s="6"/>
      <c r="AZ1390" s="6"/>
      <c r="BA1390" s="6"/>
      <c r="BB1390" s="6"/>
      <c r="BC1390" s="6"/>
      <c r="BD1390" s="6"/>
      <c r="BE1390" s="6"/>
      <c r="BF1390" s="6"/>
      <c r="BG1390" s="6"/>
      <c r="BH1390" s="6"/>
      <c r="BI1390" s="6"/>
      <c r="BJ1390" s="6"/>
      <c r="BK1390" s="6"/>
      <c r="BL1390" s="6"/>
      <c r="BM1390" s="6"/>
      <c r="BN1390" s="6"/>
      <c r="BO1390" s="6"/>
      <c r="BP1390" s="6"/>
      <c r="BQ1390" s="6"/>
    </row>
    <row r="1391" spans="2:69" hidden="1" x14ac:dyDescent="0.2">
      <c r="B1391" s="13"/>
      <c r="C1391" s="13"/>
      <c r="D1391" s="13"/>
      <c r="E1391" s="13"/>
      <c r="F1391" s="13"/>
      <c r="G1391" s="13"/>
      <c r="H1391" s="13"/>
      <c r="I1391" s="13"/>
      <c r="J1391" s="13"/>
      <c r="K1391" s="13"/>
      <c r="L1391" s="13"/>
      <c r="M1391" s="13"/>
      <c r="N1391" s="13"/>
      <c r="O1391" s="13"/>
      <c r="P1391" s="13"/>
      <c r="Q1391" s="13"/>
      <c r="R1391" s="13"/>
      <c r="S1391" s="13"/>
      <c r="T1391" s="13"/>
      <c r="U1391" s="13"/>
      <c r="V1391" s="13"/>
      <c r="W1391" s="13"/>
      <c r="X1391" s="13"/>
      <c r="Y1391" s="13"/>
      <c r="Z1391" s="13"/>
      <c r="AA1391" s="13"/>
      <c r="AB1391" s="13"/>
      <c r="AM1391" s="6"/>
      <c r="AN1391" s="6"/>
      <c r="AO1391" s="6"/>
      <c r="AP1391" s="6"/>
      <c r="AQ1391" s="6"/>
      <c r="AR1391" s="6"/>
      <c r="AS1391" s="6"/>
      <c r="AT1391" s="6"/>
      <c r="AU1391" s="6"/>
      <c r="AV1391" s="6"/>
      <c r="AW1391" s="6"/>
      <c r="AX1391" s="6"/>
      <c r="AY1391" s="6"/>
      <c r="AZ1391" s="6"/>
      <c r="BA1391" s="6"/>
      <c r="BB1391" s="6"/>
      <c r="BC1391" s="6"/>
      <c r="BD1391" s="6"/>
      <c r="BE1391" s="6"/>
      <c r="BF1391" s="6"/>
      <c r="BG1391" s="6"/>
      <c r="BH1391" s="6"/>
      <c r="BI1391" s="6"/>
      <c r="BJ1391" s="6"/>
      <c r="BK1391" s="6"/>
      <c r="BL1391" s="6"/>
      <c r="BM1391" s="6"/>
      <c r="BN1391" s="6"/>
      <c r="BO1391" s="6"/>
      <c r="BP1391" s="6"/>
      <c r="BQ1391" s="6"/>
    </row>
    <row r="1392" spans="2:69" hidden="1" x14ac:dyDescent="0.2">
      <c r="B1392" s="13"/>
      <c r="C1392" s="13"/>
      <c r="D1392" s="13"/>
      <c r="E1392" s="13"/>
      <c r="F1392" s="13"/>
      <c r="G1392" s="13"/>
      <c r="H1392" s="13"/>
      <c r="I1392" s="13"/>
      <c r="J1392" s="13"/>
      <c r="K1392" s="13"/>
      <c r="L1392" s="13"/>
      <c r="M1392" s="13"/>
      <c r="N1392" s="13"/>
      <c r="O1392" s="13"/>
      <c r="P1392" s="13"/>
      <c r="Q1392" s="13"/>
      <c r="R1392" s="13"/>
      <c r="S1392" s="13"/>
      <c r="T1392" s="13"/>
      <c r="U1392" s="13"/>
      <c r="V1392" s="13"/>
      <c r="W1392" s="13"/>
      <c r="X1392" s="13"/>
      <c r="Y1392" s="13"/>
      <c r="Z1392" s="13"/>
      <c r="AA1392" s="13"/>
      <c r="AB1392" s="13"/>
      <c r="AM1392" s="6"/>
      <c r="AN1392" s="6"/>
      <c r="AO1392" s="6"/>
      <c r="AP1392" s="6"/>
      <c r="AQ1392" s="6"/>
      <c r="AR1392" s="6"/>
      <c r="AS1392" s="6"/>
      <c r="AT1392" s="6"/>
      <c r="AU1392" s="6"/>
      <c r="AV1392" s="6"/>
      <c r="AW1392" s="6"/>
      <c r="AX1392" s="6"/>
      <c r="AY1392" s="6"/>
      <c r="AZ1392" s="6"/>
      <c r="BA1392" s="6"/>
      <c r="BB1392" s="6"/>
      <c r="BC1392" s="6"/>
      <c r="BD1392" s="6"/>
      <c r="BE1392" s="6"/>
      <c r="BF1392" s="6"/>
      <c r="BG1392" s="6"/>
      <c r="BH1392" s="6"/>
      <c r="BI1392" s="6"/>
      <c r="BJ1392" s="6"/>
      <c r="BK1392" s="6"/>
      <c r="BL1392" s="6"/>
      <c r="BM1392" s="6"/>
      <c r="BN1392" s="6"/>
      <c r="BO1392" s="6"/>
      <c r="BP1392" s="6"/>
      <c r="BQ1392" s="6"/>
    </row>
    <row r="1393" spans="2:69" hidden="1" x14ac:dyDescent="0.2">
      <c r="B1393" s="13"/>
      <c r="C1393" s="13"/>
      <c r="D1393" s="13"/>
      <c r="E1393" s="13"/>
      <c r="F1393" s="13"/>
      <c r="G1393" s="13"/>
      <c r="H1393" s="13"/>
      <c r="I1393" s="13"/>
      <c r="J1393" s="13"/>
      <c r="K1393" s="13"/>
      <c r="L1393" s="13"/>
      <c r="M1393" s="13"/>
      <c r="N1393" s="13"/>
      <c r="O1393" s="13"/>
      <c r="P1393" s="13"/>
      <c r="Q1393" s="13"/>
      <c r="R1393" s="13"/>
      <c r="S1393" s="13"/>
      <c r="T1393" s="13"/>
      <c r="U1393" s="13"/>
      <c r="V1393" s="13"/>
      <c r="W1393" s="13"/>
      <c r="X1393" s="13"/>
      <c r="Y1393" s="13"/>
      <c r="Z1393" s="13"/>
      <c r="AA1393" s="13"/>
      <c r="AB1393" s="13"/>
      <c r="AM1393" s="6"/>
      <c r="AN1393" s="6"/>
      <c r="AO1393" s="6"/>
      <c r="AP1393" s="6"/>
      <c r="AQ1393" s="6"/>
      <c r="AR1393" s="6"/>
      <c r="AS1393" s="6"/>
      <c r="AT1393" s="6"/>
      <c r="AU1393" s="6"/>
      <c r="AV1393" s="6"/>
      <c r="AW1393" s="6"/>
      <c r="AX1393" s="6"/>
      <c r="AY1393" s="6"/>
      <c r="AZ1393" s="6"/>
      <c r="BA1393" s="6"/>
      <c r="BB1393" s="6"/>
      <c r="BC1393" s="6"/>
      <c r="BD1393" s="6"/>
      <c r="BE1393" s="6"/>
      <c r="BF1393" s="6"/>
      <c r="BG1393" s="6"/>
      <c r="BH1393" s="6"/>
      <c r="BI1393" s="6"/>
      <c r="BJ1393" s="6"/>
      <c r="BK1393" s="6"/>
      <c r="BL1393" s="6"/>
      <c r="BM1393" s="6"/>
      <c r="BN1393" s="6"/>
      <c r="BO1393" s="6"/>
      <c r="BP1393" s="6"/>
      <c r="BQ1393" s="6"/>
    </row>
    <row r="1394" spans="2:69" hidden="1" x14ac:dyDescent="0.2">
      <c r="B1394" s="13"/>
      <c r="C1394" s="13"/>
      <c r="D1394" s="13"/>
      <c r="E1394" s="13"/>
      <c r="F1394" s="13"/>
      <c r="G1394" s="13"/>
      <c r="H1394" s="13"/>
      <c r="I1394" s="13"/>
      <c r="J1394" s="13"/>
      <c r="K1394" s="13"/>
      <c r="L1394" s="13"/>
      <c r="M1394" s="13"/>
      <c r="N1394" s="13"/>
      <c r="O1394" s="13"/>
      <c r="P1394" s="13"/>
      <c r="Q1394" s="13"/>
      <c r="R1394" s="13"/>
      <c r="S1394" s="13"/>
      <c r="T1394" s="13"/>
      <c r="U1394" s="13"/>
      <c r="V1394" s="13"/>
      <c r="W1394" s="13"/>
      <c r="X1394" s="13"/>
      <c r="Y1394" s="13"/>
      <c r="Z1394" s="13"/>
      <c r="AA1394" s="13"/>
      <c r="AB1394" s="13"/>
      <c r="AM1394" s="6"/>
      <c r="AN1394" s="6"/>
      <c r="AO1394" s="6"/>
      <c r="AP1394" s="6"/>
      <c r="AQ1394" s="6"/>
      <c r="AR1394" s="6"/>
      <c r="AS1394" s="6"/>
      <c r="AT1394" s="6"/>
      <c r="AU1394" s="6"/>
      <c r="AV1394" s="6"/>
      <c r="AW1394" s="6"/>
      <c r="AX1394" s="6"/>
      <c r="AY1394" s="6"/>
      <c r="AZ1394" s="6"/>
      <c r="BA1394" s="6"/>
      <c r="BB1394" s="6"/>
      <c r="BC1394" s="6"/>
      <c r="BD1394" s="6"/>
      <c r="BE1394" s="6"/>
      <c r="BF1394" s="6"/>
      <c r="BG1394" s="6"/>
      <c r="BH1394" s="6"/>
      <c r="BI1394" s="6"/>
      <c r="BJ1394" s="6"/>
      <c r="BK1394" s="6"/>
      <c r="BL1394" s="6"/>
      <c r="BM1394" s="6"/>
      <c r="BN1394" s="6"/>
      <c r="BO1394" s="6"/>
      <c r="BP1394" s="6"/>
      <c r="BQ1394" s="6"/>
    </row>
    <row r="1395" spans="2:69" hidden="1" x14ac:dyDescent="0.2">
      <c r="B1395" s="13"/>
      <c r="C1395" s="13"/>
      <c r="D1395" s="13"/>
      <c r="E1395" s="13"/>
      <c r="F1395" s="13"/>
      <c r="G1395" s="13"/>
      <c r="H1395" s="13"/>
      <c r="I1395" s="13"/>
      <c r="J1395" s="13"/>
      <c r="K1395" s="13"/>
      <c r="L1395" s="13"/>
      <c r="M1395" s="13"/>
      <c r="N1395" s="13"/>
      <c r="O1395" s="13"/>
      <c r="P1395" s="13"/>
      <c r="Q1395" s="13"/>
      <c r="R1395" s="13"/>
      <c r="S1395" s="13"/>
      <c r="T1395" s="13"/>
      <c r="U1395" s="13"/>
      <c r="V1395" s="13"/>
      <c r="W1395" s="13"/>
      <c r="X1395" s="13"/>
      <c r="Y1395" s="13"/>
      <c r="Z1395" s="13"/>
      <c r="AA1395" s="13"/>
      <c r="AB1395" s="13"/>
      <c r="AM1395" s="6"/>
      <c r="AN1395" s="6"/>
      <c r="AO1395" s="6"/>
      <c r="AP1395" s="6"/>
      <c r="AQ1395" s="6"/>
      <c r="AR1395" s="6"/>
      <c r="AS1395" s="6"/>
      <c r="AT1395" s="6"/>
      <c r="AU1395" s="6"/>
      <c r="AV1395" s="6"/>
      <c r="AW1395" s="6"/>
      <c r="AX1395" s="6"/>
      <c r="AY1395" s="6"/>
      <c r="AZ1395" s="6"/>
      <c r="BA1395" s="6"/>
      <c r="BB1395" s="6"/>
      <c r="BC1395" s="6"/>
      <c r="BD1395" s="6"/>
      <c r="BE1395" s="6"/>
      <c r="BF1395" s="6"/>
      <c r="BG1395" s="6"/>
      <c r="BH1395" s="6"/>
      <c r="BI1395" s="6"/>
      <c r="BJ1395" s="6"/>
      <c r="BK1395" s="6"/>
      <c r="BL1395" s="6"/>
      <c r="BM1395" s="6"/>
      <c r="BN1395" s="6"/>
      <c r="BO1395" s="6"/>
      <c r="BP1395" s="6"/>
      <c r="BQ1395" s="6"/>
    </row>
    <row r="1396" spans="2:69" hidden="1" x14ac:dyDescent="0.2">
      <c r="B1396" s="13"/>
      <c r="C1396" s="13"/>
      <c r="D1396" s="13"/>
      <c r="E1396" s="13"/>
      <c r="F1396" s="13"/>
      <c r="G1396" s="13"/>
      <c r="H1396" s="13"/>
      <c r="I1396" s="13"/>
      <c r="J1396" s="13"/>
      <c r="K1396" s="13"/>
      <c r="L1396" s="13"/>
      <c r="M1396" s="13"/>
      <c r="N1396" s="13"/>
      <c r="O1396" s="13"/>
      <c r="P1396" s="13"/>
      <c r="Q1396" s="13"/>
      <c r="R1396" s="13"/>
      <c r="S1396" s="13"/>
      <c r="T1396" s="13"/>
      <c r="U1396" s="13"/>
      <c r="V1396" s="13"/>
      <c r="W1396" s="13"/>
      <c r="X1396" s="13"/>
      <c r="Y1396" s="13"/>
      <c r="Z1396" s="13"/>
      <c r="AA1396" s="13"/>
      <c r="AB1396" s="13"/>
      <c r="AM1396" s="6"/>
      <c r="AN1396" s="6"/>
      <c r="AO1396" s="6"/>
      <c r="AP1396" s="6"/>
      <c r="AQ1396" s="6"/>
      <c r="AR1396" s="6"/>
      <c r="AS1396" s="6"/>
      <c r="AT1396" s="6"/>
      <c r="AU1396" s="6"/>
      <c r="AV1396" s="6"/>
      <c r="AW1396" s="6"/>
      <c r="AX1396" s="6"/>
      <c r="AY1396" s="6"/>
      <c r="AZ1396" s="6"/>
      <c r="BA1396" s="6"/>
      <c r="BB1396" s="6"/>
      <c r="BC1396" s="6"/>
      <c r="BD1396" s="6"/>
      <c r="BE1396" s="6"/>
      <c r="BF1396" s="6"/>
      <c r="BG1396" s="6"/>
      <c r="BH1396" s="6"/>
      <c r="BI1396" s="6"/>
      <c r="BJ1396" s="6"/>
      <c r="BK1396" s="6"/>
      <c r="BL1396" s="6"/>
      <c r="BM1396" s="6"/>
      <c r="BN1396" s="6"/>
      <c r="BO1396" s="6"/>
      <c r="BP1396" s="6"/>
      <c r="BQ1396" s="6"/>
    </row>
    <row r="1397" spans="2:69" hidden="1" x14ac:dyDescent="0.2">
      <c r="B1397" s="13"/>
      <c r="C1397" s="13"/>
      <c r="D1397" s="13"/>
      <c r="E1397" s="13"/>
      <c r="F1397" s="13"/>
      <c r="G1397" s="13"/>
      <c r="H1397" s="13"/>
      <c r="I1397" s="13"/>
      <c r="J1397" s="13"/>
      <c r="K1397" s="13"/>
      <c r="L1397" s="13"/>
      <c r="M1397" s="13"/>
      <c r="N1397" s="13"/>
      <c r="O1397" s="13"/>
      <c r="P1397" s="13"/>
      <c r="Q1397" s="13"/>
      <c r="R1397" s="13"/>
      <c r="S1397" s="13"/>
      <c r="T1397" s="13"/>
      <c r="U1397" s="13"/>
      <c r="V1397" s="13"/>
      <c r="W1397" s="13"/>
      <c r="X1397" s="13"/>
      <c r="Y1397" s="13"/>
      <c r="Z1397" s="13"/>
      <c r="AA1397" s="13"/>
      <c r="AB1397" s="13"/>
      <c r="AM1397" s="6"/>
      <c r="AN1397" s="6"/>
      <c r="AO1397" s="6"/>
      <c r="AP1397" s="6"/>
      <c r="AQ1397" s="6"/>
      <c r="AR1397" s="6"/>
      <c r="AS1397" s="6"/>
      <c r="AT1397" s="6"/>
      <c r="AU1397" s="6"/>
      <c r="AV1397" s="6"/>
      <c r="AW1397" s="6"/>
      <c r="AX1397" s="6"/>
      <c r="AY1397" s="6"/>
      <c r="AZ1397" s="6"/>
      <c r="BA1397" s="6"/>
      <c r="BB1397" s="6"/>
      <c r="BC1397" s="6"/>
      <c r="BD1397" s="6"/>
      <c r="BE1397" s="6"/>
      <c r="BF1397" s="6"/>
      <c r="BG1397" s="6"/>
      <c r="BH1397" s="6"/>
      <c r="BI1397" s="6"/>
      <c r="BJ1397" s="6"/>
      <c r="BK1397" s="6"/>
      <c r="BL1397" s="6"/>
      <c r="BM1397" s="6"/>
      <c r="BN1397" s="6"/>
      <c r="BO1397" s="6"/>
      <c r="BP1397" s="6"/>
      <c r="BQ1397" s="6"/>
    </row>
    <row r="1398" spans="2:69" hidden="1" x14ac:dyDescent="0.2">
      <c r="B1398" s="13"/>
      <c r="C1398" s="13"/>
      <c r="D1398" s="13"/>
      <c r="E1398" s="13"/>
      <c r="F1398" s="13"/>
      <c r="G1398" s="13"/>
      <c r="H1398" s="13"/>
      <c r="I1398" s="13"/>
      <c r="J1398" s="13"/>
      <c r="K1398" s="13"/>
      <c r="L1398" s="13"/>
      <c r="M1398" s="13"/>
      <c r="N1398" s="13"/>
      <c r="O1398" s="13"/>
      <c r="P1398" s="13"/>
      <c r="Q1398" s="13"/>
      <c r="R1398" s="13"/>
      <c r="S1398" s="13"/>
      <c r="T1398" s="13"/>
      <c r="U1398" s="13"/>
      <c r="V1398" s="13"/>
      <c r="W1398" s="13"/>
      <c r="X1398" s="13"/>
      <c r="Y1398" s="13"/>
      <c r="Z1398" s="13"/>
      <c r="AA1398" s="13"/>
      <c r="AB1398" s="13"/>
      <c r="AM1398" s="6"/>
      <c r="AN1398" s="6"/>
      <c r="AO1398" s="6"/>
      <c r="AP1398" s="6"/>
      <c r="AQ1398" s="6"/>
      <c r="AR1398" s="6"/>
      <c r="AS1398" s="6"/>
      <c r="AT1398" s="6"/>
      <c r="AU1398" s="6"/>
      <c r="AV1398" s="6"/>
      <c r="AW1398" s="6"/>
      <c r="AX1398" s="6"/>
      <c r="AY1398" s="6"/>
      <c r="AZ1398" s="6"/>
      <c r="BA1398" s="6"/>
      <c r="BB1398" s="6"/>
      <c r="BC1398" s="6"/>
      <c r="BD1398" s="6"/>
      <c r="BE1398" s="6"/>
      <c r="BF1398" s="6"/>
      <c r="BG1398" s="6"/>
      <c r="BH1398" s="6"/>
      <c r="BI1398" s="6"/>
      <c r="BJ1398" s="6"/>
      <c r="BK1398" s="6"/>
      <c r="BL1398" s="6"/>
      <c r="BM1398" s="6"/>
      <c r="BN1398" s="6"/>
      <c r="BO1398" s="6"/>
      <c r="BP1398" s="6"/>
      <c r="BQ1398" s="6"/>
    </row>
    <row r="1399" spans="2:69" hidden="1" x14ac:dyDescent="0.2">
      <c r="B1399" s="13"/>
      <c r="C1399" s="13"/>
      <c r="D1399" s="13"/>
      <c r="E1399" s="13"/>
      <c r="F1399" s="13"/>
      <c r="G1399" s="13"/>
      <c r="H1399" s="13"/>
      <c r="I1399" s="13"/>
      <c r="J1399" s="13"/>
      <c r="K1399" s="13"/>
      <c r="L1399" s="13"/>
      <c r="M1399" s="13"/>
      <c r="N1399" s="13"/>
      <c r="O1399" s="13"/>
      <c r="P1399" s="13"/>
      <c r="Q1399" s="13"/>
      <c r="R1399" s="13"/>
      <c r="S1399" s="13"/>
      <c r="T1399" s="13"/>
      <c r="U1399" s="13"/>
      <c r="V1399" s="13"/>
      <c r="W1399" s="13"/>
      <c r="X1399" s="13"/>
      <c r="Y1399" s="13"/>
      <c r="Z1399" s="13"/>
      <c r="AA1399" s="13"/>
      <c r="AB1399" s="13"/>
      <c r="AM1399" s="6"/>
      <c r="AN1399" s="6"/>
      <c r="AO1399" s="6"/>
      <c r="AP1399" s="6"/>
      <c r="AQ1399" s="6"/>
      <c r="AR1399" s="6"/>
      <c r="AS1399" s="6"/>
      <c r="AT1399" s="6"/>
      <c r="AU1399" s="6"/>
      <c r="AV1399" s="6"/>
      <c r="AW1399" s="6"/>
      <c r="AX1399" s="6"/>
      <c r="AY1399" s="6"/>
      <c r="AZ1399" s="6"/>
      <c r="BA1399" s="6"/>
      <c r="BB1399" s="6"/>
      <c r="BC1399" s="6"/>
      <c r="BD1399" s="6"/>
      <c r="BE1399" s="6"/>
      <c r="BF1399" s="6"/>
      <c r="BG1399" s="6"/>
      <c r="BH1399" s="6"/>
      <c r="BI1399" s="6"/>
      <c r="BJ1399" s="6"/>
      <c r="BK1399" s="6"/>
      <c r="BL1399" s="6"/>
      <c r="BM1399" s="6"/>
      <c r="BN1399" s="6"/>
      <c r="BO1399" s="6"/>
      <c r="BP1399" s="6"/>
      <c r="BQ1399" s="6"/>
    </row>
    <row r="1400" spans="2:69" hidden="1" x14ac:dyDescent="0.2">
      <c r="B1400" s="13"/>
      <c r="C1400" s="13"/>
      <c r="D1400" s="13"/>
      <c r="E1400" s="13"/>
      <c r="F1400" s="13"/>
      <c r="G1400" s="13"/>
      <c r="H1400" s="13"/>
      <c r="I1400" s="13"/>
      <c r="J1400" s="13"/>
      <c r="K1400" s="13"/>
      <c r="L1400" s="13"/>
      <c r="M1400" s="13"/>
      <c r="N1400" s="13"/>
      <c r="O1400" s="13"/>
      <c r="P1400" s="13"/>
      <c r="Q1400" s="13"/>
      <c r="R1400" s="13"/>
      <c r="S1400" s="13"/>
      <c r="T1400" s="13"/>
      <c r="U1400" s="13"/>
      <c r="V1400" s="13"/>
      <c r="W1400" s="13"/>
      <c r="X1400" s="13"/>
      <c r="Y1400" s="13"/>
      <c r="Z1400" s="13"/>
      <c r="AA1400" s="13"/>
      <c r="AB1400" s="13"/>
      <c r="AM1400" s="6"/>
      <c r="AN1400" s="6"/>
      <c r="AO1400" s="6"/>
      <c r="AP1400" s="6"/>
      <c r="AQ1400" s="6"/>
      <c r="AR1400" s="6"/>
      <c r="AS1400" s="6"/>
      <c r="AT1400" s="6"/>
      <c r="AU1400" s="6"/>
      <c r="AV1400" s="6"/>
      <c r="AW1400" s="6"/>
      <c r="AX1400" s="6"/>
      <c r="AY1400" s="6"/>
      <c r="AZ1400" s="6"/>
      <c r="BA1400" s="6"/>
      <c r="BB1400" s="6"/>
      <c r="BC1400" s="6"/>
      <c r="BD1400" s="6"/>
      <c r="BE1400" s="6"/>
      <c r="BF1400" s="6"/>
      <c r="BG1400" s="6"/>
      <c r="BH1400" s="6"/>
      <c r="BI1400" s="6"/>
      <c r="BJ1400" s="6"/>
      <c r="BK1400" s="6"/>
      <c r="BL1400" s="6"/>
      <c r="BM1400" s="6"/>
      <c r="BN1400" s="6"/>
      <c r="BO1400" s="6"/>
      <c r="BP1400" s="6"/>
      <c r="BQ1400" s="6"/>
    </row>
    <row r="1401" spans="2:69" hidden="1" x14ac:dyDescent="0.2">
      <c r="B1401" s="13"/>
      <c r="C1401" s="13"/>
      <c r="D1401" s="13"/>
      <c r="E1401" s="13"/>
      <c r="F1401" s="13"/>
      <c r="G1401" s="13"/>
      <c r="H1401" s="13"/>
      <c r="I1401" s="13"/>
      <c r="J1401" s="13"/>
      <c r="K1401" s="13"/>
      <c r="L1401" s="13"/>
      <c r="M1401" s="13"/>
      <c r="N1401" s="13"/>
      <c r="O1401" s="13"/>
      <c r="P1401" s="13"/>
      <c r="Q1401" s="13"/>
      <c r="R1401" s="13"/>
      <c r="S1401" s="13"/>
      <c r="T1401" s="13"/>
      <c r="U1401" s="13"/>
      <c r="V1401" s="13"/>
      <c r="W1401" s="13"/>
      <c r="X1401" s="13"/>
      <c r="Y1401" s="13"/>
      <c r="Z1401" s="13"/>
      <c r="AA1401" s="13"/>
      <c r="AB1401" s="13"/>
      <c r="AM1401" s="6"/>
      <c r="AN1401" s="6"/>
      <c r="AO1401" s="6"/>
      <c r="AP1401" s="6"/>
      <c r="AQ1401" s="6"/>
      <c r="AR1401" s="6"/>
      <c r="AS1401" s="6"/>
      <c r="AT1401" s="6"/>
      <c r="AU1401" s="6"/>
      <c r="AV1401" s="6"/>
      <c r="AW1401" s="6"/>
      <c r="AX1401" s="6"/>
      <c r="AY1401" s="6"/>
      <c r="AZ1401" s="6"/>
      <c r="BA1401" s="6"/>
      <c r="BB1401" s="6"/>
      <c r="BC1401" s="6"/>
      <c r="BD1401" s="6"/>
      <c r="BE1401" s="6"/>
      <c r="BF1401" s="6"/>
      <c r="BG1401" s="6"/>
      <c r="BH1401" s="6"/>
      <c r="BI1401" s="6"/>
      <c r="BJ1401" s="6"/>
      <c r="BK1401" s="6"/>
      <c r="BL1401" s="6"/>
      <c r="BM1401" s="6"/>
      <c r="BN1401" s="6"/>
      <c r="BO1401" s="6"/>
      <c r="BP1401" s="6"/>
      <c r="BQ1401" s="6"/>
    </row>
    <row r="1402" spans="2:69" hidden="1" x14ac:dyDescent="0.2">
      <c r="B1402" s="13"/>
      <c r="C1402" s="13"/>
      <c r="D1402" s="13"/>
      <c r="E1402" s="13"/>
      <c r="F1402" s="13"/>
      <c r="G1402" s="13"/>
      <c r="H1402" s="13"/>
      <c r="I1402" s="13"/>
      <c r="J1402" s="13"/>
      <c r="K1402" s="13"/>
      <c r="L1402" s="13"/>
      <c r="M1402" s="13"/>
      <c r="N1402" s="13"/>
      <c r="O1402" s="13"/>
      <c r="P1402" s="13"/>
      <c r="Q1402" s="13"/>
      <c r="R1402" s="13"/>
      <c r="S1402" s="13"/>
      <c r="T1402" s="13"/>
      <c r="U1402" s="13"/>
      <c r="V1402" s="13"/>
      <c r="W1402" s="13"/>
      <c r="X1402" s="13"/>
      <c r="Y1402" s="13"/>
      <c r="Z1402" s="13"/>
      <c r="AA1402" s="13"/>
      <c r="AB1402" s="13"/>
      <c r="AM1402" s="6"/>
      <c r="AN1402" s="6"/>
      <c r="AO1402" s="6"/>
      <c r="AP1402" s="6"/>
      <c r="AQ1402" s="6"/>
      <c r="AR1402" s="6"/>
      <c r="AS1402" s="6"/>
      <c r="AT1402" s="6"/>
      <c r="AU1402" s="6"/>
      <c r="AV1402" s="6"/>
      <c r="AW1402" s="6"/>
      <c r="AX1402" s="6"/>
      <c r="AY1402" s="6"/>
      <c r="AZ1402" s="6"/>
      <c r="BA1402" s="6"/>
      <c r="BB1402" s="6"/>
      <c r="BC1402" s="6"/>
      <c r="BD1402" s="6"/>
      <c r="BE1402" s="6"/>
      <c r="BF1402" s="6"/>
      <c r="BG1402" s="6"/>
      <c r="BH1402" s="6"/>
      <c r="BI1402" s="6"/>
      <c r="BJ1402" s="6"/>
      <c r="BK1402" s="6"/>
      <c r="BL1402" s="6"/>
      <c r="BM1402" s="6"/>
      <c r="BN1402" s="6"/>
      <c r="BO1402" s="6"/>
      <c r="BP1402" s="6"/>
      <c r="BQ1402" s="6"/>
    </row>
    <row r="1403" spans="2:69" hidden="1" x14ac:dyDescent="0.2">
      <c r="B1403" s="13"/>
      <c r="C1403" s="13"/>
      <c r="D1403" s="13"/>
      <c r="E1403" s="13"/>
      <c r="F1403" s="13"/>
      <c r="G1403" s="13"/>
      <c r="H1403" s="13"/>
      <c r="I1403" s="13"/>
      <c r="J1403" s="13"/>
      <c r="K1403" s="13"/>
      <c r="L1403" s="13"/>
      <c r="M1403" s="13"/>
      <c r="N1403" s="13"/>
      <c r="O1403" s="13"/>
      <c r="P1403" s="13"/>
      <c r="Q1403" s="13"/>
      <c r="R1403" s="13"/>
      <c r="S1403" s="13"/>
      <c r="T1403" s="13"/>
      <c r="U1403" s="13"/>
      <c r="V1403" s="13"/>
      <c r="W1403" s="13"/>
      <c r="X1403" s="13"/>
      <c r="Y1403" s="13"/>
      <c r="Z1403" s="13"/>
      <c r="AA1403" s="13"/>
      <c r="AB1403" s="13"/>
      <c r="AM1403" s="6"/>
      <c r="AN1403" s="6"/>
      <c r="AO1403" s="6"/>
      <c r="AP1403" s="6"/>
      <c r="AQ1403" s="6"/>
      <c r="AR1403" s="6"/>
      <c r="AS1403" s="6"/>
      <c r="AT1403" s="6"/>
      <c r="AU1403" s="6"/>
      <c r="AV1403" s="6"/>
      <c r="AW1403" s="6"/>
      <c r="AX1403" s="6"/>
      <c r="AY1403" s="6"/>
      <c r="AZ1403" s="6"/>
      <c r="BA1403" s="6"/>
      <c r="BB1403" s="6"/>
      <c r="BC1403" s="6"/>
      <c r="BD1403" s="6"/>
      <c r="BE1403" s="6"/>
      <c r="BF1403" s="6"/>
      <c r="BG1403" s="6"/>
      <c r="BH1403" s="6"/>
      <c r="BI1403" s="6"/>
      <c r="BJ1403" s="6"/>
      <c r="BK1403" s="6"/>
      <c r="BL1403" s="6"/>
      <c r="BM1403" s="6"/>
      <c r="BN1403" s="6"/>
      <c r="BO1403" s="6"/>
      <c r="BP1403" s="6"/>
      <c r="BQ1403" s="6"/>
    </row>
    <row r="1404" spans="2:69" hidden="1" x14ac:dyDescent="0.2">
      <c r="B1404" s="13"/>
      <c r="C1404" s="13"/>
      <c r="D1404" s="13"/>
      <c r="E1404" s="13"/>
      <c r="F1404" s="13"/>
      <c r="G1404" s="13"/>
      <c r="H1404" s="13"/>
      <c r="I1404" s="13"/>
      <c r="J1404" s="13"/>
      <c r="K1404" s="13"/>
      <c r="L1404" s="13"/>
      <c r="M1404" s="13"/>
      <c r="N1404" s="13"/>
      <c r="O1404" s="13"/>
      <c r="P1404" s="13"/>
      <c r="Q1404" s="13"/>
      <c r="R1404" s="13"/>
      <c r="S1404" s="13"/>
      <c r="T1404" s="13"/>
      <c r="U1404" s="13"/>
      <c r="V1404" s="13"/>
      <c r="W1404" s="13"/>
      <c r="X1404" s="13"/>
      <c r="Y1404" s="13"/>
      <c r="Z1404" s="13"/>
      <c r="AA1404" s="13"/>
      <c r="AB1404" s="13"/>
      <c r="AM1404" s="6"/>
      <c r="AN1404" s="6"/>
      <c r="AO1404" s="6"/>
      <c r="AP1404" s="6"/>
      <c r="AQ1404" s="6"/>
      <c r="AR1404" s="6"/>
      <c r="AS1404" s="6"/>
      <c r="AT1404" s="6"/>
      <c r="AU1404" s="6"/>
      <c r="AV1404" s="6"/>
      <c r="AW1404" s="6"/>
      <c r="AX1404" s="6"/>
      <c r="AY1404" s="6"/>
      <c r="AZ1404" s="6"/>
      <c r="BA1404" s="6"/>
      <c r="BB1404" s="6"/>
      <c r="BC1404" s="6"/>
      <c r="BD1404" s="6"/>
      <c r="BE1404" s="6"/>
      <c r="BF1404" s="6"/>
      <c r="BG1404" s="6"/>
      <c r="BH1404" s="6"/>
      <c r="BI1404" s="6"/>
      <c r="BJ1404" s="6"/>
      <c r="BK1404" s="6"/>
      <c r="BL1404" s="6"/>
      <c r="BM1404" s="6"/>
      <c r="BN1404" s="6"/>
      <c r="BO1404" s="6"/>
      <c r="BP1404" s="6"/>
      <c r="BQ1404" s="6"/>
    </row>
    <row r="1405" spans="2:69" hidden="1" x14ac:dyDescent="0.2">
      <c r="B1405" s="13"/>
      <c r="C1405" s="13"/>
      <c r="D1405" s="13"/>
      <c r="E1405" s="13"/>
      <c r="F1405" s="13"/>
      <c r="G1405" s="13"/>
      <c r="H1405" s="13"/>
      <c r="I1405" s="13"/>
      <c r="J1405" s="13"/>
      <c r="K1405" s="13"/>
      <c r="L1405" s="13"/>
      <c r="M1405" s="13"/>
      <c r="N1405" s="13"/>
      <c r="O1405" s="13"/>
      <c r="P1405" s="13"/>
      <c r="Q1405" s="13"/>
      <c r="R1405" s="13"/>
      <c r="S1405" s="13"/>
      <c r="T1405" s="13"/>
      <c r="U1405" s="13"/>
      <c r="V1405" s="13"/>
      <c r="W1405" s="13"/>
      <c r="X1405" s="13"/>
      <c r="Y1405" s="13"/>
      <c r="Z1405" s="13"/>
      <c r="AA1405" s="13"/>
      <c r="AB1405" s="13"/>
      <c r="AM1405" s="6"/>
      <c r="AN1405" s="6"/>
      <c r="AO1405" s="6"/>
      <c r="AP1405" s="6"/>
      <c r="AQ1405" s="6"/>
      <c r="AR1405" s="6"/>
      <c r="AS1405" s="6"/>
      <c r="AT1405" s="6"/>
      <c r="AU1405" s="6"/>
      <c r="AV1405" s="6"/>
      <c r="AW1405" s="6"/>
      <c r="AX1405" s="6"/>
      <c r="AY1405" s="6"/>
      <c r="AZ1405" s="6"/>
      <c r="BA1405" s="6"/>
      <c r="BB1405" s="6"/>
      <c r="BC1405" s="6"/>
      <c r="BD1405" s="6"/>
      <c r="BE1405" s="6"/>
      <c r="BF1405" s="6"/>
      <c r="BG1405" s="6"/>
      <c r="BH1405" s="6"/>
      <c r="BI1405" s="6"/>
      <c r="BJ1405" s="6"/>
      <c r="BK1405" s="6"/>
      <c r="BL1405" s="6"/>
      <c r="BM1405" s="6"/>
      <c r="BN1405" s="6"/>
      <c r="BO1405" s="6"/>
      <c r="BP1405" s="6"/>
      <c r="BQ1405" s="6"/>
    </row>
    <row r="1406" spans="2:69" hidden="1" x14ac:dyDescent="0.2">
      <c r="B1406" s="13"/>
      <c r="C1406" s="13"/>
      <c r="D1406" s="13"/>
      <c r="E1406" s="13"/>
      <c r="F1406" s="13"/>
      <c r="G1406" s="13"/>
      <c r="H1406" s="13"/>
      <c r="I1406" s="13"/>
      <c r="J1406" s="13"/>
      <c r="K1406" s="13"/>
      <c r="L1406" s="13"/>
      <c r="M1406" s="13"/>
      <c r="N1406" s="13"/>
      <c r="O1406" s="13"/>
      <c r="P1406" s="13"/>
      <c r="Q1406" s="13"/>
      <c r="R1406" s="13"/>
      <c r="S1406" s="13"/>
      <c r="T1406" s="13"/>
      <c r="U1406" s="13"/>
      <c r="V1406" s="13"/>
      <c r="W1406" s="13"/>
      <c r="X1406" s="13"/>
      <c r="Y1406" s="13"/>
      <c r="Z1406" s="13"/>
      <c r="AA1406" s="13"/>
      <c r="AB1406" s="13"/>
      <c r="AM1406" s="6"/>
      <c r="AN1406" s="6"/>
      <c r="AO1406" s="6"/>
      <c r="AP1406" s="6"/>
      <c r="AQ1406" s="6"/>
      <c r="AR1406" s="6"/>
      <c r="AS1406" s="6"/>
      <c r="AT1406" s="6"/>
      <c r="AU1406" s="6"/>
      <c r="AV1406" s="6"/>
      <c r="AW1406" s="6"/>
      <c r="AX1406" s="6"/>
      <c r="AY1406" s="6"/>
      <c r="AZ1406" s="6"/>
      <c r="BA1406" s="6"/>
      <c r="BB1406" s="6"/>
      <c r="BC1406" s="6"/>
      <c r="BD1406" s="6"/>
      <c r="BE1406" s="6"/>
      <c r="BF1406" s="6"/>
      <c r="BG1406" s="6"/>
      <c r="BH1406" s="6"/>
      <c r="BI1406" s="6"/>
      <c r="BJ1406" s="6"/>
      <c r="BK1406" s="6"/>
      <c r="BL1406" s="6"/>
      <c r="BM1406" s="6"/>
      <c r="BN1406" s="6"/>
      <c r="BO1406" s="6"/>
      <c r="BP1406" s="6"/>
      <c r="BQ1406" s="6"/>
    </row>
    <row r="1407" spans="2:69" hidden="1" x14ac:dyDescent="0.2">
      <c r="B1407" s="13"/>
      <c r="C1407" s="13"/>
      <c r="D1407" s="13"/>
      <c r="E1407" s="13"/>
      <c r="F1407" s="13"/>
      <c r="G1407" s="13"/>
      <c r="H1407" s="13"/>
      <c r="I1407" s="13"/>
      <c r="J1407" s="13"/>
      <c r="K1407" s="13"/>
      <c r="L1407" s="13"/>
      <c r="M1407" s="13"/>
      <c r="N1407" s="13"/>
      <c r="O1407" s="13"/>
      <c r="P1407" s="13"/>
      <c r="Q1407" s="13"/>
      <c r="R1407" s="13"/>
      <c r="S1407" s="13"/>
      <c r="T1407" s="13"/>
      <c r="U1407" s="13"/>
      <c r="V1407" s="13"/>
      <c r="W1407" s="13"/>
      <c r="X1407" s="13"/>
      <c r="Y1407" s="13"/>
      <c r="Z1407" s="13"/>
      <c r="AA1407" s="13"/>
      <c r="AB1407" s="13"/>
      <c r="AM1407" s="6"/>
      <c r="AN1407" s="6"/>
      <c r="AO1407" s="6"/>
      <c r="AP1407" s="6"/>
      <c r="AQ1407" s="6"/>
      <c r="AR1407" s="6"/>
      <c r="AS1407" s="6"/>
      <c r="AT1407" s="6"/>
      <c r="AU1407" s="6"/>
      <c r="AV1407" s="6"/>
      <c r="AW1407" s="6"/>
      <c r="AX1407" s="6"/>
      <c r="AY1407" s="6"/>
      <c r="AZ1407" s="6"/>
      <c r="BA1407" s="6"/>
      <c r="BB1407" s="6"/>
      <c r="BC1407" s="6"/>
      <c r="BD1407" s="6"/>
      <c r="BE1407" s="6"/>
      <c r="BF1407" s="6"/>
      <c r="BG1407" s="6"/>
      <c r="BH1407" s="6"/>
      <c r="BI1407" s="6"/>
      <c r="BJ1407" s="6"/>
      <c r="BK1407" s="6"/>
      <c r="BL1407" s="6"/>
      <c r="BM1407" s="6"/>
      <c r="BN1407" s="6"/>
      <c r="BO1407" s="6"/>
      <c r="BP1407" s="6"/>
      <c r="BQ1407" s="6"/>
    </row>
    <row r="1408" spans="2:69" hidden="1" x14ac:dyDescent="0.2">
      <c r="B1408" s="13"/>
      <c r="C1408" s="13"/>
      <c r="D1408" s="13"/>
      <c r="E1408" s="13"/>
      <c r="F1408" s="13"/>
      <c r="G1408" s="13"/>
      <c r="H1408" s="13"/>
      <c r="I1408" s="13"/>
      <c r="J1408" s="13"/>
      <c r="K1408" s="13"/>
      <c r="L1408" s="13"/>
      <c r="M1408" s="13"/>
      <c r="N1408" s="13"/>
      <c r="O1408" s="13"/>
      <c r="P1408" s="13"/>
      <c r="Q1408" s="13"/>
      <c r="R1408" s="13"/>
      <c r="S1408" s="13"/>
      <c r="T1408" s="13"/>
      <c r="U1408" s="13"/>
      <c r="V1408" s="13"/>
      <c r="W1408" s="13"/>
      <c r="X1408" s="13"/>
      <c r="Y1408" s="13"/>
      <c r="Z1408" s="13"/>
      <c r="AA1408" s="13"/>
      <c r="AB1408" s="13"/>
      <c r="AM1408" s="6"/>
      <c r="AN1408" s="6"/>
      <c r="AO1408" s="6"/>
      <c r="AP1408" s="6"/>
      <c r="AQ1408" s="6"/>
      <c r="AR1408" s="6"/>
      <c r="AS1408" s="6"/>
      <c r="AT1408" s="6"/>
      <c r="AU1408" s="6"/>
      <c r="AV1408" s="6"/>
      <c r="AW1408" s="6"/>
      <c r="AX1408" s="6"/>
      <c r="AY1408" s="6"/>
      <c r="AZ1408" s="6"/>
      <c r="BA1408" s="6"/>
      <c r="BB1408" s="6"/>
      <c r="BC1408" s="6"/>
      <c r="BD1408" s="6"/>
      <c r="BE1408" s="6"/>
      <c r="BF1408" s="6"/>
      <c r="BG1408" s="6"/>
      <c r="BH1408" s="6"/>
      <c r="BI1408" s="6"/>
      <c r="BJ1408" s="6"/>
      <c r="BK1408" s="6"/>
      <c r="BL1408" s="6"/>
      <c r="BM1408" s="6"/>
      <c r="BN1408" s="6"/>
      <c r="BO1408" s="6"/>
      <c r="BP1408" s="6"/>
      <c r="BQ1408" s="6"/>
    </row>
    <row r="1409" spans="2:69" hidden="1" x14ac:dyDescent="0.2">
      <c r="B1409" s="13"/>
      <c r="C1409" s="13"/>
      <c r="D1409" s="13"/>
      <c r="E1409" s="13"/>
      <c r="F1409" s="13"/>
      <c r="G1409" s="13"/>
      <c r="H1409" s="13"/>
      <c r="I1409" s="13"/>
      <c r="J1409" s="13"/>
      <c r="K1409" s="13"/>
      <c r="L1409" s="13"/>
      <c r="M1409" s="13"/>
      <c r="N1409" s="13"/>
      <c r="O1409" s="13"/>
      <c r="P1409" s="13"/>
      <c r="Q1409" s="13"/>
      <c r="R1409" s="13"/>
      <c r="S1409" s="13"/>
      <c r="T1409" s="13"/>
      <c r="U1409" s="13"/>
      <c r="V1409" s="13"/>
      <c r="W1409" s="13"/>
      <c r="X1409" s="13"/>
      <c r="Y1409" s="13"/>
      <c r="Z1409" s="13"/>
      <c r="AA1409" s="13"/>
      <c r="AB1409" s="13"/>
      <c r="AM1409" s="6"/>
      <c r="AN1409" s="6"/>
      <c r="AO1409" s="6"/>
      <c r="AP1409" s="6"/>
      <c r="AQ1409" s="6"/>
      <c r="AR1409" s="6"/>
      <c r="AS1409" s="6"/>
      <c r="AT1409" s="6"/>
      <c r="AU1409" s="6"/>
      <c r="AV1409" s="6"/>
      <c r="AW1409" s="6"/>
      <c r="AX1409" s="6"/>
      <c r="AY1409" s="6"/>
      <c r="AZ1409" s="6"/>
      <c r="BA1409" s="6"/>
      <c r="BB1409" s="6"/>
      <c r="BC1409" s="6"/>
      <c r="BD1409" s="6"/>
      <c r="BE1409" s="6"/>
      <c r="BF1409" s="6"/>
      <c r="BG1409" s="6"/>
      <c r="BH1409" s="6"/>
      <c r="BI1409" s="6"/>
      <c r="BJ1409" s="6"/>
      <c r="BK1409" s="6"/>
      <c r="BL1409" s="6"/>
      <c r="BM1409" s="6"/>
      <c r="BN1409" s="6"/>
      <c r="BO1409" s="6"/>
      <c r="BP1409" s="6"/>
      <c r="BQ1409" s="6"/>
    </row>
    <row r="1410" spans="2:69" hidden="1" x14ac:dyDescent="0.2">
      <c r="B1410" s="13"/>
      <c r="C1410" s="13"/>
      <c r="D1410" s="13"/>
      <c r="E1410" s="13"/>
      <c r="F1410" s="13"/>
      <c r="G1410" s="13"/>
      <c r="H1410" s="13"/>
      <c r="I1410" s="13"/>
      <c r="J1410" s="13"/>
      <c r="K1410" s="13"/>
      <c r="L1410" s="13"/>
      <c r="M1410" s="13"/>
      <c r="N1410" s="13"/>
      <c r="O1410" s="13"/>
      <c r="P1410" s="13"/>
      <c r="Q1410" s="13"/>
      <c r="R1410" s="13"/>
      <c r="S1410" s="13"/>
      <c r="T1410" s="13"/>
      <c r="U1410" s="13"/>
      <c r="V1410" s="13"/>
      <c r="W1410" s="13"/>
      <c r="X1410" s="13"/>
      <c r="Y1410" s="13"/>
      <c r="Z1410" s="13"/>
      <c r="AA1410" s="13"/>
      <c r="AB1410" s="13"/>
      <c r="AM1410" s="6"/>
      <c r="AN1410" s="6"/>
      <c r="AO1410" s="6"/>
      <c r="AP1410" s="6"/>
      <c r="AQ1410" s="6"/>
      <c r="AR1410" s="6"/>
      <c r="AS1410" s="6"/>
      <c r="AT1410" s="6"/>
      <c r="AU1410" s="6"/>
      <c r="AV1410" s="6"/>
      <c r="AW1410" s="6"/>
      <c r="AX1410" s="6"/>
      <c r="AY1410" s="6"/>
      <c r="AZ1410" s="6"/>
      <c r="BA1410" s="6"/>
      <c r="BB1410" s="6"/>
      <c r="BC1410" s="6"/>
      <c r="BD1410" s="6"/>
      <c r="BE1410" s="6"/>
      <c r="BF1410" s="6"/>
      <c r="BG1410" s="6"/>
      <c r="BH1410" s="6"/>
      <c r="BI1410" s="6"/>
      <c r="BJ1410" s="6"/>
      <c r="BK1410" s="6"/>
      <c r="BL1410" s="6"/>
      <c r="BM1410" s="6"/>
      <c r="BN1410" s="6"/>
      <c r="BO1410" s="6"/>
      <c r="BP1410" s="6"/>
      <c r="BQ1410" s="6"/>
    </row>
    <row r="1411" spans="2:69" hidden="1" x14ac:dyDescent="0.2">
      <c r="B1411" s="13"/>
      <c r="C1411" s="13"/>
      <c r="D1411" s="13"/>
      <c r="E1411" s="13"/>
      <c r="F1411" s="13"/>
      <c r="G1411" s="13"/>
      <c r="H1411" s="13"/>
      <c r="I1411" s="13"/>
      <c r="J1411" s="13"/>
      <c r="K1411" s="13"/>
      <c r="L1411" s="13"/>
      <c r="M1411" s="13"/>
      <c r="N1411" s="13"/>
      <c r="O1411" s="13"/>
      <c r="P1411" s="13"/>
      <c r="Q1411" s="13"/>
      <c r="R1411" s="13"/>
      <c r="S1411" s="13"/>
      <c r="T1411" s="13"/>
      <c r="U1411" s="13"/>
      <c r="V1411" s="13"/>
      <c r="W1411" s="13"/>
      <c r="X1411" s="13"/>
      <c r="Y1411" s="13"/>
      <c r="Z1411" s="13"/>
      <c r="AA1411" s="13"/>
      <c r="AB1411" s="13"/>
      <c r="AM1411" s="6"/>
      <c r="AN1411" s="6"/>
      <c r="AO1411" s="6"/>
      <c r="AP1411" s="6"/>
      <c r="AQ1411" s="6"/>
      <c r="AR1411" s="6"/>
      <c r="AS1411" s="6"/>
      <c r="AT1411" s="6"/>
      <c r="AU1411" s="6"/>
      <c r="AV1411" s="6"/>
      <c r="AW1411" s="6"/>
      <c r="AX1411" s="6"/>
      <c r="AY1411" s="6"/>
      <c r="AZ1411" s="6"/>
      <c r="BA1411" s="6"/>
      <c r="BB1411" s="6"/>
      <c r="BC1411" s="6"/>
      <c r="BD1411" s="6"/>
      <c r="BE1411" s="6"/>
      <c r="BF1411" s="6"/>
      <c r="BG1411" s="6"/>
      <c r="BH1411" s="6"/>
      <c r="BI1411" s="6"/>
      <c r="BJ1411" s="6"/>
      <c r="BK1411" s="6"/>
      <c r="BL1411" s="6"/>
      <c r="BM1411" s="6"/>
      <c r="BN1411" s="6"/>
      <c r="BO1411" s="6"/>
      <c r="BP1411" s="6"/>
      <c r="BQ1411" s="6"/>
    </row>
    <row r="1412" spans="2:69" hidden="1" x14ac:dyDescent="0.2">
      <c r="B1412" s="13"/>
      <c r="C1412" s="13"/>
      <c r="D1412" s="13"/>
      <c r="E1412" s="13"/>
      <c r="F1412" s="13"/>
      <c r="G1412" s="13"/>
      <c r="H1412" s="13"/>
      <c r="I1412" s="13"/>
      <c r="J1412" s="13"/>
      <c r="K1412" s="13"/>
      <c r="L1412" s="13"/>
      <c r="M1412" s="13"/>
      <c r="N1412" s="13"/>
      <c r="O1412" s="13"/>
      <c r="P1412" s="13"/>
      <c r="Q1412" s="13"/>
      <c r="R1412" s="13"/>
      <c r="S1412" s="13"/>
      <c r="T1412" s="13"/>
      <c r="U1412" s="13"/>
      <c r="V1412" s="13"/>
      <c r="W1412" s="13"/>
      <c r="X1412" s="13"/>
      <c r="Y1412" s="13"/>
      <c r="Z1412" s="13"/>
      <c r="AA1412" s="13"/>
      <c r="AB1412" s="13"/>
      <c r="AM1412" s="6"/>
      <c r="AN1412" s="6"/>
      <c r="AO1412" s="6"/>
      <c r="AP1412" s="6"/>
      <c r="AQ1412" s="6"/>
      <c r="AR1412" s="6"/>
      <c r="AS1412" s="6"/>
      <c r="AT1412" s="6"/>
      <c r="AU1412" s="6"/>
      <c r="AV1412" s="6"/>
      <c r="AW1412" s="6"/>
      <c r="AX1412" s="6"/>
      <c r="AY1412" s="6"/>
      <c r="AZ1412" s="6"/>
      <c r="BA1412" s="6"/>
      <c r="BB1412" s="6"/>
      <c r="BC1412" s="6"/>
      <c r="BD1412" s="6"/>
      <c r="BE1412" s="6"/>
      <c r="BF1412" s="6"/>
      <c r="BG1412" s="6"/>
      <c r="BH1412" s="6"/>
      <c r="BI1412" s="6"/>
      <c r="BJ1412" s="6"/>
      <c r="BK1412" s="6"/>
      <c r="BL1412" s="6"/>
      <c r="BM1412" s="6"/>
      <c r="BN1412" s="6"/>
      <c r="BO1412" s="6"/>
      <c r="BP1412" s="6"/>
      <c r="BQ1412" s="6"/>
    </row>
    <row r="1413" spans="2:69" hidden="1" x14ac:dyDescent="0.2">
      <c r="B1413" s="13"/>
      <c r="C1413" s="13"/>
      <c r="D1413" s="13"/>
      <c r="E1413" s="13"/>
      <c r="F1413" s="13"/>
      <c r="G1413" s="13"/>
      <c r="H1413" s="13"/>
      <c r="I1413" s="13"/>
      <c r="J1413" s="13"/>
      <c r="K1413" s="13"/>
      <c r="L1413" s="13"/>
      <c r="M1413" s="13"/>
      <c r="N1413" s="13"/>
      <c r="O1413" s="13"/>
      <c r="P1413" s="13"/>
      <c r="Q1413" s="13"/>
      <c r="R1413" s="13"/>
      <c r="S1413" s="13"/>
      <c r="T1413" s="13"/>
      <c r="U1413" s="13"/>
      <c r="V1413" s="13"/>
      <c r="W1413" s="13"/>
      <c r="X1413" s="13"/>
      <c r="Y1413" s="13"/>
      <c r="Z1413" s="13"/>
      <c r="AA1413" s="13"/>
      <c r="AB1413" s="13"/>
      <c r="AM1413" s="6"/>
      <c r="AN1413" s="6"/>
      <c r="AO1413" s="6"/>
      <c r="AP1413" s="6"/>
      <c r="AQ1413" s="6"/>
      <c r="AR1413" s="6"/>
      <c r="AS1413" s="6"/>
      <c r="AT1413" s="6"/>
      <c r="AU1413" s="6"/>
      <c r="AV1413" s="6"/>
      <c r="AW1413" s="6"/>
      <c r="AX1413" s="6"/>
      <c r="AY1413" s="6"/>
      <c r="AZ1413" s="6"/>
      <c r="BA1413" s="6"/>
      <c r="BB1413" s="6"/>
      <c r="BC1413" s="6"/>
      <c r="BD1413" s="6"/>
      <c r="BE1413" s="6"/>
      <c r="BF1413" s="6"/>
      <c r="BG1413" s="6"/>
      <c r="BH1413" s="6"/>
      <c r="BI1413" s="6"/>
      <c r="BJ1413" s="6"/>
      <c r="BK1413" s="6"/>
      <c r="BL1413" s="6"/>
      <c r="BM1413" s="6"/>
      <c r="BN1413" s="6"/>
      <c r="BO1413" s="6"/>
      <c r="BP1413" s="6"/>
      <c r="BQ1413" s="6"/>
    </row>
    <row r="1414" spans="2:69" hidden="1" x14ac:dyDescent="0.2">
      <c r="B1414" s="13"/>
      <c r="C1414" s="13"/>
      <c r="D1414" s="13"/>
      <c r="E1414" s="13"/>
      <c r="F1414" s="13"/>
      <c r="G1414" s="13"/>
      <c r="H1414" s="13"/>
      <c r="I1414" s="13"/>
      <c r="J1414" s="13"/>
      <c r="K1414" s="13"/>
      <c r="L1414" s="13"/>
      <c r="M1414" s="13"/>
      <c r="N1414" s="13"/>
      <c r="O1414" s="13"/>
      <c r="P1414" s="13"/>
      <c r="Q1414" s="13"/>
      <c r="R1414" s="13"/>
      <c r="S1414" s="13"/>
      <c r="T1414" s="13"/>
      <c r="U1414" s="13"/>
      <c r="V1414" s="13"/>
      <c r="W1414" s="13"/>
      <c r="X1414" s="13"/>
      <c r="Y1414" s="13"/>
      <c r="Z1414" s="13"/>
      <c r="AA1414" s="13"/>
      <c r="AB1414" s="13"/>
      <c r="AM1414" s="6"/>
      <c r="AN1414" s="6"/>
      <c r="AO1414" s="6"/>
      <c r="AP1414" s="6"/>
      <c r="AQ1414" s="6"/>
      <c r="AR1414" s="6"/>
      <c r="AS1414" s="6"/>
      <c r="AT1414" s="6"/>
      <c r="AU1414" s="6"/>
      <c r="AV1414" s="6"/>
      <c r="AW1414" s="6"/>
      <c r="AX1414" s="6"/>
      <c r="AY1414" s="6"/>
      <c r="AZ1414" s="6"/>
      <c r="BA1414" s="6"/>
      <c r="BB1414" s="6"/>
      <c r="BC1414" s="6"/>
      <c r="BD1414" s="6"/>
      <c r="BE1414" s="6"/>
      <c r="BF1414" s="6"/>
      <c r="BG1414" s="6"/>
      <c r="BH1414" s="6"/>
      <c r="BI1414" s="6"/>
      <c r="BJ1414" s="6"/>
      <c r="BK1414" s="6"/>
      <c r="BL1414" s="6"/>
      <c r="BM1414" s="6"/>
      <c r="BN1414" s="6"/>
      <c r="BO1414" s="6"/>
      <c r="BP1414" s="6"/>
      <c r="BQ1414" s="6"/>
    </row>
    <row r="1415" spans="2:69" hidden="1" x14ac:dyDescent="0.2">
      <c r="B1415" s="13"/>
      <c r="C1415" s="13"/>
      <c r="D1415" s="13"/>
      <c r="E1415" s="13"/>
      <c r="F1415" s="13"/>
      <c r="G1415" s="13"/>
      <c r="H1415" s="13"/>
      <c r="I1415" s="13"/>
      <c r="J1415" s="13"/>
      <c r="K1415" s="13"/>
      <c r="L1415" s="13"/>
      <c r="M1415" s="13"/>
      <c r="N1415" s="13"/>
      <c r="O1415" s="13"/>
      <c r="P1415" s="13"/>
      <c r="Q1415" s="13"/>
      <c r="R1415" s="13"/>
      <c r="S1415" s="13"/>
      <c r="T1415" s="13"/>
      <c r="U1415" s="13"/>
      <c r="V1415" s="13"/>
      <c r="W1415" s="13"/>
      <c r="X1415" s="13"/>
      <c r="Y1415" s="13"/>
      <c r="Z1415" s="13"/>
      <c r="AA1415" s="13"/>
      <c r="AB1415" s="13"/>
      <c r="AM1415" s="6"/>
      <c r="AN1415" s="6"/>
      <c r="AO1415" s="6"/>
      <c r="AP1415" s="6"/>
      <c r="AQ1415" s="6"/>
      <c r="AR1415" s="6"/>
      <c r="AS1415" s="6"/>
      <c r="AT1415" s="6"/>
      <c r="AU1415" s="6"/>
      <c r="AV1415" s="6"/>
      <c r="AW1415" s="6"/>
      <c r="AX1415" s="6"/>
      <c r="AY1415" s="6"/>
      <c r="AZ1415" s="6"/>
      <c r="BA1415" s="6"/>
      <c r="BB1415" s="6"/>
      <c r="BC1415" s="6"/>
      <c r="BD1415" s="6"/>
      <c r="BE1415" s="6"/>
      <c r="BF1415" s="6"/>
      <c r="BG1415" s="6"/>
      <c r="BH1415" s="6"/>
      <c r="BI1415" s="6"/>
      <c r="BJ1415" s="6"/>
      <c r="BK1415" s="6"/>
      <c r="BL1415" s="6"/>
      <c r="BM1415" s="6"/>
      <c r="BN1415" s="6"/>
      <c r="BO1415" s="6"/>
      <c r="BP1415" s="6"/>
      <c r="BQ1415" s="6"/>
    </row>
    <row r="1416" spans="2:69" hidden="1" x14ac:dyDescent="0.2">
      <c r="B1416" s="13"/>
      <c r="C1416" s="13"/>
      <c r="D1416" s="13"/>
      <c r="E1416" s="13"/>
      <c r="F1416" s="13"/>
      <c r="G1416" s="13"/>
      <c r="H1416" s="13"/>
      <c r="I1416" s="13"/>
      <c r="J1416" s="13"/>
      <c r="K1416" s="13"/>
      <c r="L1416" s="13"/>
      <c r="M1416" s="13"/>
      <c r="N1416" s="13"/>
      <c r="O1416" s="13"/>
      <c r="P1416" s="13"/>
      <c r="Q1416" s="13"/>
      <c r="R1416" s="13"/>
      <c r="S1416" s="13"/>
      <c r="T1416" s="13"/>
      <c r="U1416" s="13"/>
      <c r="V1416" s="13"/>
      <c r="W1416" s="13"/>
      <c r="X1416" s="13"/>
      <c r="Y1416" s="13"/>
      <c r="Z1416" s="13"/>
      <c r="AA1416" s="13"/>
      <c r="AB1416" s="13"/>
      <c r="AM1416" s="6"/>
      <c r="AN1416" s="6"/>
      <c r="AO1416" s="6"/>
      <c r="AP1416" s="6"/>
      <c r="AQ1416" s="6"/>
      <c r="AR1416" s="6"/>
      <c r="AS1416" s="6"/>
      <c r="AT1416" s="6"/>
      <c r="AU1416" s="6"/>
      <c r="AV1416" s="6"/>
      <c r="AW1416" s="6"/>
      <c r="AX1416" s="6"/>
      <c r="AY1416" s="6"/>
      <c r="AZ1416" s="6"/>
      <c r="BA1416" s="6"/>
      <c r="BB1416" s="6"/>
      <c r="BC1416" s="6"/>
      <c r="BD1416" s="6"/>
      <c r="BE1416" s="6"/>
      <c r="BF1416" s="6"/>
      <c r="BG1416" s="6"/>
      <c r="BH1416" s="6"/>
      <c r="BI1416" s="6"/>
      <c r="BJ1416" s="6"/>
      <c r="BK1416" s="6"/>
      <c r="BL1416" s="6"/>
      <c r="BM1416" s="6"/>
      <c r="BN1416" s="6"/>
      <c r="BO1416" s="6"/>
      <c r="BP1416" s="6"/>
      <c r="BQ1416" s="6"/>
    </row>
    <row r="1417" spans="2:69" hidden="1" x14ac:dyDescent="0.2">
      <c r="B1417" s="13"/>
      <c r="C1417" s="13"/>
      <c r="D1417" s="13"/>
      <c r="E1417" s="13"/>
      <c r="F1417" s="13"/>
      <c r="G1417" s="13"/>
      <c r="H1417" s="13"/>
      <c r="I1417" s="13"/>
      <c r="J1417" s="13"/>
      <c r="K1417" s="13"/>
      <c r="L1417" s="13"/>
      <c r="M1417" s="13"/>
      <c r="N1417" s="13"/>
      <c r="O1417" s="13"/>
      <c r="P1417" s="13"/>
      <c r="Q1417" s="13"/>
      <c r="R1417" s="13"/>
      <c r="S1417" s="13"/>
      <c r="T1417" s="13"/>
      <c r="U1417" s="13"/>
      <c r="V1417" s="13"/>
      <c r="W1417" s="13"/>
      <c r="X1417" s="13"/>
      <c r="Y1417" s="13"/>
      <c r="Z1417" s="13"/>
      <c r="AA1417" s="13"/>
      <c r="AB1417" s="13"/>
      <c r="AM1417" s="6"/>
      <c r="AN1417" s="6"/>
      <c r="AO1417" s="6"/>
      <c r="AP1417" s="6"/>
      <c r="AQ1417" s="6"/>
      <c r="AR1417" s="6"/>
      <c r="AS1417" s="6"/>
      <c r="AT1417" s="6"/>
      <c r="AU1417" s="6"/>
      <c r="AV1417" s="6"/>
      <c r="AW1417" s="6"/>
      <c r="AX1417" s="6"/>
      <c r="AY1417" s="6"/>
      <c r="AZ1417" s="6"/>
      <c r="BA1417" s="6"/>
      <c r="BB1417" s="6"/>
      <c r="BC1417" s="6"/>
      <c r="BD1417" s="6"/>
      <c r="BE1417" s="6"/>
      <c r="BF1417" s="6"/>
      <c r="BG1417" s="6"/>
      <c r="BH1417" s="6"/>
      <c r="BI1417" s="6"/>
      <c r="BJ1417" s="6"/>
      <c r="BK1417" s="6"/>
      <c r="BL1417" s="6"/>
      <c r="BM1417" s="6"/>
      <c r="BN1417" s="6"/>
      <c r="BO1417" s="6"/>
      <c r="BP1417" s="6"/>
      <c r="BQ1417" s="6"/>
    </row>
    <row r="1418" spans="2:69" hidden="1" x14ac:dyDescent="0.2">
      <c r="B1418" s="13"/>
      <c r="C1418" s="13"/>
      <c r="D1418" s="13"/>
      <c r="E1418" s="13"/>
      <c r="F1418" s="13"/>
      <c r="G1418" s="13"/>
      <c r="H1418" s="13"/>
      <c r="I1418" s="13"/>
      <c r="J1418" s="13"/>
      <c r="K1418" s="13"/>
      <c r="L1418" s="13"/>
      <c r="M1418" s="13"/>
      <c r="N1418" s="13"/>
      <c r="O1418" s="13"/>
      <c r="P1418" s="13"/>
      <c r="Q1418" s="13"/>
      <c r="R1418" s="13"/>
      <c r="S1418" s="13"/>
      <c r="T1418" s="13"/>
      <c r="U1418" s="13"/>
      <c r="V1418" s="13"/>
      <c r="W1418" s="13"/>
      <c r="X1418" s="13"/>
      <c r="Y1418" s="13"/>
      <c r="Z1418" s="13"/>
      <c r="AA1418" s="13"/>
      <c r="AB1418" s="13"/>
      <c r="AM1418" s="6"/>
      <c r="AN1418" s="6"/>
      <c r="AO1418" s="6"/>
      <c r="AP1418" s="6"/>
      <c r="AQ1418" s="6"/>
      <c r="AR1418" s="6"/>
      <c r="AS1418" s="6"/>
      <c r="AT1418" s="6"/>
      <c r="AU1418" s="6"/>
      <c r="AV1418" s="6"/>
      <c r="AW1418" s="6"/>
      <c r="AX1418" s="6"/>
      <c r="AY1418" s="6"/>
      <c r="AZ1418" s="6"/>
      <c r="BA1418" s="6"/>
      <c r="BB1418" s="6"/>
      <c r="BC1418" s="6"/>
      <c r="BD1418" s="6"/>
      <c r="BE1418" s="6"/>
      <c r="BF1418" s="6"/>
      <c r="BG1418" s="6"/>
      <c r="BH1418" s="6"/>
      <c r="BI1418" s="6"/>
      <c r="BJ1418" s="6"/>
      <c r="BK1418" s="6"/>
      <c r="BL1418" s="6"/>
      <c r="BM1418" s="6"/>
      <c r="BN1418" s="6"/>
      <c r="BO1418" s="6"/>
      <c r="BP1418" s="6"/>
      <c r="BQ1418" s="6"/>
    </row>
    <row r="1419" spans="2:69" hidden="1" x14ac:dyDescent="0.2">
      <c r="B1419" s="13"/>
      <c r="C1419" s="13"/>
      <c r="D1419" s="13"/>
      <c r="E1419" s="13"/>
      <c r="F1419" s="13"/>
      <c r="G1419" s="13"/>
      <c r="H1419" s="13"/>
      <c r="I1419" s="13"/>
      <c r="J1419" s="13"/>
      <c r="K1419" s="13"/>
      <c r="L1419" s="13"/>
      <c r="M1419" s="13"/>
      <c r="N1419" s="13"/>
      <c r="O1419" s="13"/>
      <c r="P1419" s="13"/>
      <c r="Q1419" s="13"/>
      <c r="R1419" s="13"/>
      <c r="S1419" s="13"/>
      <c r="T1419" s="13"/>
      <c r="U1419" s="13"/>
      <c r="V1419" s="13"/>
      <c r="W1419" s="13"/>
      <c r="X1419" s="13"/>
      <c r="Y1419" s="13"/>
      <c r="Z1419" s="13"/>
      <c r="AA1419" s="13"/>
      <c r="AB1419" s="13"/>
      <c r="AM1419" s="6"/>
      <c r="AN1419" s="6"/>
      <c r="AO1419" s="6"/>
      <c r="AP1419" s="6"/>
      <c r="AQ1419" s="6"/>
      <c r="AR1419" s="6"/>
      <c r="AS1419" s="6"/>
      <c r="AT1419" s="6"/>
      <c r="AU1419" s="6"/>
      <c r="AV1419" s="6"/>
      <c r="AW1419" s="6"/>
      <c r="AX1419" s="6"/>
      <c r="AY1419" s="6"/>
      <c r="AZ1419" s="6"/>
      <c r="BA1419" s="6"/>
      <c r="BB1419" s="6"/>
      <c r="BC1419" s="6"/>
      <c r="BD1419" s="6"/>
      <c r="BE1419" s="6"/>
      <c r="BF1419" s="6"/>
      <c r="BG1419" s="6"/>
      <c r="BH1419" s="6"/>
      <c r="BI1419" s="6"/>
      <c r="BJ1419" s="6"/>
      <c r="BK1419" s="6"/>
      <c r="BL1419" s="6"/>
      <c r="BM1419" s="6"/>
      <c r="BN1419" s="6"/>
      <c r="BO1419" s="6"/>
      <c r="BP1419" s="6"/>
      <c r="BQ1419" s="6"/>
    </row>
    <row r="1420" spans="2:69" hidden="1" x14ac:dyDescent="0.2">
      <c r="B1420" s="13"/>
      <c r="C1420" s="13"/>
      <c r="D1420" s="13"/>
      <c r="E1420" s="13"/>
      <c r="F1420" s="13"/>
      <c r="G1420" s="13"/>
      <c r="H1420" s="13"/>
      <c r="I1420" s="13"/>
      <c r="J1420" s="13"/>
      <c r="K1420" s="13"/>
      <c r="L1420" s="13"/>
      <c r="M1420" s="13"/>
      <c r="N1420" s="13"/>
      <c r="O1420" s="13"/>
      <c r="P1420" s="13"/>
      <c r="Q1420" s="13"/>
      <c r="R1420" s="13"/>
      <c r="S1420" s="13"/>
      <c r="T1420" s="13"/>
      <c r="U1420" s="13"/>
      <c r="V1420" s="13"/>
      <c r="W1420" s="13"/>
      <c r="X1420" s="13"/>
      <c r="Y1420" s="13"/>
      <c r="Z1420" s="13"/>
      <c r="AA1420" s="13"/>
      <c r="AB1420" s="13"/>
      <c r="AM1420" s="6"/>
      <c r="AN1420" s="6"/>
      <c r="AO1420" s="6"/>
      <c r="AP1420" s="6"/>
      <c r="AQ1420" s="6"/>
      <c r="AR1420" s="6"/>
      <c r="AS1420" s="6"/>
      <c r="AT1420" s="6"/>
      <c r="AU1420" s="6"/>
      <c r="AV1420" s="6"/>
      <c r="AW1420" s="6"/>
      <c r="AX1420" s="6"/>
      <c r="AY1420" s="6"/>
      <c r="AZ1420" s="6"/>
      <c r="BA1420" s="6"/>
      <c r="BB1420" s="6"/>
      <c r="BC1420" s="6"/>
      <c r="BD1420" s="6"/>
      <c r="BE1420" s="6"/>
      <c r="BF1420" s="6"/>
      <c r="BG1420" s="6"/>
      <c r="BH1420" s="6"/>
      <c r="BI1420" s="6"/>
      <c r="BJ1420" s="6"/>
      <c r="BK1420" s="6"/>
      <c r="BL1420" s="6"/>
      <c r="BM1420" s="6"/>
      <c r="BN1420" s="6"/>
      <c r="BO1420" s="6"/>
      <c r="BP1420" s="6"/>
      <c r="BQ1420" s="6"/>
    </row>
    <row r="1421" spans="2:69" hidden="1" x14ac:dyDescent="0.2">
      <c r="B1421" s="13"/>
      <c r="C1421" s="13"/>
      <c r="D1421" s="13"/>
      <c r="E1421" s="13"/>
      <c r="F1421" s="13"/>
      <c r="G1421" s="13"/>
      <c r="H1421" s="13"/>
      <c r="I1421" s="13"/>
      <c r="J1421" s="13"/>
      <c r="K1421" s="13"/>
      <c r="L1421" s="13"/>
      <c r="M1421" s="13"/>
      <c r="N1421" s="13"/>
      <c r="O1421" s="13"/>
      <c r="P1421" s="13"/>
      <c r="Q1421" s="13"/>
      <c r="R1421" s="13"/>
      <c r="S1421" s="13"/>
      <c r="T1421" s="13"/>
      <c r="U1421" s="13"/>
      <c r="V1421" s="13"/>
      <c r="W1421" s="13"/>
      <c r="X1421" s="13"/>
      <c r="Y1421" s="13"/>
      <c r="Z1421" s="13"/>
      <c r="AA1421" s="13"/>
      <c r="AB1421" s="13"/>
      <c r="AM1421" s="6"/>
      <c r="AN1421" s="6"/>
      <c r="AO1421" s="6"/>
      <c r="AP1421" s="6"/>
      <c r="AQ1421" s="6"/>
      <c r="AR1421" s="6"/>
      <c r="AS1421" s="6"/>
      <c r="AT1421" s="6"/>
      <c r="AU1421" s="6"/>
      <c r="AV1421" s="6"/>
      <c r="AW1421" s="6"/>
      <c r="AX1421" s="6"/>
      <c r="AY1421" s="6"/>
      <c r="AZ1421" s="6"/>
      <c r="BA1421" s="6"/>
      <c r="BB1421" s="6"/>
      <c r="BC1421" s="6"/>
      <c r="BD1421" s="6"/>
      <c r="BE1421" s="6"/>
      <c r="BF1421" s="6"/>
      <c r="BG1421" s="6"/>
      <c r="BH1421" s="6"/>
      <c r="BI1421" s="6"/>
      <c r="BJ1421" s="6"/>
      <c r="BK1421" s="6"/>
      <c r="BL1421" s="6"/>
      <c r="BM1421" s="6"/>
      <c r="BN1421" s="6"/>
      <c r="BO1421" s="6"/>
      <c r="BP1421" s="6"/>
      <c r="BQ1421" s="6"/>
    </row>
    <row r="1422" spans="2:69" hidden="1" x14ac:dyDescent="0.2">
      <c r="B1422" s="13"/>
      <c r="C1422" s="13"/>
      <c r="D1422" s="13"/>
      <c r="E1422" s="13"/>
      <c r="F1422" s="13"/>
      <c r="G1422" s="13"/>
      <c r="H1422" s="13"/>
      <c r="I1422" s="13"/>
      <c r="J1422" s="13"/>
      <c r="K1422" s="13"/>
      <c r="L1422" s="13"/>
      <c r="M1422" s="13"/>
      <c r="N1422" s="13"/>
      <c r="O1422" s="13"/>
      <c r="P1422" s="13"/>
      <c r="Q1422" s="13"/>
      <c r="R1422" s="13"/>
      <c r="S1422" s="13"/>
      <c r="T1422" s="13"/>
      <c r="U1422" s="13"/>
      <c r="V1422" s="13"/>
      <c r="W1422" s="13"/>
      <c r="X1422" s="13"/>
      <c r="Y1422" s="13"/>
      <c r="Z1422" s="13"/>
      <c r="AA1422" s="13"/>
      <c r="AB1422" s="13"/>
      <c r="AM1422" s="6"/>
      <c r="AN1422" s="6"/>
      <c r="AO1422" s="6"/>
      <c r="AP1422" s="6"/>
      <c r="AQ1422" s="6"/>
      <c r="AR1422" s="6"/>
      <c r="AS1422" s="6"/>
      <c r="AT1422" s="6"/>
      <c r="AU1422" s="6"/>
      <c r="AV1422" s="6"/>
      <c r="AW1422" s="6"/>
      <c r="AX1422" s="6"/>
      <c r="AY1422" s="6"/>
      <c r="AZ1422" s="6"/>
      <c r="BA1422" s="6"/>
      <c r="BB1422" s="6"/>
      <c r="BC1422" s="6"/>
      <c r="BD1422" s="6"/>
      <c r="BE1422" s="6"/>
      <c r="BF1422" s="6"/>
      <c r="BG1422" s="6"/>
      <c r="BH1422" s="6"/>
      <c r="BI1422" s="6"/>
      <c r="BJ1422" s="6"/>
      <c r="BK1422" s="6"/>
      <c r="BL1422" s="6"/>
      <c r="BM1422" s="6"/>
      <c r="BN1422" s="6"/>
      <c r="BO1422" s="6"/>
      <c r="BP1422" s="6"/>
      <c r="BQ1422" s="6"/>
    </row>
    <row r="1423" spans="2:69" hidden="1" x14ac:dyDescent="0.2">
      <c r="B1423" s="13"/>
      <c r="C1423" s="13"/>
      <c r="D1423" s="13"/>
      <c r="E1423" s="13"/>
      <c r="F1423" s="13"/>
      <c r="G1423" s="13"/>
      <c r="H1423" s="13"/>
      <c r="I1423" s="13"/>
      <c r="J1423" s="13"/>
      <c r="K1423" s="13"/>
      <c r="L1423" s="13"/>
      <c r="M1423" s="13"/>
      <c r="N1423" s="13"/>
      <c r="O1423" s="13"/>
      <c r="P1423" s="13"/>
      <c r="Q1423" s="13"/>
      <c r="R1423" s="13"/>
      <c r="S1423" s="13"/>
      <c r="T1423" s="13"/>
      <c r="U1423" s="13"/>
      <c r="V1423" s="13"/>
      <c r="W1423" s="13"/>
      <c r="X1423" s="13"/>
      <c r="Y1423" s="13"/>
      <c r="Z1423" s="13"/>
      <c r="AA1423" s="13"/>
      <c r="AB1423" s="13"/>
      <c r="AM1423" s="6"/>
      <c r="AN1423" s="6"/>
      <c r="AO1423" s="6"/>
      <c r="AP1423" s="6"/>
      <c r="AQ1423" s="6"/>
      <c r="AR1423" s="6"/>
      <c r="AS1423" s="6"/>
      <c r="AT1423" s="6"/>
      <c r="AU1423" s="6"/>
      <c r="AV1423" s="6"/>
      <c r="AW1423" s="6"/>
      <c r="AX1423" s="6"/>
      <c r="AY1423" s="6"/>
      <c r="AZ1423" s="6"/>
      <c r="BA1423" s="6"/>
      <c r="BB1423" s="6"/>
      <c r="BC1423" s="6"/>
      <c r="BD1423" s="6"/>
      <c r="BE1423" s="6"/>
      <c r="BF1423" s="6"/>
      <c r="BG1423" s="6"/>
      <c r="BH1423" s="6"/>
      <c r="BI1423" s="6"/>
      <c r="BJ1423" s="6"/>
      <c r="BK1423" s="6"/>
      <c r="BL1423" s="6"/>
      <c r="BM1423" s="6"/>
      <c r="BN1423" s="6"/>
      <c r="BO1423" s="6"/>
      <c r="BP1423" s="6"/>
      <c r="BQ1423" s="6"/>
    </row>
    <row r="1424" spans="2:69" hidden="1" x14ac:dyDescent="0.2">
      <c r="B1424" s="13"/>
      <c r="C1424" s="13"/>
      <c r="D1424" s="13"/>
      <c r="E1424" s="13"/>
      <c r="F1424" s="13"/>
      <c r="G1424" s="13"/>
      <c r="H1424" s="13"/>
      <c r="I1424" s="13"/>
      <c r="J1424" s="13"/>
      <c r="K1424" s="13"/>
      <c r="L1424" s="13"/>
      <c r="M1424" s="13"/>
      <c r="N1424" s="13"/>
      <c r="O1424" s="13"/>
      <c r="P1424" s="13"/>
      <c r="Q1424" s="13"/>
      <c r="R1424" s="13"/>
      <c r="S1424" s="13"/>
      <c r="T1424" s="13"/>
      <c r="U1424" s="13"/>
      <c r="V1424" s="13"/>
      <c r="W1424" s="13"/>
      <c r="X1424" s="13"/>
      <c r="Y1424" s="13"/>
      <c r="Z1424" s="13"/>
      <c r="AA1424" s="13"/>
      <c r="AB1424" s="13"/>
      <c r="AM1424" s="6"/>
      <c r="AN1424" s="6"/>
      <c r="AO1424" s="6"/>
      <c r="AP1424" s="6"/>
      <c r="AQ1424" s="6"/>
      <c r="AR1424" s="6"/>
      <c r="AS1424" s="6"/>
      <c r="AT1424" s="6"/>
      <c r="AU1424" s="6"/>
      <c r="AV1424" s="6"/>
      <c r="AW1424" s="6"/>
      <c r="AX1424" s="6"/>
      <c r="AY1424" s="6"/>
      <c r="AZ1424" s="6"/>
      <c r="BA1424" s="6"/>
      <c r="BB1424" s="6"/>
      <c r="BC1424" s="6"/>
      <c r="BD1424" s="6"/>
      <c r="BE1424" s="6"/>
      <c r="BF1424" s="6"/>
      <c r="BG1424" s="6"/>
      <c r="BH1424" s="6"/>
      <c r="BI1424" s="6"/>
      <c r="BJ1424" s="6"/>
      <c r="BK1424" s="6"/>
      <c r="BL1424" s="6"/>
      <c r="BM1424" s="6"/>
      <c r="BN1424" s="6"/>
      <c r="BO1424" s="6"/>
      <c r="BP1424" s="6"/>
      <c r="BQ1424" s="6"/>
    </row>
    <row r="1425" spans="2:69" hidden="1" x14ac:dyDescent="0.2">
      <c r="B1425" s="13"/>
      <c r="C1425" s="13"/>
      <c r="D1425" s="13"/>
      <c r="E1425" s="13"/>
      <c r="F1425" s="13"/>
      <c r="G1425" s="13"/>
      <c r="H1425" s="13"/>
      <c r="I1425" s="13"/>
      <c r="J1425" s="13"/>
      <c r="K1425" s="13"/>
      <c r="L1425" s="13"/>
      <c r="M1425" s="13"/>
      <c r="N1425" s="13"/>
      <c r="O1425" s="13"/>
      <c r="P1425" s="13"/>
      <c r="Q1425" s="13"/>
      <c r="R1425" s="13"/>
      <c r="S1425" s="13"/>
      <c r="T1425" s="13"/>
      <c r="U1425" s="13"/>
      <c r="V1425" s="13"/>
      <c r="W1425" s="13"/>
      <c r="X1425" s="13"/>
      <c r="Y1425" s="13"/>
      <c r="Z1425" s="13"/>
      <c r="AA1425" s="13"/>
      <c r="AB1425" s="13"/>
      <c r="AM1425" s="6"/>
      <c r="AN1425" s="6"/>
      <c r="AO1425" s="6"/>
      <c r="AP1425" s="6"/>
      <c r="AQ1425" s="6"/>
      <c r="AR1425" s="6"/>
      <c r="AS1425" s="6"/>
      <c r="AT1425" s="6"/>
      <c r="AU1425" s="6"/>
      <c r="AV1425" s="6"/>
      <c r="AW1425" s="6"/>
      <c r="AX1425" s="6"/>
      <c r="AY1425" s="6"/>
      <c r="AZ1425" s="6"/>
      <c r="BA1425" s="6"/>
      <c r="BB1425" s="6"/>
      <c r="BC1425" s="6"/>
      <c r="BD1425" s="6"/>
      <c r="BE1425" s="6"/>
      <c r="BF1425" s="6"/>
      <c r="BG1425" s="6"/>
      <c r="BH1425" s="6"/>
      <c r="BI1425" s="6"/>
      <c r="BJ1425" s="6"/>
      <c r="BK1425" s="6"/>
      <c r="BL1425" s="6"/>
      <c r="BM1425" s="6"/>
      <c r="BN1425" s="6"/>
      <c r="BO1425" s="6"/>
      <c r="BP1425" s="6"/>
      <c r="BQ1425" s="6"/>
    </row>
    <row r="1426" spans="2:69" hidden="1" x14ac:dyDescent="0.2">
      <c r="B1426" s="13"/>
      <c r="C1426" s="13"/>
      <c r="D1426" s="13"/>
      <c r="E1426" s="13"/>
      <c r="F1426" s="13"/>
      <c r="G1426" s="13"/>
      <c r="H1426" s="13"/>
      <c r="I1426" s="13"/>
      <c r="J1426" s="13"/>
      <c r="K1426" s="13"/>
      <c r="L1426" s="13"/>
      <c r="M1426" s="13"/>
      <c r="N1426" s="13"/>
      <c r="O1426" s="13"/>
      <c r="P1426" s="13"/>
      <c r="Q1426" s="13"/>
      <c r="R1426" s="13"/>
      <c r="S1426" s="13"/>
      <c r="T1426" s="13"/>
      <c r="U1426" s="13"/>
      <c r="V1426" s="13"/>
      <c r="W1426" s="13"/>
      <c r="X1426" s="13"/>
      <c r="Y1426" s="13"/>
      <c r="Z1426" s="13"/>
      <c r="AA1426" s="13"/>
      <c r="AB1426" s="13"/>
      <c r="AM1426" s="6"/>
      <c r="AN1426" s="6"/>
      <c r="AO1426" s="6"/>
      <c r="AP1426" s="6"/>
      <c r="AQ1426" s="6"/>
      <c r="AR1426" s="6"/>
      <c r="AS1426" s="6"/>
      <c r="AT1426" s="6"/>
      <c r="AU1426" s="6"/>
      <c r="AV1426" s="6"/>
      <c r="AW1426" s="6"/>
      <c r="AX1426" s="6"/>
      <c r="AY1426" s="6"/>
      <c r="AZ1426" s="6"/>
      <c r="BA1426" s="6"/>
      <c r="BB1426" s="6"/>
      <c r="BC1426" s="6"/>
      <c r="BD1426" s="6"/>
      <c r="BE1426" s="6"/>
      <c r="BF1426" s="6"/>
      <c r="BG1426" s="6"/>
      <c r="BH1426" s="6"/>
      <c r="BI1426" s="6"/>
      <c r="BJ1426" s="6"/>
      <c r="BK1426" s="6"/>
      <c r="BL1426" s="6"/>
      <c r="BM1426" s="6"/>
      <c r="BN1426" s="6"/>
      <c r="BO1426" s="6"/>
      <c r="BP1426" s="6"/>
      <c r="BQ1426" s="6"/>
    </row>
    <row r="1427" spans="2:69" hidden="1" x14ac:dyDescent="0.2">
      <c r="B1427" s="13"/>
      <c r="C1427" s="13"/>
      <c r="D1427" s="13"/>
      <c r="E1427" s="13"/>
      <c r="F1427" s="13"/>
      <c r="G1427" s="13"/>
      <c r="H1427" s="13"/>
      <c r="I1427" s="13"/>
      <c r="J1427" s="13"/>
      <c r="K1427" s="13"/>
      <c r="L1427" s="13"/>
      <c r="M1427" s="13"/>
      <c r="N1427" s="13"/>
      <c r="O1427" s="13"/>
      <c r="P1427" s="13"/>
      <c r="Q1427" s="13"/>
      <c r="R1427" s="13"/>
      <c r="S1427" s="13"/>
      <c r="T1427" s="13"/>
      <c r="U1427" s="13"/>
      <c r="V1427" s="13"/>
      <c r="W1427" s="13"/>
      <c r="X1427" s="13"/>
      <c r="Y1427" s="13"/>
      <c r="Z1427" s="13"/>
      <c r="AA1427" s="13"/>
      <c r="AB1427" s="13"/>
      <c r="AM1427" s="6"/>
      <c r="AN1427" s="6"/>
      <c r="AO1427" s="6"/>
      <c r="AP1427" s="6"/>
      <c r="AQ1427" s="6"/>
      <c r="AR1427" s="6"/>
      <c r="AS1427" s="6"/>
      <c r="AT1427" s="6"/>
      <c r="AU1427" s="6"/>
      <c r="AV1427" s="6"/>
      <c r="AW1427" s="6"/>
      <c r="AX1427" s="6"/>
      <c r="AY1427" s="6"/>
      <c r="AZ1427" s="6"/>
      <c r="BA1427" s="6"/>
      <c r="BB1427" s="6"/>
      <c r="BC1427" s="6"/>
      <c r="BD1427" s="6"/>
      <c r="BE1427" s="6"/>
      <c r="BF1427" s="6"/>
      <c r="BG1427" s="6"/>
      <c r="BH1427" s="6"/>
      <c r="BI1427" s="6"/>
      <c r="BJ1427" s="6"/>
      <c r="BK1427" s="6"/>
      <c r="BL1427" s="6"/>
      <c r="BM1427" s="6"/>
      <c r="BN1427" s="6"/>
      <c r="BO1427" s="6"/>
      <c r="BP1427" s="6"/>
      <c r="BQ1427" s="6"/>
    </row>
    <row r="1428" spans="2:69" hidden="1" x14ac:dyDescent="0.2">
      <c r="B1428" s="13"/>
      <c r="C1428" s="13"/>
      <c r="D1428" s="13"/>
      <c r="E1428" s="13"/>
      <c r="F1428" s="13"/>
      <c r="G1428" s="13"/>
      <c r="H1428" s="13"/>
      <c r="I1428" s="13"/>
      <c r="J1428" s="13"/>
      <c r="K1428" s="13"/>
      <c r="L1428" s="13"/>
      <c r="M1428" s="13"/>
      <c r="N1428" s="13"/>
      <c r="O1428" s="13"/>
      <c r="P1428" s="13"/>
      <c r="Q1428" s="13"/>
      <c r="R1428" s="13"/>
      <c r="S1428" s="13"/>
      <c r="T1428" s="13"/>
      <c r="U1428" s="13"/>
      <c r="V1428" s="13"/>
      <c r="W1428" s="13"/>
      <c r="X1428" s="13"/>
      <c r="Y1428" s="13"/>
      <c r="Z1428" s="13"/>
      <c r="AA1428" s="13"/>
      <c r="AB1428" s="13"/>
      <c r="AM1428" s="6"/>
      <c r="AN1428" s="6"/>
      <c r="AO1428" s="6"/>
      <c r="AP1428" s="6"/>
      <c r="AQ1428" s="6"/>
      <c r="AR1428" s="6"/>
      <c r="AS1428" s="6"/>
      <c r="AT1428" s="6"/>
      <c r="AU1428" s="6"/>
      <c r="AV1428" s="6"/>
      <c r="AW1428" s="6"/>
      <c r="AX1428" s="6"/>
      <c r="AY1428" s="6"/>
      <c r="AZ1428" s="6"/>
      <c r="BA1428" s="6"/>
      <c r="BB1428" s="6"/>
      <c r="BC1428" s="6"/>
      <c r="BD1428" s="6"/>
      <c r="BE1428" s="6"/>
      <c r="BF1428" s="6"/>
      <c r="BG1428" s="6"/>
      <c r="BH1428" s="6"/>
      <c r="BI1428" s="6"/>
      <c r="BJ1428" s="6"/>
      <c r="BK1428" s="6"/>
      <c r="BL1428" s="6"/>
      <c r="BM1428" s="6"/>
      <c r="BN1428" s="6"/>
      <c r="BO1428" s="6"/>
      <c r="BP1428" s="6"/>
      <c r="BQ1428" s="6"/>
    </row>
    <row r="1429" spans="2:69" hidden="1" x14ac:dyDescent="0.2">
      <c r="B1429" s="13"/>
      <c r="C1429" s="13"/>
      <c r="D1429" s="13"/>
      <c r="E1429" s="13"/>
      <c r="F1429" s="13"/>
      <c r="G1429" s="13"/>
      <c r="H1429" s="13"/>
      <c r="I1429" s="13"/>
      <c r="J1429" s="13"/>
      <c r="K1429" s="13"/>
      <c r="L1429" s="13"/>
      <c r="M1429" s="13"/>
      <c r="N1429" s="13"/>
      <c r="O1429" s="13"/>
      <c r="P1429" s="13"/>
      <c r="Q1429" s="13"/>
      <c r="R1429" s="13"/>
      <c r="S1429" s="13"/>
      <c r="T1429" s="13"/>
      <c r="U1429" s="13"/>
      <c r="V1429" s="13"/>
      <c r="W1429" s="13"/>
      <c r="X1429" s="13"/>
      <c r="Y1429" s="13"/>
      <c r="Z1429" s="13"/>
      <c r="AA1429" s="13"/>
      <c r="AB1429" s="13"/>
      <c r="AM1429" s="6"/>
      <c r="AN1429" s="6"/>
      <c r="AO1429" s="6"/>
      <c r="AP1429" s="6"/>
      <c r="AQ1429" s="6"/>
      <c r="AR1429" s="6"/>
      <c r="AS1429" s="6"/>
      <c r="AT1429" s="6"/>
      <c r="AU1429" s="6"/>
      <c r="AV1429" s="6"/>
      <c r="AW1429" s="6"/>
      <c r="AX1429" s="6"/>
      <c r="AY1429" s="6"/>
      <c r="AZ1429" s="6"/>
      <c r="BA1429" s="6"/>
      <c r="BB1429" s="6"/>
      <c r="BC1429" s="6"/>
      <c r="BD1429" s="6"/>
      <c r="BE1429" s="6"/>
      <c r="BF1429" s="6"/>
      <c r="BG1429" s="6"/>
      <c r="BH1429" s="6"/>
      <c r="BI1429" s="6"/>
      <c r="BJ1429" s="6"/>
      <c r="BK1429" s="6"/>
      <c r="BL1429" s="6"/>
      <c r="BM1429" s="6"/>
      <c r="BN1429" s="6"/>
      <c r="BO1429" s="6"/>
      <c r="BP1429" s="6"/>
      <c r="BQ1429" s="6"/>
    </row>
    <row r="1430" spans="2:69" hidden="1" x14ac:dyDescent="0.2">
      <c r="B1430" s="13"/>
      <c r="C1430" s="13"/>
      <c r="D1430" s="13"/>
      <c r="E1430" s="13"/>
      <c r="F1430" s="13"/>
      <c r="G1430" s="13"/>
      <c r="H1430" s="13"/>
      <c r="I1430" s="13"/>
      <c r="J1430" s="13"/>
      <c r="K1430" s="13"/>
      <c r="L1430" s="13"/>
      <c r="M1430" s="13"/>
      <c r="N1430" s="13"/>
      <c r="O1430" s="13"/>
      <c r="P1430" s="13"/>
      <c r="Q1430" s="13"/>
      <c r="R1430" s="13"/>
      <c r="S1430" s="13"/>
      <c r="T1430" s="13"/>
      <c r="U1430" s="13"/>
      <c r="V1430" s="13"/>
      <c r="W1430" s="13"/>
      <c r="X1430" s="13"/>
      <c r="Y1430" s="13"/>
      <c r="Z1430" s="13"/>
      <c r="AA1430" s="13"/>
      <c r="AB1430" s="13"/>
      <c r="AM1430" s="6"/>
      <c r="AN1430" s="6"/>
      <c r="AO1430" s="6"/>
      <c r="AP1430" s="6"/>
      <c r="AQ1430" s="6"/>
      <c r="AR1430" s="6"/>
      <c r="AS1430" s="6"/>
      <c r="AT1430" s="6"/>
      <c r="AU1430" s="6"/>
      <c r="AV1430" s="6"/>
      <c r="AW1430" s="6"/>
      <c r="AX1430" s="6"/>
      <c r="AY1430" s="6"/>
      <c r="AZ1430" s="6"/>
      <c r="BA1430" s="6"/>
      <c r="BB1430" s="6"/>
      <c r="BC1430" s="6"/>
      <c r="BD1430" s="6"/>
      <c r="BE1430" s="6"/>
      <c r="BF1430" s="6"/>
      <c r="BG1430" s="6"/>
      <c r="BH1430" s="6"/>
      <c r="BI1430" s="6"/>
      <c r="BJ1430" s="6"/>
      <c r="BK1430" s="6"/>
      <c r="BL1430" s="6"/>
      <c r="BM1430" s="6"/>
      <c r="BN1430" s="6"/>
      <c r="BO1430" s="6"/>
      <c r="BP1430" s="6"/>
      <c r="BQ1430" s="6"/>
    </row>
    <row r="1431" spans="2:69" hidden="1" x14ac:dyDescent="0.2">
      <c r="B1431" s="13"/>
      <c r="C1431" s="13"/>
      <c r="D1431" s="13"/>
      <c r="E1431" s="13"/>
      <c r="F1431" s="13"/>
      <c r="G1431" s="13"/>
      <c r="H1431" s="13"/>
      <c r="I1431" s="13"/>
      <c r="J1431" s="13"/>
      <c r="K1431" s="13"/>
      <c r="L1431" s="13"/>
      <c r="M1431" s="13"/>
      <c r="N1431" s="13"/>
      <c r="O1431" s="13"/>
      <c r="P1431" s="13"/>
      <c r="Q1431" s="13"/>
      <c r="R1431" s="13"/>
      <c r="S1431" s="13"/>
      <c r="T1431" s="13"/>
      <c r="U1431" s="13"/>
      <c r="V1431" s="13"/>
      <c r="W1431" s="13"/>
      <c r="X1431" s="13"/>
      <c r="Y1431" s="13"/>
      <c r="Z1431" s="13"/>
      <c r="AA1431" s="13"/>
      <c r="AB1431" s="13"/>
      <c r="AM1431" s="6"/>
      <c r="AN1431" s="6"/>
      <c r="AO1431" s="6"/>
      <c r="AP1431" s="6"/>
      <c r="AQ1431" s="6"/>
      <c r="AR1431" s="6"/>
      <c r="AS1431" s="6"/>
      <c r="AT1431" s="6"/>
      <c r="AU1431" s="6"/>
      <c r="AV1431" s="6"/>
      <c r="AW1431" s="6"/>
      <c r="AX1431" s="6"/>
      <c r="AY1431" s="6"/>
      <c r="AZ1431" s="6"/>
      <c r="BA1431" s="6"/>
      <c r="BB1431" s="6"/>
      <c r="BC1431" s="6"/>
      <c r="BD1431" s="6"/>
      <c r="BE1431" s="6"/>
      <c r="BF1431" s="6"/>
      <c r="BG1431" s="6"/>
      <c r="BH1431" s="6"/>
      <c r="BI1431" s="6"/>
      <c r="BJ1431" s="6"/>
      <c r="BK1431" s="6"/>
      <c r="BL1431" s="6"/>
      <c r="BM1431" s="6"/>
      <c r="BN1431" s="6"/>
      <c r="BO1431" s="6"/>
      <c r="BP1431" s="6"/>
      <c r="BQ1431" s="6"/>
    </row>
    <row r="1432" spans="2:69" hidden="1" x14ac:dyDescent="0.2">
      <c r="B1432" s="13"/>
      <c r="C1432" s="13"/>
      <c r="D1432" s="13"/>
      <c r="E1432" s="13"/>
      <c r="F1432" s="13"/>
      <c r="G1432" s="13"/>
      <c r="H1432" s="13"/>
      <c r="I1432" s="13"/>
      <c r="J1432" s="13"/>
      <c r="K1432" s="13"/>
      <c r="L1432" s="13"/>
      <c r="M1432" s="13"/>
      <c r="N1432" s="13"/>
      <c r="O1432" s="13"/>
      <c r="P1432" s="13"/>
      <c r="Q1432" s="13"/>
      <c r="R1432" s="13"/>
      <c r="S1432" s="13"/>
      <c r="T1432" s="13"/>
      <c r="U1432" s="13"/>
      <c r="V1432" s="13"/>
      <c r="W1432" s="13"/>
      <c r="X1432" s="13"/>
      <c r="Y1432" s="13"/>
      <c r="Z1432" s="13"/>
      <c r="AA1432" s="13"/>
      <c r="AB1432" s="13"/>
      <c r="AM1432" s="6"/>
      <c r="AN1432" s="6"/>
      <c r="AO1432" s="6"/>
      <c r="AP1432" s="6"/>
      <c r="AQ1432" s="6"/>
      <c r="AR1432" s="6"/>
      <c r="AS1432" s="6"/>
      <c r="AT1432" s="6"/>
      <c r="AU1432" s="6"/>
      <c r="AV1432" s="6"/>
      <c r="AW1432" s="6"/>
      <c r="AX1432" s="6"/>
      <c r="AY1432" s="6"/>
      <c r="AZ1432" s="6"/>
      <c r="BA1432" s="6"/>
      <c r="BB1432" s="6"/>
      <c r="BC1432" s="6"/>
      <c r="BD1432" s="6"/>
      <c r="BE1432" s="6"/>
      <c r="BF1432" s="6"/>
      <c r="BG1432" s="6"/>
      <c r="BH1432" s="6"/>
      <c r="BI1432" s="6"/>
      <c r="BJ1432" s="6"/>
      <c r="BK1432" s="6"/>
      <c r="BL1432" s="6"/>
      <c r="BM1432" s="6"/>
      <c r="BN1432" s="6"/>
      <c r="BO1432" s="6"/>
      <c r="BP1432" s="6"/>
      <c r="BQ1432" s="6"/>
    </row>
    <row r="1433" spans="2:69" hidden="1" x14ac:dyDescent="0.2">
      <c r="B1433" s="13"/>
      <c r="C1433" s="13"/>
      <c r="D1433" s="13"/>
      <c r="E1433" s="13"/>
      <c r="F1433" s="13"/>
      <c r="G1433" s="13"/>
      <c r="H1433" s="13"/>
      <c r="I1433" s="13"/>
      <c r="J1433" s="13"/>
      <c r="K1433" s="13"/>
      <c r="L1433" s="13"/>
      <c r="M1433" s="13"/>
      <c r="N1433" s="13"/>
      <c r="O1433" s="13"/>
      <c r="P1433" s="13"/>
      <c r="Q1433" s="13"/>
      <c r="R1433" s="13"/>
      <c r="S1433" s="13"/>
      <c r="T1433" s="13"/>
      <c r="U1433" s="13"/>
      <c r="V1433" s="13"/>
      <c r="W1433" s="13"/>
      <c r="X1433" s="13"/>
      <c r="Y1433" s="13"/>
      <c r="Z1433" s="13"/>
      <c r="AA1433" s="13"/>
      <c r="AB1433" s="13"/>
      <c r="AM1433" s="6"/>
      <c r="AN1433" s="6"/>
      <c r="AO1433" s="6"/>
      <c r="AP1433" s="6"/>
      <c r="AQ1433" s="6"/>
      <c r="AR1433" s="6"/>
      <c r="AS1433" s="6"/>
      <c r="AT1433" s="6"/>
      <c r="AU1433" s="6"/>
      <c r="AV1433" s="6"/>
      <c r="AW1433" s="6"/>
      <c r="AX1433" s="6"/>
      <c r="AY1433" s="6"/>
      <c r="AZ1433" s="6"/>
      <c r="BA1433" s="6"/>
      <c r="BB1433" s="6"/>
      <c r="BC1433" s="6"/>
      <c r="BD1433" s="6"/>
      <c r="BE1433" s="6"/>
      <c r="BF1433" s="6"/>
      <c r="BG1433" s="6"/>
      <c r="BH1433" s="6"/>
      <c r="BI1433" s="6"/>
      <c r="BJ1433" s="6"/>
      <c r="BK1433" s="6"/>
      <c r="BL1433" s="6"/>
      <c r="BM1433" s="6"/>
      <c r="BN1433" s="6"/>
      <c r="BO1433" s="6"/>
      <c r="BP1433" s="6"/>
      <c r="BQ1433" s="6"/>
    </row>
    <row r="1434" spans="2:69" hidden="1" x14ac:dyDescent="0.2">
      <c r="B1434" s="13"/>
      <c r="C1434" s="13"/>
      <c r="D1434" s="13"/>
      <c r="E1434" s="13"/>
      <c r="F1434" s="13"/>
      <c r="G1434" s="13"/>
      <c r="H1434" s="13"/>
      <c r="I1434" s="13"/>
      <c r="J1434" s="13"/>
      <c r="K1434" s="13"/>
      <c r="L1434" s="13"/>
      <c r="M1434" s="13"/>
      <c r="N1434" s="13"/>
      <c r="O1434" s="13"/>
      <c r="P1434" s="13"/>
      <c r="Q1434" s="13"/>
      <c r="R1434" s="13"/>
      <c r="S1434" s="13"/>
      <c r="T1434" s="13"/>
      <c r="U1434" s="13"/>
      <c r="V1434" s="13"/>
      <c r="W1434" s="13"/>
      <c r="X1434" s="13"/>
      <c r="Y1434" s="13"/>
      <c r="Z1434" s="13"/>
      <c r="AA1434" s="13"/>
      <c r="AB1434" s="13"/>
      <c r="AM1434" s="6"/>
      <c r="AN1434" s="6"/>
      <c r="AO1434" s="6"/>
      <c r="AP1434" s="6"/>
      <c r="AQ1434" s="6"/>
      <c r="AR1434" s="6"/>
      <c r="AS1434" s="6"/>
      <c r="AT1434" s="6"/>
      <c r="AU1434" s="6"/>
      <c r="AV1434" s="6"/>
      <c r="AW1434" s="6"/>
      <c r="AX1434" s="6"/>
      <c r="AY1434" s="6"/>
      <c r="AZ1434" s="6"/>
      <c r="BA1434" s="6"/>
      <c r="BB1434" s="6"/>
      <c r="BC1434" s="6"/>
      <c r="BD1434" s="6"/>
      <c r="BE1434" s="6"/>
      <c r="BF1434" s="6"/>
      <c r="BG1434" s="6"/>
      <c r="BH1434" s="6"/>
      <c r="BI1434" s="6"/>
      <c r="BJ1434" s="6"/>
      <c r="BK1434" s="6"/>
      <c r="BL1434" s="6"/>
      <c r="BM1434" s="6"/>
      <c r="BN1434" s="6"/>
      <c r="BO1434" s="6"/>
      <c r="BP1434" s="6"/>
      <c r="BQ1434" s="6"/>
    </row>
    <row r="1435" spans="2:69" hidden="1" x14ac:dyDescent="0.2">
      <c r="B1435" s="13"/>
      <c r="C1435" s="13"/>
      <c r="D1435" s="13"/>
      <c r="E1435" s="13"/>
      <c r="F1435" s="13"/>
      <c r="G1435" s="13"/>
      <c r="H1435" s="13"/>
      <c r="I1435" s="13"/>
      <c r="J1435" s="13"/>
      <c r="K1435" s="13"/>
      <c r="L1435" s="13"/>
      <c r="M1435" s="13"/>
      <c r="N1435" s="13"/>
      <c r="O1435" s="13"/>
      <c r="P1435" s="13"/>
      <c r="Q1435" s="13"/>
      <c r="R1435" s="13"/>
      <c r="S1435" s="13"/>
      <c r="T1435" s="13"/>
      <c r="U1435" s="13"/>
      <c r="V1435" s="13"/>
      <c r="W1435" s="13"/>
      <c r="X1435" s="13"/>
      <c r="Y1435" s="13"/>
      <c r="Z1435" s="13"/>
      <c r="AA1435" s="13"/>
      <c r="AB1435" s="13"/>
      <c r="AM1435" s="6"/>
      <c r="AN1435" s="6"/>
      <c r="AO1435" s="6"/>
      <c r="AP1435" s="6"/>
      <c r="AQ1435" s="6"/>
      <c r="AR1435" s="6"/>
      <c r="AS1435" s="6"/>
      <c r="AT1435" s="6"/>
      <c r="AU1435" s="6"/>
      <c r="AV1435" s="6"/>
      <c r="AW1435" s="6"/>
      <c r="AX1435" s="6"/>
      <c r="AY1435" s="6"/>
      <c r="AZ1435" s="6"/>
      <c r="BA1435" s="6"/>
      <c r="BB1435" s="6"/>
      <c r="BC1435" s="6"/>
      <c r="BD1435" s="6"/>
      <c r="BE1435" s="6"/>
      <c r="BF1435" s="6"/>
      <c r="BG1435" s="6"/>
      <c r="BH1435" s="6"/>
      <c r="BI1435" s="6"/>
      <c r="BJ1435" s="6"/>
      <c r="BK1435" s="6"/>
      <c r="BL1435" s="6"/>
      <c r="BM1435" s="6"/>
      <c r="BN1435" s="6"/>
      <c r="BO1435" s="6"/>
      <c r="BP1435" s="6"/>
      <c r="BQ1435" s="6"/>
    </row>
    <row r="1436" spans="2:69" hidden="1" x14ac:dyDescent="0.2">
      <c r="B1436" s="13"/>
      <c r="C1436" s="13"/>
      <c r="D1436" s="13"/>
      <c r="E1436" s="13"/>
      <c r="F1436" s="13"/>
      <c r="G1436" s="13"/>
      <c r="H1436" s="13"/>
      <c r="I1436" s="13"/>
      <c r="J1436" s="13"/>
      <c r="K1436" s="13"/>
      <c r="L1436" s="13"/>
      <c r="M1436" s="13"/>
      <c r="N1436" s="13"/>
      <c r="O1436" s="13"/>
      <c r="P1436" s="13"/>
      <c r="Q1436" s="13"/>
      <c r="R1436" s="13"/>
      <c r="S1436" s="13"/>
      <c r="T1436" s="13"/>
      <c r="U1436" s="13"/>
      <c r="V1436" s="13"/>
      <c r="W1436" s="13"/>
      <c r="X1436" s="13"/>
      <c r="Y1436" s="13"/>
      <c r="Z1436" s="13"/>
      <c r="AA1436" s="13"/>
      <c r="AB1436" s="13"/>
      <c r="AM1436" s="6"/>
      <c r="AN1436" s="6"/>
      <c r="AO1436" s="6"/>
      <c r="AP1436" s="6"/>
      <c r="AQ1436" s="6"/>
      <c r="AR1436" s="6"/>
      <c r="AS1436" s="6"/>
      <c r="AT1436" s="6"/>
      <c r="AU1436" s="6"/>
      <c r="AV1436" s="6"/>
      <c r="AW1436" s="6"/>
      <c r="AX1436" s="6"/>
      <c r="AY1436" s="6"/>
      <c r="AZ1436" s="6"/>
      <c r="BA1436" s="6"/>
      <c r="BB1436" s="6"/>
      <c r="BC1436" s="6"/>
      <c r="BD1436" s="6"/>
      <c r="BE1436" s="6"/>
      <c r="BF1436" s="6"/>
      <c r="BG1436" s="6"/>
      <c r="BH1436" s="6"/>
      <c r="BI1436" s="6"/>
      <c r="BJ1436" s="6"/>
      <c r="BK1436" s="6"/>
      <c r="BL1436" s="6"/>
      <c r="BM1436" s="6"/>
      <c r="BN1436" s="6"/>
      <c r="BO1436" s="6"/>
      <c r="BP1436" s="6"/>
      <c r="BQ1436" s="6"/>
    </row>
    <row r="1437" spans="2:69" hidden="1" x14ac:dyDescent="0.2">
      <c r="B1437" s="13"/>
      <c r="C1437" s="13"/>
      <c r="D1437" s="13"/>
      <c r="E1437" s="13"/>
      <c r="F1437" s="13"/>
      <c r="G1437" s="13"/>
      <c r="H1437" s="13"/>
      <c r="I1437" s="13"/>
      <c r="J1437" s="13"/>
      <c r="K1437" s="13"/>
      <c r="L1437" s="13"/>
      <c r="M1437" s="13"/>
      <c r="N1437" s="13"/>
      <c r="O1437" s="13"/>
      <c r="P1437" s="13"/>
      <c r="Q1437" s="13"/>
      <c r="R1437" s="13"/>
      <c r="S1437" s="13"/>
      <c r="T1437" s="13"/>
      <c r="U1437" s="13"/>
      <c r="V1437" s="13"/>
      <c r="W1437" s="13"/>
      <c r="X1437" s="13"/>
      <c r="Y1437" s="13"/>
      <c r="Z1437" s="13"/>
      <c r="AA1437" s="13"/>
      <c r="AB1437" s="13"/>
      <c r="AM1437" s="6"/>
      <c r="AN1437" s="6"/>
      <c r="AO1437" s="6"/>
      <c r="AP1437" s="6"/>
      <c r="AQ1437" s="6"/>
      <c r="AR1437" s="6"/>
      <c r="AS1437" s="6"/>
      <c r="AT1437" s="6"/>
      <c r="AU1437" s="6"/>
      <c r="AV1437" s="6"/>
      <c r="AW1437" s="6"/>
      <c r="AX1437" s="6"/>
      <c r="AY1437" s="6"/>
      <c r="AZ1437" s="6"/>
      <c r="BA1437" s="6"/>
      <c r="BB1437" s="6"/>
      <c r="BC1437" s="6"/>
      <c r="BD1437" s="6"/>
      <c r="BE1437" s="6"/>
      <c r="BF1437" s="6"/>
      <c r="BG1437" s="6"/>
      <c r="BH1437" s="6"/>
      <c r="BI1437" s="6"/>
      <c r="BJ1437" s="6"/>
      <c r="BK1437" s="6"/>
      <c r="BL1437" s="6"/>
      <c r="BM1437" s="6"/>
      <c r="BN1437" s="6"/>
      <c r="BO1437" s="6"/>
      <c r="BP1437" s="6"/>
      <c r="BQ1437" s="6"/>
    </row>
    <row r="1438" spans="2:69" hidden="1" x14ac:dyDescent="0.2">
      <c r="B1438" s="13"/>
      <c r="C1438" s="13"/>
      <c r="D1438" s="13"/>
      <c r="E1438" s="13"/>
      <c r="F1438" s="13"/>
      <c r="G1438" s="13"/>
      <c r="H1438" s="13"/>
      <c r="I1438" s="13"/>
      <c r="J1438" s="13"/>
      <c r="K1438" s="13"/>
      <c r="L1438" s="13"/>
      <c r="M1438" s="13"/>
      <c r="N1438" s="13"/>
      <c r="O1438" s="13"/>
      <c r="P1438" s="13"/>
      <c r="Q1438" s="13"/>
      <c r="R1438" s="13"/>
      <c r="S1438" s="13"/>
      <c r="T1438" s="13"/>
      <c r="U1438" s="13"/>
      <c r="V1438" s="13"/>
      <c r="W1438" s="13"/>
      <c r="X1438" s="13"/>
      <c r="Y1438" s="13"/>
      <c r="Z1438" s="13"/>
      <c r="AA1438" s="13"/>
      <c r="AB1438" s="13"/>
      <c r="AM1438" s="6"/>
      <c r="AN1438" s="6"/>
      <c r="AO1438" s="6"/>
      <c r="AP1438" s="6"/>
      <c r="AQ1438" s="6"/>
      <c r="AR1438" s="6"/>
      <c r="AS1438" s="6"/>
      <c r="AT1438" s="6"/>
      <c r="AU1438" s="6"/>
      <c r="AV1438" s="6"/>
      <c r="AW1438" s="6"/>
      <c r="AX1438" s="6"/>
      <c r="AY1438" s="6"/>
      <c r="AZ1438" s="6"/>
      <c r="BA1438" s="6"/>
      <c r="BB1438" s="6"/>
      <c r="BC1438" s="6"/>
      <c r="BD1438" s="6"/>
      <c r="BE1438" s="6"/>
      <c r="BF1438" s="6"/>
      <c r="BG1438" s="6"/>
      <c r="BH1438" s="6"/>
      <c r="BI1438" s="6"/>
      <c r="BJ1438" s="6"/>
      <c r="BK1438" s="6"/>
      <c r="BL1438" s="6"/>
      <c r="BM1438" s="6"/>
      <c r="BN1438" s="6"/>
      <c r="BO1438" s="6"/>
      <c r="BP1438" s="6"/>
      <c r="BQ1438" s="6"/>
    </row>
    <row r="1439" spans="2:69" hidden="1" x14ac:dyDescent="0.2">
      <c r="B1439" s="13"/>
      <c r="C1439" s="13"/>
      <c r="D1439" s="13"/>
      <c r="E1439" s="13"/>
      <c r="F1439" s="13"/>
      <c r="G1439" s="13"/>
      <c r="H1439" s="13"/>
      <c r="I1439" s="13"/>
      <c r="J1439" s="13"/>
      <c r="K1439" s="13"/>
      <c r="L1439" s="13"/>
      <c r="M1439" s="13"/>
      <c r="N1439" s="13"/>
      <c r="O1439" s="13"/>
      <c r="P1439" s="13"/>
      <c r="Q1439" s="13"/>
      <c r="R1439" s="13"/>
      <c r="S1439" s="13"/>
      <c r="T1439" s="13"/>
      <c r="U1439" s="13"/>
      <c r="V1439" s="13"/>
      <c r="W1439" s="13"/>
      <c r="X1439" s="13"/>
      <c r="Y1439" s="13"/>
      <c r="Z1439" s="13"/>
      <c r="AA1439" s="13"/>
      <c r="AB1439" s="13"/>
      <c r="AM1439" s="6"/>
      <c r="AN1439" s="6"/>
      <c r="AO1439" s="6"/>
      <c r="AP1439" s="6"/>
      <c r="AQ1439" s="6"/>
      <c r="AR1439" s="6"/>
      <c r="AS1439" s="6"/>
      <c r="AT1439" s="6"/>
      <c r="AU1439" s="6"/>
      <c r="AV1439" s="6"/>
      <c r="AW1439" s="6"/>
      <c r="AX1439" s="6"/>
      <c r="AY1439" s="6"/>
      <c r="AZ1439" s="6"/>
      <c r="BA1439" s="6"/>
      <c r="BB1439" s="6"/>
      <c r="BC1439" s="6"/>
      <c r="BD1439" s="6"/>
      <c r="BE1439" s="6"/>
      <c r="BF1439" s="6"/>
      <c r="BG1439" s="6"/>
      <c r="BH1439" s="6"/>
      <c r="BI1439" s="6"/>
      <c r="BJ1439" s="6"/>
      <c r="BK1439" s="6"/>
      <c r="BL1439" s="6"/>
      <c r="BM1439" s="6"/>
      <c r="BN1439" s="6"/>
      <c r="BO1439" s="6"/>
      <c r="BP1439" s="6"/>
      <c r="BQ1439" s="6"/>
    </row>
    <row r="1440" spans="2:69" hidden="1" x14ac:dyDescent="0.2">
      <c r="B1440" s="13"/>
      <c r="C1440" s="13"/>
      <c r="D1440" s="13"/>
      <c r="E1440" s="13"/>
      <c r="F1440" s="13"/>
      <c r="G1440" s="13"/>
      <c r="H1440" s="13"/>
      <c r="I1440" s="13"/>
      <c r="J1440" s="13"/>
      <c r="K1440" s="13"/>
      <c r="L1440" s="13"/>
      <c r="M1440" s="13"/>
      <c r="N1440" s="13"/>
      <c r="O1440" s="13"/>
      <c r="P1440" s="13"/>
      <c r="Q1440" s="13"/>
      <c r="R1440" s="13"/>
      <c r="S1440" s="13"/>
      <c r="T1440" s="13"/>
      <c r="U1440" s="13"/>
      <c r="V1440" s="13"/>
      <c r="W1440" s="13"/>
      <c r="X1440" s="13"/>
      <c r="Y1440" s="13"/>
      <c r="Z1440" s="13"/>
      <c r="AA1440" s="13"/>
      <c r="AB1440" s="13"/>
      <c r="AM1440" s="6"/>
      <c r="AN1440" s="6"/>
      <c r="AO1440" s="6"/>
      <c r="AP1440" s="6"/>
      <c r="AQ1440" s="6"/>
      <c r="AR1440" s="6"/>
      <c r="AS1440" s="6"/>
      <c r="AT1440" s="6"/>
      <c r="AU1440" s="6"/>
      <c r="AV1440" s="6"/>
      <c r="AW1440" s="6"/>
      <c r="AX1440" s="6"/>
      <c r="AY1440" s="6"/>
      <c r="AZ1440" s="6"/>
      <c r="BA1440" s="6"/>
      <c r="BB1440" s="6"/>
      <c r="BC1440" s="6"/>
      <c r="BD1440" s="6"/>
      <c r="BE1440" s="6"/>
      <c r="BF1440" s="6"/>
      <c r="BG1440" s="6"/>
      <c r="BH1440" s="6"/>
      <c r="BI1440" s="6"/>
      <c r="BJ1440" s="6"/>
      <c r="BK1440" s="6"/>
      <c r="BL1440" s="6"/>
      <c r="BM1440" s="6"/>
      <c r="BN1440" s="6"/>
      <c r="BO1440" s="6"/>
      <c r="BP1440" s="6"/>
      <c r="BQ1440" s="6"/>
    </row>
    <row r="1441" spans="2:69" hidden="1" x14ac:dyDescent="0.2">
      <c r="B1441" s="13"/>
      <c r="C1441" s="13"/>
      <c r="D1441" s="13"/>
      <c r="E1441" s="13"/>
      <c r="F1441" s="13"/>
      <c r="G1441" s="13"/>
      <c r="H1441" s="13"/>
      <c r="I1441" s="13"/>
      <c r="J1441" s="13"/>
      <c r="K1441" s="13"/>
      <c r="L1441" s="13"/>
      <c r="M1441" s="13"/>
      <c r="N1441" s="13"/>
      <c r="O1441" s="13"/>
      <c r="P1441" s="13"/>
      <c r="Q1441" s="13"/>
      <c r="R1441" s="13"/>
      <c r="S1441" s="13"/>
      <c r="T1441" s="13"/>
      <c r="U1441" s="13"/>
      <c r="V1441" s="13"/>
      <c r="W1441" s="13"/>
      <c r="X1441" s="13"/>
      <c r="Y1441" s="13"/>
      <c r="Z1441" s="13"/>
      <c r="AA1441" s="13"/>
      <c r="AB1441" s="13"/>
      <c r="AM1441" s="6"/>
      <c r="AN1441" s="6"/>
      <c r="AO1441" s="6"/>
      <c r="AP1441" s="6"/>
      <c r="AQ1441" s="6"/>
      <c r="AR1441" s="6"/>
      <c r="AS1441" s="6"/>
      <c r="AT1441" s="6"/>
      <c r="AU1441" s="6"/>
      <c r="AV1441" s="6"/>
      <c r="AW1441" s="6"/>
      <c r="AX1441" s="6"/>
      <c r="AY1441" s="6"/>
      <c r="AZ1441" s="6"/>
      <c r="BA1441" s="6"/>
      <c r="BB1441" s="6"/>
      <c r="BC1441" s="6"/>
      <c r="BD1441" s="6"/>
      <c r="BE1441" s="6"/>
      <c r="BF1441" s="6"/>
      <c r="BG1441" s="6"/>
      <c r="BH1441" s="6"/>
      <c r="BI1441" s="6"/>
      <c r="BJ1441" s="6"/>
      <c r="BK1441" s="6"/>
      <c r="BL1441" s="6"/>
      <c r="BM1441" s="6"/>
      <c r="BN1441" s="6"/>
      <c r="BO1441" s="6"/>
      <c r="BP1441" s="6"/>
      <c r="BQ1441" s="6"/>
    </row>
    <row r="1442" spans="2:69" hidden="1" x14ac:dyDescent="0.2">
      <c r="B1442" s="13"/>
      <c r="C1442" s="13"/>
      <c r="D1442" s="13"/>
      <c r="E1442" s="13"/>
      <c r="F1442" s="13"/>
      <c r="G1442" s="13"/>
      <c r="H1442" s="13"/>
      <c r="I1442" s="13"/>
      <c r="J1442" s="13"/>
      <c r="K1442" s="13"/>
      <c r="L1442" s="13"/>
      <c r="M1442" s="13"/>
      <c r="N1442" s="13"/>
      <c r="O1442" s="13"/>
      <c r="P1442" s="13"/>
      <c r="Q1442" s="13"/>
      <c r="R1442" s="13"/>
      <c r="S1442" s="13"/>
      <c r="T1442" s="13"/>
      <c r="U1442" s="13"/>
      <c r="V1442" s="13"/>
      <c r="W1442" s="13"/>
      <c r="X1442" s="13"/>
      <c r="Y1442" s="13"/>
      <c r="Z1442" s="13"/>
      <c r="AA1442" s="13"/>
      <c r="AB1442" s="13"/>
      <c r="AM1442" s="6"/>
      <c r="AN1442" s="6"/>
      <c r="AO1442" s="6"/>
      <c r="AP1442" s="6"/>
      <c r="AQ1442" s="6"/>
      <c r="AR1442" s="6"/>
      <c r="AS1442" s="6"/>
      <c r="AT1442" s="6"/>
      <c r="AU1442" s="6"/>
      <c r="AV1442" s="6"/>
      <c r="AW1442" s="6"/>
      <c r="AX1442" s="6"/>
      <c r="AY1442" s="6"/>
      <c r="AZ1442" s="6"/>
      <c r="BA1442" s="6"/>
      <c r="BB1442" s="6"/>
      <c r="BC1442" s="6"/>
      <c r="BD1442" s="6"/>
      <c r="BE1442" s="6"/>
      <c r="BF1442" s="6"/>
      <c r="BG1442" s="6"/>
      <c r="BH1442" s="6"/>
      <c r="BI1442" s="6"/>
      <c r="BJ1442" s="6"/>
      <c r="BK1442" s="6"/>
      <c r="BL1442" s="6"/>
      <c r="BM1442" s="6"/>
      <c r="BN1442" s="6"/>
      <c r="BO1442" s="6"/>
      <c r="BP1442" s="6"/>
      <c r="BQ1442" s="6"/>
    </row>
    <row r="1443" spans="2:69" hidden="1" x14ac:dyDescent="0.2">
      <c r="B1443" s="13"/>
      <c r="C1443" s="13"/>
      <c r="D1443" s="13"/>
      <c r="E1443" s="13"/>
      <c r="F1443" s="13"/>
      <c r="G1443" s="13"/>
      <c r="H1443" s="13"/>
      <c r="I1443" s="13"/>
      <c r="J1443" s="13"/>
      <c r="K1443" s="13"/>
      <c r="L1443" s="13"/>
      <c r="M1443" s="13"/>
      <c r="N1443" s="13"/>
      <c r="O1443" s="13"/>
      <c r="P1443" s="13"/>
      <c r="Q1443" s="13"/>
      <c r="R1443" s="13"/>
      <c r="S1443" s="13"/>
      <c r="T1443" s="13"/>
      <c r="U1443" s="13"/>
      <c r="V1443" s="13"/>
      <c r="W1443" s="13"/>
      <c r="X1443" s="13"/>
      <c r="Y1443" s="13"/>
      <c r="Z1443" s="13"/>
      <c r="AA1443" s="13"/>
      <c r="AB1443" s="13"/>
      <c r="AM1443" s="6"/>
      <c r="AN1443" s="6"/>
      <c r="AO1443" s="6"/>
      <c r="AP1443" s="6"/>
      <c r="AQ1443" s="6"/>
      <c r="AR1443" s="6"/>
      <c r="AS1443" s="6"/>
      <c r="AT1443" s="6"/>
      <c r="AU1443" s="6"/>
      <c r="AV1443" s="6"/>
      <c r="AW1443" s="6"/>
      <c r="AX1443" s="6"/>
      <c r="AY1443" s="6"/>
      <c r="AZ1443" s="6"/>
      <c r="BA1443" s="6"/>
      <c r="BB1443" s="6"/>
      <c r="BC1443" s="6"/>
      <c r="BD1443" s="6"/>
      <c r="BE1443" s="6"/>
      <c r="BF1443" s="6"/>
      <c r="BG1443" s="6"/>
      <c r="BH1443" s="6"/>
      <c r="BI1443" s="6"/>
      <c r="BJ1443" s="6"/>
      <c r="BK1443" s="6"/>
      <c r="BL1443" s="6"/>
      <c r="BM1443" s="6"/>
      <c r="BN1443" s="6"/>
      <c r="BO1443" s="6"/>
      <c r="BP1443" s="6"/>
      <c r="BQ1443" s="6"/>
    </row>
    <row r="1444" spans="2:69" hidden="1" x14ac:dyDescent="0.2">
      <c r="B1444" s="13"/>
      <c r="C1444" s="13"/>
      <c r="D1444" s="13"/>
      <c r="E1444" s="13"/>
      <c r="F1444" s="13"/>
      <c r="G1444" s="13"/>
      <c r="H1444" s="13"/>
      <c r="I1444" s="13"/>
      <c r="J1444" s="13"/>
      <c r="K1444" s="13"/>
      <c r="L1444" s="13"/>
      <c r="M1444" s="13"/>
      <c r="N1444" s="13"/>
      <c r="O1444" s="13"/>
      <c r="P1444" s="13"/>
      <c r="Q1444" s="13"/>
      <c r="R1444" s="13"/>
      <c r="S1444" s="13"/>
      <c r="T1444" s="13"/>
      <c r="U1444" s="13"/>
      <c r="V1444" s="13"/>
      <c r="W1444" s="13"/>
      <c r="X1444" s="13"/>
      <c r="Y1444" s="13"/>
      <c r="Z1444" s="13"/>
      <c r="AA1444" s="13"/>
      <c r="AB1444" s="13"/>
      <c r="AM1444" s="6"/>
      <c r="AN1444" s="6"/>
      <c r="AO1444" s="6"/>
      <c r="AP1444" s="6"/>
      <c r="AQ1444" s="6"/>
      <c r="AR1444" s="6"/>
      <c r="AS1444" s="6"/>
      <c r="AT1444" s="6"/>
      <c r="AU1444" s="6"/>
      <c r="AV1444" s="6"/>
      <c r="AW1444" s="6"/>
      <c r="AX1444" s="6"/>
      <c r="AY1444" s="6"/>
      <c r="AZ1444" s="6"/>
      <c r="BA1444" s="6"/>
      <c r="BB1444" s="6"/>
      <c r="BC1444" s="6"/>
      <c r="BD1444" s="6"/>
      <c r="BE1444" s="6"/>
      <c r="BF1444" s="6"/>
      <c r="BG1444" s="6"/>
      <c r="BH1444" s="6"/>
      <c r="BI1444" s="6"/>
      <c r="BJ1444" s="6"/>
      <c r="BK1444" s="6"/>
      <c r="BL1444" s="6"/>
      <c r="BM1444" s="6"/>
      <c r="BN1444" s="6"/>
      <c r="BO1444" s="6"/>
      <c r="BP1444" s="6"/>
      <c r="BQ1444" s="6"/>
    </row>
    <row r="1445" spans="2:69" hidden="1" x14ac:dyDescent="0.2">
      <c r="B1445" s="13"/>
      <c r="C1445" s="13"/>
      <c r="D1445" s="13"/>
      <c r="E1445" s="13"/>
      <c r="F1445" s="13"/>
      <c r="G1445" s="13"/>
      <c r="H1445" s="13"/>
      <c r="I1445" s="13"/>
      <c r="J1445" s="13"/>
      <c r="K1445" s="13"/>
      <c r="L1445" s="13"/>
      <c r="M1445" s="13"/>
      <c r="N1445" s="13"/>
      <c r="O1445" s="13"/>
      <c r="P1445" s="13"/>
      <c r="Q1445" s="13"/>
      <c r="R1445" s="13"/>
      <c r="S1445" s="13"/>
      <c r="T1445" s="13"/>
      <c r="U1445" s="13"/>
      <c r="V1445" s="13"/>
      <c r="W1445" s="13"/>
      <c r="X1445" s="13"/>
      <c r="Y1445" s="13"/>
      <c r="Z1445" s="13"/>
      <c r="AA1445" s="13"/>
      <c r="AB1445" s="13"/>
      <c r="AM1445" s="6"/>
      <c r="AN1445" s="6"/>
      <c r="AO1445" s="6"/>
      <c r="AP1445" s="6"/>
      <c r="AQ1445" s="6"/>
      <c r="AR1445" s="6"/>
      <c r="AS1445" s="6"/>
      <c r="AT1445" s="6"/>
      <c r="AU1445" s="6"/>
      <c r="AV1445" s="6"/>
      <c r="AW1445" s="6"/>
      <c r="AX1445" s="6"/>
      <c r="AY1445" s="6"/>
      <c r="AZ1445" s="6"/>
      <c r="BA1445" s="6"/>
      <c r="BB1445" s="6"/>
      <c r="BC1445" s="6"/>
      <c r="BD1445" s="6"/>
      <c r="BE1445" s="6"/>
      <c r="BF1445" s="6"/>
      <c r="BG1445" s="6"/>
      <c r="BH1445" s="6"/>
      <c r="BI1445" s="6"/>
      <c r="BJ1445" s="6"/>
      <c r="BK1445" s="6"/>
      <c r="BL1445" s="6"/>
      <c r="BM1445" s="6"/>
      <c r="BN1445" s="6"/>
      <c r="BO1445" s="6"/>
      <c r="BP1445" s="6"/>
      <c r="BQ1445" s="6"/>
    </row>
    <row r="1446" spans="2:69" hidden="1" x14ac:dyDescent="0.2">
      <c r="B1446" s="13"/>
      <c r="C1446" s="13"/>
      <c r="D1446" s="13"/>
      <c r="E1446" s="13"/>
      <c r="F1446" s="13"/>
      <c r="G1446" s="13"/>
      <c r="H1446" s="13"/>
      <c r="I1446" s="13"/>
      <c r="J1446" s="13"/>
      <c r="K1446" s="13"/>
      <c r="L1446" s="13"/>
      <c r="M1446" s="13"/>
      <c r="N1446" s="13"/>
      <c r="O1446" s="13"/>
      <c r="P1446" s="13"/>
      <c r="Q1446" s="13"/>
      <c r="R1446" s="13"/>
      <c r="S1446" s="13"/>
      <c r="T1446" s="13"/>
      <c r="U1446" s="13"/>
      <c r="V1446" s="13"/>
      <c r="W1446" s="13"/>
      <c r="X1446" s="13"/>
      <c r="Y1446" s="13"/>
      <c r="Z1446" s="13"/>
      <c r="AA1446" s="13"/>
      <c r="AB1446" s="13"/>
      <c r="AM1446" s="6"/>
      <c r="AN1446" s="6"/>
      <c r="AO1446" s="6"/>
      <c r="AP1446" s="6"/>
      <c r="AQ1446" s="6"/>
      <c r="AR1446" s="6"/>
      <c r="AS1446" s="6"/>
      <c r="AT1446" s="6"/>
      <c r="AU1446" s="6"/>
      <c r="AV1446" s="6"/>
      <c r="AW1446" s="6"/>
      <c r="AX1446" s="6"/>
      <c r="AY1446" s="6"/>
      <c r="AZ1446" s="6"/>
      <c r="BA1446" s="6"/>
      <c r="BB1446" s="6"/>
      <c r="BC1446" s="6"/>
      <c r="BD1446" s="6"/>
      <c r="BE1446" s="6"/>
      <c r="BF1446" s="6"/>
      <c r="BG1446" s="6"/>
      <c r="BH1446" s="6"/>
      <c r="BI1446" s="6"/>
      <c r="BJ1446" s="6"/>
      <c r="BK1446" s="6"/>
      <c r="BL1446" s="6"/>
      <c r="BM1446" s="6"/>
      <c r="BN1446" s="6"/>
      <c r="BO1446" s="6"/>
      <c r="BP1446" s="6"/>
      <c r="BQ1446" s="6"/>
    </row>
    <row r="1447" spans="2:69" hidden="1" x14ac:dyDescent="0.2">
      <c r="B1447" s="13"/>
      <c r="C1447" s="13"/>
      <c r="D1447" s="13"/>
      <c r="E1447" s="13"/>
      <c r="F1447" s="13"/>
      <c r="G1447" s="13"/>
      <c r="H1447" s="13"/>
      <c r="I1447" s="13"/>
      <c r="J1447" s="13"/>
      <c r="K1447" s="13"/>
      <c r="L1447" s="13"/>
      <c r="M1447" s="13"/>
      <c r="N1447" s="13"/>
      <c r="O1447" s="13"/>
      <c r="P1447" s="13"/>
      <c r="Q1447" s="13"/>
      <c r="R1447" s="13"/>
      <c r="S1447" s="13"/>
      <c r="T1447" s="13"/>
      <c r="U1447" s="13"/>
      <c r="V1447" s="13"/>
      <c r="W1447" s="13"/>
      <c r="X1447" s="13"/>
      <c r="Y1447" s="13"/>
      <c r="Z1447" s="13"/>
      <c r="AA1447" s="13"/>
      <c r="AB1447" s="13"/>
      <c r="AM1447" s="6"/>
      <c r="AN1447" s="6"/>
      <c r="AO1447" s="6"/>
      <c r="AP1447" s="6"/>
      <c r="AQ1447" s="6"/>
      <c r="AR1447" s="6"/>
      <c r="AS1447" s="6"/>
      <c r="AT1447" s="6"/>
      <c r="AU1447" s="6"/>
      <c r="AV1447" s="6"/>
      <c r="AW1447" s="6"/>
      <c r="AX1447" s="6"/>
      <c r="AY1447" s="6"/>
      <c r="AZ1447" s="6"/>
      <c r="BA1447" s="6"/>
      <c r="BB1447" s="6"/>
      <c r="BC1447" s="6"/>
      <c r="BD1447" s="6"/>
      <c r="BE1447" s="6"/>
      <c r="BF1447" s="6"/>
      <c r="BG1447" s="6"/>
      <c r="BH1447" s="6"/>
      <c r="BI1447" s="6"/>
      <c r="BJ1447" s="6"/>
      <c r="BK1447" s="6"/>
      <c r="BL1447" s="6"/>
      <c r="BM1447" s="6"/>
      <c r="BN1447" s="6"/>
      <c r="BO1447" s="6"/>
      <c r="BP1447" s="6"/>
      <c r="BQ1447" s="6"/>
    </row>
    <row r="1448" spans="2:69" hidden="1" x14ac:dyDescent="0.2">
      <c r="B1448" s="13"/>
      <c r="C1448" s="13"/>
      <c r="D1448" s="13"/>
      <c r="E1448" s="13"/>
      <c r="F1448" s="13"/>
      <c r="G1448" s="13"/>
      <c r="H1448" s="13"/>
      <c r="I1448" s="13"/>
      <c r="J1448" s="13"/>
      <c r="K1448" s="13"/>
      <c r="L1448" s="13"/>
      <c r="M1448" s="13"/>
      <c r="N1448" s="13"/>
      <c r="O1448" s="13"/>
      <c r="P1448" s="13"/>
      <c r="Q1448" s="13"/>
      <c r="R1448" s="13"/>
      <c r="S1448" s="13"/>
      <c r="T1448" s="13"/>
      <c r="U1448" s="13"/>
      <c r="V1448" s="13"/>
      <c r="W1448" s="13"/>
      <c r="X1448" s="13"/>
      <c r="Y1448" s="13"/>
      <c r="Z1448" s="13"/>
      <c r="AA1448" s="13"/>
      <c r="AB1448" s="13"/>
      <c r="AM1448" s="6"/>
      <c r="AN1448" s="6"/>
      <c r="AO1448" s="6"/>
      <c r="AP1448" s="6"/>
      <c r="AQ1448" s="6"/>
      <c r="AR1448" s="6"/>
      <c r="AS1448" s="6"/>
      <c r="AT1448" s="6"/>
      <c r="AU1448" s="6"/>
      <c r="AV1448" s="6"/>
      <c r="AW1448" s="6"/>
      <c r="AX1448" s="6"/>
      <c r="AY1448" s="6"/>
      <c r="AZ1448" s="6"/>
      <c r="BA1448" s="6"/>
      <c r="BB1448" s="6"/>
      <c r="BC1448" s="6"/>
      <c r="BD1448" s="6"/>
      <c r="BE1448" s="6"/>
      <c r="BF1448" s="6"/>
      <c r="BG1448" s="6"/>
      <c r="BH1448" s="6"/>
      <c r="BI1448" s="6"/>
      <c r="BJ1448" s="6"/>
      <c r="BK1448" s="6"/>
      <c r="BL1448" s="6"/>
      <c r="BM1448" s="6"/>
      <c r="BN1448" s="6"/>
      <c r="BO1448" s="6"/>
      <c r="BP1448" s="6"/>
      <c r="BQ1448" s="6"/>
    </row>
    <row r="1449" spans="2:69" hidden="1" x14ac:dyDescent="0.2">
      <c r="B1449" s="13"/>
      <c r="C1449" s="13"/>
      <c r="D1449" s="13"/>
      <c r="E1449" s="13"/>
      <c r="F1449" s="13"/>
      <c r="G1449" s="13"/>
      <c r="H1449" s="13"/>
      <c r="I1449" s="13"/>
      <c r="J1449" s="13"/>
      <c r="K1449" s="13"/>
      <c r="L1449" s="13"/>
      <c r="M1449" s="13"/>
      <c r="N1449" s="13"/>
      <c r="O1449" s="13"/>
      <c r="P1449" s="13"/>
      <c r="Q1449" s="13"/>
      <c r="R1449" s="13"/>
      <c r="S1449" s="13"/>
      <c r="T1449" s="13"/>
      <c r="U1449" s="13"/>
      <c r="V1449" s="13"/>
      <c r="W1449" s="13"/>
      <c r="X1449" s="13"/>
      <c r="Y1449" s="13"/>
      <c r="Z1449" s="13"/>
      <c r="AA1449" s="13"/>
      <c r="AB1449" s="13"/>
      <c r="AM1449" s="6"/>
      <c r="AN1449" s="6"/>
      <c r="AO1449" s="6"/>
      <c r="AP1449" s="6"/>
      <c r="AQ1449" s="6"/>
      <c r="AR1449" s="6"/>
      <c r="AS1449" s="6"/>
      <c r="AT1449" s="6"/>
      <c r="AU1449" s="6"/>
      <c r="AV1449" s="6"/>
      <c r="AW1449" s="6"/>
      <c r="AX1449" s="6"/>
      <c r="AY1449" s="6"/>
      <c r="AZ1449" s="6"/>
      <c r="BA1449" s="6"/>
      <c r="BB1449" s="6"/>
      <c r="BC1449" s="6"/>
      <c r="BD1449" s="6"/>
      <c r="BE1449" s="6"/>
      <c r="BF1449" s="6"/>
      <c r="BG1449" s="6"/>
      <c r="BH1449" s="6"/>
      <c r="BI1449" s="6"/>
      <c r="BJ1449" s="6"/>
      <c r="BK1449" s="6"/>
      <c r="BL1449" s="6"/>
      <c r="BM1449" s="6"/>
      <c r="BN1449" s="6"/>
      <c r="BO1449" s="6"/>
      <c r="BP1449" s="6"/>
      <c r="BQ1449" s="6"/>
    </row>
    <row r="1450" spans="2:69" hidden="1" x14ac:dyDescent="0.2">
      <c r="B1450" s="13"/>
      <c r="C1450" s="13"/>
      <c r="D1450" s="13"/>
      <c r="E1450" s="13"/>
      <c r="F1450" s="13"/>
      <c r="G1450" s="13"/>
      <c r="H1450" s="13"/>
      <c r="I1450" s="13"/>
      <c r="J1450" s="13"/>
      <c r="K1450" s="13"/>
      <c r="L1450" s="13"/>
      <c r="M1450" s="13"/>
      <c r="N1450" s="13"/>
      <c r="O1450" s="13"/>
      <c r="P1450" s="13"/>
      <c r="Q1450" s="13"/>
      <c r="R1450" s="13"/>
      <c r="S1450" s="13"/>
      <c r="T1450" s="13"/>
      <c r="U1450" s="13"/>
      <c r="V1450" s="13"/>
      <c r="W1450" s="13"/>
      <c r="X1450" s="13"/>
      <c r="Y1450" s="13"/>
      <c r="Z1450" s="13"/>
      <c r="AA1450" s="13"/>
      <c r="AB1450" s="13"/>
      <c r="AM1450" s="6"/>
      <c r="AN1450" s="6"/>
      <c r="AO1450" s="6"/>
      <c r="AP1450" s="6"/>
      <c r="AQ1450" s="6"/>
      <c r="AR1450" s="6"/>
      <c r="AS1450" s="6"/>
      <c r="AT1450" s="6"/>
      <c r="AU1450" s="6"/>
      <c r="AV1450" s="6"/>
      <c r="AW1450" s="6"/>
      <c r="AX1450" s="6"/>
      <c r="AY1450" s="6"/>
      <c r="AZ1450" s="6"/>
      <c r="BA1450" s="6"/>
      <c r="BB1450" s="6"/>
      <c r="BC1450" s="6"/>
      <c r="BD1450" s="6"/>
      <c r="BE1450" s="6"/>
      <c r="BF1450" s="6"/>
      <c r="BG1450" s="6"/>
      <c r="BH1450" s="6"/>
      <c r="BI1450" s="6"/>
      <c r="BJ1450" s="6"/>
      <c r="BK1450" s="6"/>
      <c r="BL1450" s="6"/>
      <c r="BM1450" s="6"/>
      <c r="BN1450" s="6"/>
      <c r="BO1450" s="6"/>
      <c r="BP1450" s="6"/>
      <c r="BQ1450" s="6"/>
    </row>
    <row r="1451" spans="2:69" hidden="1" x14ac:dyDescent="0.2">
      <c r="B1451" s="13"/>
      <c r="C1451" s="13"/>
      <c r="D1451" s="13"/>
      <c r="E1451" s="13"/>
      <c r="F1451" s="13"/>
      <c r="G1451" s="13"/>
      <c r="H1451" s="13"/>
      <c r="I1451" s="13"/>
      <c r="J1451" s="13"/>
      <c r="K1451" s="13"/>
      <c r="L1451" s="13"/>
      <c r="M1451" s="13"/>
      <c r="N1451" s="13"/>
      <c r="O1451" s="13"/>
      <c r="P1451" s="13"/>
      <c r="Q1451" s="13"/>
      <c r="R1451" s="13"/>
      <c r="S1451" s="13"/>
      <c r="T1451" s="13"/>
      <c r="U1451" s="13"/>
      <c r="V1451" s="13"/>
      <c r="W1451" s="13"/>
      <c r="X1451" s="13"/>
      <c r="Y1451" s="13"/>
      <c r="Z1451" s="13"/>
      <c r="AA1451" s="13"/>
      <c r="AB1451" s="13"/>
      <c r="AM1451" s="6"/>
      <c r="AN1451" s="6"/>
      <c r="AO1451" s="6"/>
      <c r="AP1451" s="6"/>
      <c r="AQ1451" s="6"/>
      <c r="AR1451" s="6"/>
      <c r="AS1451" s="6"/>
      <c r="AT1451" s="6"/>
      <c r="AU1451" s="6"/>
      <c r="AV1451" s="6"/>
      <c r="AW1451" s="6"/>
      <c r="AX1451" s="6"/>
      <c r="AY1451" s="6"/>
      <c r="AZ1451" s="6"/>
      <c r="BA1451" s="6"/>
      <c r="BB1451" s="6"/>
      <c r="BC1451" s="6"/>
      <c r="BD1451" s="6"/>
      <c r="BE1451" s="6"/>
      <c r="BF1451" s="6"/>
      <c r="BG1451" s="6"/>
      <c r="BH1451" s="6"/>
      <c r="BI1451" s="6"/>
      <c r="BJ1451" s="6"/>
      <c r="BK1451" s="6"/>
      <c r="BL1451" s="6"/>
      <c r="BM1451" s="6"/>
      <c r="BN1451" s="6"/>
      <c r="BO1451" s="6"/>
      <c r="BP1451" s="6"/>
      <c r="BQ1451" s="6"/>
    </row>
    <row r="1452" spans="2:69" hidden="1" x14ac:dyDescent="0.2">
      <c r="B1452" s="13"/>
      <c r="C1452" s="13"/>
      <c r="D1452" s="13"/>
      <c r="E1452" s="13"/>
      <c r="F1452" s="13"/>
      <c r="G1452" s="13"/>
      <c r="H1452" s="13"/>
      <c r="I1452" s="13"/>
      <c r="J1452" s="13"/>
      <c r="K1452" s="13"/>
      <c r="L1452" s="13"/>
      <c r="M1452" s="13"/>
      <c r="N1452" s="13"/>
      <c r="O1452" s="13"/>
      <c r="P1452" s="13"/>
      <c r="Q1452" s="13"/>
      <c r="R1452" s="13"/>
      <c r="S1452" s="13"/>
      <c r="T1452" s="13"/>
      <c r="U1452" s="13"/>
      <c r="V1452" s="13"/>
      <c r="W1452" s="13"/>
      <c r="X1452" s="13"/>
      <c r="Y1452" s="13"/>
      <c r="Z1452" s="13"/>
      <c r="AA1452" s="13"/>
      <c r="AB1452" s="13"/>
      <c r="AM1452" s="6"/>
      <c r="AN1452" s="6"/>
      <c r="AO1452" s="6"/>
      <c r="AP1452" s="6"/>
      <c r="AQ1452" s="6"/>
      <c r="AR1452" s="6"/>
      <c r="AS1452" s="6"/>
      <c r="AT1452" s="6"/>
      <c r="AU1452" s="6"/>
      <c r="AV1452" s="6"/>
      <c r="AW1452" s="6"/>
      <c r="AX1452" s="6"/>
      <c r="AY1452" s="6"/>
      <c r="AZ1452" s="6"/>
      <c r="BA1452" s="6"/>
      <c r="BB1452" s="6"/>
      <c r="BC1452" s="6"/>
      <c r="BD1452" s="6"/>
      <c r="BE1452" s="6"/>
      <c r="BF1452" s="6"/>
      <c r="BG1452" s="6"/>
      <c r="BH1452" s="6"/>
      <c r="BI1452" s="6"/>
      <c r="BJ1452" s="6"/>
      <c r="BK1452" s="6"/>
      <c r="BL1452" s="6"/>
      <c r="BM1452" s="6"/>
      <c r="BN1452" s="6"/>
      <c r="BO1452" s="6"/>
      <c r="BP1452" s="6"/>
      <c r="BQ1452" s="6"/>
    </row>
    <row r="1453" spans="2:69" hidden="1" x14ac:dyDescent="0.2">
      <c r="B1453" s="13"/>
      <c r="C1453" s="13"/>
      <c r="D1453" s="13"/>
      <c r="E1453" s="13"/>
      <c r="F1453" s="13"/>
      <c r="G1453" s="13"/>
      <c r="H1453" s="13"/>
      <c r="I1453" s="13"/>
      <c r="J1453" s="13"/>
      <c r="K1453" s="13"/>
      <c r="L1453" s="13"/>
      <c r="M1453" s="13"/>
      <c r="N1453" s="13"/>
      <c r="O1453" s="13"/>
      <c r="P1453" s="13"/>
      <c r="Q1453" s="13"/>
      <c r="R1453" s="13"/>
      <c r="S1453" s="13"/>
      <c r="T1453" s="13"/>
      <c r="U1453" s="13"/>
      <c r="V1453" s="13"/>
      <c r="W1453" s="13"/>
      <c r="X1453" s="13"/>
      <c r="Y1453" s="13"/>
      <c r="Z1453" s="13"/>
      <c r="AA1453" s="13"/>
      <c r="AB1453" s="13"/>
      <c r="AM1453" s="6"/>
      <c r="AN1453" s="6"/>
      <c r="AO1453" s="6"/>
      <c r="AP1453" s="6"/>
      <c r="AQ1453" s="6"/>
      <c r="AR1453" s="6"/>
      <c r="AS1453" s="6"/>
      <c r="AT1453" s="6"/>
      <c r="AU1453" s="6"/>
      <c r="AV1453" s="6"/>
      <c r="AW1453" s="6"/>
      <c r="AX1453" s="6"/>
      <c r="AY1453" s="6"/>
      <c r="AZ1453" s="6"/>
      <c r="BA1453" s="6"/>
      <c r="BB1453" s="6"/>
      <c r="BC1453" s="6"/>
      <c r="BD1453" s="6"/>
      <c r="BE1453" s="6"/>
      <c r="BF1453" s="6"/>
      <c r="BG1453" s="6"/>
      <c r="BH1453" s="6"/>
      <c r="BI1453" s="6"/>
      <c r="BJ1453" s="6"/>
      <c r="BK1453" s="6"/>
      <c r="BL1453" s="6"/>
      <c r="BM1453" s="6"/>
      <c r="BN1453" s="6"/>
      <c r="BO1453" s="6"/>
      <c r="BP1453" s="6"/>
      <c r="BQ1453" s="6"/>
    </row>
    <row r="1454" spans="2:69" hidden="1" x14ac:dyDescent="0.2">
      <c r="B1454" s="13"/>
      <c r="C1454" s="13"/>
      <c r="D1454" s="13"/>
      <c r="E1454" s="13"/>
      <c r="F1454" s="13"/>
      <c r="G1454" s="13"/>
      <c r="H1454" s="13"/>
      <c r="I1454" s="13"/>
      <c r="J1454" s="13"/>
      <c r="K1454" s="13"/>
      <c r="L1454" s="13"/>
      <c r="M1454" s="13"/>
      <c r="N1454" s="13"/>
      <c r="O1454" s="13"/>
      <c r="P1454" s="13"/>
      <c r="Q1454" s="13"/>
      <c r="R1454" s="13"/>
      <c r="S1454" s="13"/>
      <c r="T1454" s="13"/>
      <c r="U1454" s="13"/>
      <c r="V1454" s="13"/>
      <c r="W1454" s="13"/>
      <c r="X1454" s="13"/>
      <c r="Y1454" s="13"/>
      <c r="Z1454" s="13"/>
      <c r="AA1454" s="13"/>
      <c r="AB1454" s="13"/>
      <c r="AM1454" s="6"/>
      <c r="AN1454" s="6"/>
      <c r="AO1454" s="6"/>
      <c r="AP1454" s="6"/>
      <c r="AQ1454" s="6"/>
      <c r="AR1454" s="6"/>
      <c r="AS1454" s="6"/>
      <c r="AT1454" s="6"/>
      <c r="AU1454" s="6"/>
      <c r="AV1454" s="6"/>
      <c r="AW1454" s="6"/>
      <c r="AX1454" s="6"/>
      <c r="AY1454" s="6"/>
      <c r="AZ1454" s="6"/>
      <c r="BA1454" s="6"/>
      <c r="BB1454" s="6"/>
      <c r="BC1454" s="6"/>
      <c r="BD1454" s="6"/>
      <c r="BE1454" s="6"/>
      <c r="BF1454" s="6"/>
      <c r="BG1454" s="6"/>
      <c r="BH1454" s="6"/>
      <c r="BI1454" s="6"/>
      <c r="BJ1454" s="6"/>
      <c r="BK1454" s="6"/>
      <c r="BL1454" s="6"/>
      <c r="BM1454" s="6"/>
      <c r="BN1454" s="6"/>
      <c r="BO1454" s="6"/>
      <c r="BP1454" s="6"/>
      <c r="BQ1454" s="6"/>
    </row>
    <row r="1455" spans="2:69" hidden="1" x14ac:dyDescent="0.2">
      <c r="B1455" s="13"/>
      <c r="C1455" s="13"/>
      <c r="D1455" s="13"/>
      <c r="E1455" s="13"/>
      <c r="F1455" s="13"/>
      <c r="G1455" s="13"/>
      <c r="H1455" s="13"/>
      <c r="I1455" s="13"/>
      <c r="J1455" s="13"/>
      <c r="K1455" s="13"/>
      <c r="L1455" s="13"/>
      <c r="M1455" s="13"/>
      <c r="N1455" s="13"/>
      <c r="O1455" s="13"/>
      <c r="P1455" s="13"/>
      <c r="Q1455" s="13"/>
      <c r="R1455" s="13"/>
      <c r="S1455" s="13"/>
      <c r="T1455" s="13"/>
      <c r="U1455" s="13"/>
      <c r="V1455" s="13"/>
      <c r="W1455" s="13"/>
      <c r="X1455" s="13"/>
      <c r="Y1455" s="13"/>
      <c r="Z1455" s="13"/>
      <c r="AA1455" s="13"/>
      <c r="AB1455" s="13"/>
      <c r="AM1455" s="6"/>
      <c r="AN1455" s="6"/>
      <c r="AO1455" s="6"/>
      <c r="AP1455" s="6"/>
      <c r="AQ1455" s="6"/>
      <c r="AR1455" s="6"/>
      <c r="AS1455" s="6"/>
      <c r="AT1455" s="6"/>
      <c r="AU1455" s="6"/>
      <c r="AV1455" s="6"/>
      <c r="AW1455" s="6"/>
      <c r="AX1455" s="6"/>
      <c r="AY1455" s="6"/>
      <c r="AZ1455" s="6"/>
      <c r="BA1455" s="6"/>
      <c r="BB1455" s="6"/>
      <c r="BC1455" s="6"/>
      <c r="BD1455" s="6"/>
      <c r="BE1455" s="6"/>
      <c r="BF1455" s="6"/>
      <c r="BG1455" s="6"/>
      <c r="BH1455" s="6"/>
      <c r="BI1455" s="6"/>
      <c r="BJ1455" s="6"/>
      <c r="BK1455" s="6"/>
      <c r="BL1455" s="6"/>
      <c r="BM1455" s="6"/>
      <c r="BN1455" s="6"/>
      <c r="BO1455" s="6"/>
      <c r="BP1455" s="6"/>
      <c r="BQ1455" s="6"/>
    </row>
    <row r="1456" spans="2:69" hidden="1" x14ac:dyDescent="0.2">
      <c r="B1456" s="13"/>
      <c r="C1456" s="13"/>
      <c r="D1456" s="13"/>
      <c r="E1456" s="13"/>
      <c r="F1456" s="13"/>
      <c r="G1456" s="13"/>
      <c r="H1456" s="13"/>
      <c r="I1456" s="13"/>
      <c r="J1456" s="13"/>
      <c r="K1456" s="13"/>
      <c r="L1456" s="13"/>
      <c r="M1456" s="13"/>
      <c r="N1456" s="13"/>
      <c r="O1456" s="13"/>
      <c r="P1456" s="13"/>
      <c r="Q1456" s="13"/>
      <c r="R1456" s="13"/>
      <c r="S1456" s="13"/>
      <c r="T1456" s="13"/>
      <c r="U1456" s="13"/>
      <c r="V1456" s="13"/>
      <c r="W1456" s="13"/>
      <c r="X1456" s="13"/>
      <c r="Y1456" s="13"/>
      <c r="Z1456" s="13"/>
      <c r="AA1456" s="13"/>
      <c r="AB1456" s="13"/>
      <c r="AM1456" s="6"/>
      <c r="AN1456" s="6"/>
      <c r="AO1456" s="6"/>
      <c r="AP1456" s="6"/>
      <c r="AQ1456" s="6"/>
      <c r="AR1456" s="6"/>
      <c r="AS1456" s="6"/>
      <c r="AT1456" s="6"/>
      <c r="AU1456" s="6"/>
      <c r="AV1456" s="6"/>
      <c r="AW1456" s="6"/>
      <c r="AX1456" s="6"/>
      <c r="AY1456" s="6"/>
      <c r="AZ1456" s="6"/>
      <c r="BA1456" s="6"/>
      <c r="BB1456" s="6"/>
      <c r="BC1456" s="6"/>
      <c r="BD1456" s="6"/>
      <c r="BE1456" s="6"/>
      <c r="BF1456" s="6"/>
      <c r="BG1456" s="6"/>
      <c r="BH1456" s="6"/>
      <c r="BI1456" s="6"/>
      <c r="BJ1456" s="6"/>
      <c r="BK1456" s="6"/>
      <c r="BL1456" s="6"/>
      <c r="BM1456" s="6"/>
      <c r="BN1456" s="6"/>
      <c r="BO1456" s="6"/>
      <c r="BP1456" s="6"/>
      <c r="BQ1456" s="6"/>
    </row>
    <row r="1457" spans="2:69" hidden="1" x14ac:dyDescent="0.2">
      <c r="B1457" s="13"/>
      <c r="C1457" s="13"/>
      <c r="D1457" s="13"/>
      <c r="E1457" s="13"/>
      <c r="F1457" s="13"/>
      <c r="G1457" s="13"/>
      <c r="H1457" s="13"/>
      <c r="I1457" s="13"/>
      <c r="J1457" s="13"/>
      <c r="K1457" s="13"/>
      <c r="L1457" s="13"/>
      <c r="M1457" s="13"/>
      <c r="N1457" s="13"/>
      <c r="O1457" s="13"/>
      <c r="P1457" s="13"/>
      <c r="Q1457" s="13"/>
      <c r="R1457" s="13"/>
      <c r="S1457" s="13"/>
      <c r="T1457" s="13"/>
      <c r="U1457" s="13"/>
      <c r="V1457" s="13"/>
      <c r="W1457" s="13"/>
      <c r="X1457" s="13"/>
      <c r="Y1457" s="13"/>
      <c r="Z1457" s="13"/>
      <c r="AA1457" s="13"/>
      <c r="AB1457" s="13"/>
      <c r="AM1457" s="6"/>
      <c r="AN1457" s="6"/>
      <c r="AO1457" s="6"/>
      <c r="AP1457" s="6"/>
      <c r="AQ1457" s="6"/>
      <c r="AR1457" s="6"/>
      <c r="AS1457" s="6"/>
      <c r="AT1457" s="6"/>
      <c r="AU1457" s="6"/>
      <c r="AV1457" s="6"/>
      <c r="AW1457" s="6"/>
      <c r="AX1457" s="6"/>
      <c r="AY1457" s="6"/>
      <c r="AZ1457" s="6"/>
      <c r="BA1457" s="6"/>
      <c r="BB1457" s="6"/>
      <c r="BC1457" s="6"/>
      <c r="BD1457" s="6"/>
      <c r="BE1457" s="6"/>
      <c r="BF1457" s="6"/>
      <c r="BG1457" s="6"/>
      <c r="BH1457" s="6"/>
      <c r="BI1457" s="6"/>
      <c r="BJ1457" s="6"/>
      <c r="BK1457" s="6"/>
      <c r="BL1457" s="6"/>
      <c r="BM1457" s="6"/>
      <c r="BN1457" s="6"/>
      <c r="BO1457" s="6"/>
      <c r="BP1457" s="6"/>
      <c r="BQ1457" s="6"/>
    </row>
    <row r="1458" spans="2:69" hidden="1" x14ac:dyDescent="0.2">
      <c r="B1458" s="13"/>
      <c r="C1458" s="13"/>
      <c r="D1458" s="13"/>
      <c r="E1458" s="13"/>
      <c r="F1458" s="13"/>
      <c r="G1458" s="13"/>
      <c r="H1458" s="13"/>
      <c r="I1458" s="13"/>
      <c r="J1458" s="13"/>
      <c r="K1458" s="13"/>
      <c r="L1458" s="13"/>
      <c r="M1458" s="13"/>
      <c r="N1458" s="13"/>
      <c r="O1458" s="13"/>
      <c r="P1458" s="13"/>
      <c r="Q1458" s="13"/>
      <c r="R1458" s="13"/>
      <c r="S1458" s="13"/>
      <c r="T1458" s="13"/>
      <c r="U1458" s="13"/>
      <c r="V1458" s="13"/>
      <c r="W1458" s="13"/>
      <c r="X1458" s="13"/>
      <c r="Y1458" s="13"/>
      <c r="Z1458" s="13"/>
      <c r="AA1458" s="13"/>
      <c r="AB1458" s="13"/>
      <c r="AM1458" s="6"/>
      <c r="AN1458" s="6"/>
      <c r="AO1458" s="6"/>
      <c r="AP1458" s="6"/>
      <c r="AQ1458" s="6"/>
      <c r="AR1458" s="6"/>
      <c r="AS1458" s="6"/>
      <c r="AT1458" s="6"/>
      <c r="AU1458" s="6"/>
      <c r="AV1458" s="6"/>
      <c r="AW1458" s="6"/>
      <c r="AX1458" s="6"/>
      <c r="AY1458" s="6"/>
      <c r="AZ1458" s="6"/>
      <c r="BA1458" s="6"/>
      <c r="BB1458" s="6"/>
      <c r="BC1458" s="6"/>
      <c r="BD1458" s="6"/>
      <c r="BE1458" s="6"/>
      <c r="BF1458" s="6"/>
      <c r="BG1458" s="6"/>
      <c r="BH1458" s="6"/>
      <c r="BI1458" s="6"/>
      <c r="BJ1458" s="6"/>
      <c r="BK1458" s="6"/>
      <c r="BL1458" s="6"/>
      <c r="BM1458" s="6"/>
      <c r="BN1458" s="6"/>
      <c r="BO1458" s="6"/>
      <c r="BP1458" s="6"/>
      <c r="BQ1458" s="6"/>
    </row>
    <row r="1459" spans="2:69" hidden="1" x14ac:dyDescent="0.2">
      <c r="B1459" s="13"/>
      <c r="C1459" s="13"/>
      <c r="D1459" s="13"/>
      <c r="E1459" s="13"/>
      <c r="F1459" s="13"/>
      <c r="G1459" s="13"/>
      <c r="H1459" s="13"/>
      <c r="I1459" s="13"/>
      <c r="J1459" s="13"/>
      <c r="K1459" s="13"/>
      <c r="L1459" s="13"/>
      <c r="M1459" s="13"/>
      <c r="N1459" s="13"/>
      <c r="O1459" s="13"/>
      <c r="P1459" s="13"/>
      <c r="Q1459" s="13"/>
      <c r="R1459" s="13"/>
      <c r="S1459" s="13"/>
      <c r="T1459" s="13"/>
      <c r="U1459" s="13"/>
      <c r="V1459" s="13"/>
      <c r="W1459" s="13"/>
      <c r="X1459" s="13"/>
      <c r="Y1459" s="13"/>
      <c r="Z1459" s="13"/>
      <c r="AA1459" s="13"/>
      <c r="AB1459" s="13"/>
      <c r="AM1459" s="6"/>
      <c r="AN1459" s="6"/>
      <c r="AO1459" s="6"/>
      <c r="AP1459" s="6"/>
      <c r="AQ1459" s="6"/>
      <c r="AR1459" s="6"/>
      <c r="AS1459" s="6"/>
      <c r="AT1459" s="6"/>
      <c r="AU1459" s="6"/>
      <c r="AV1459" s="6"/>
      <c r="AW1459" s="6"/>
      <c r="AX1459" s="6"/>
      <c r="AY1459" s="6"/>
      <c r="AZ1459" s="6"/>
      <c r="BA1459" s="6"/>
      <c r="BB1459" s="6"/>
      <c r="BC1459" s="6"/>
      <c r="BD1459" s="6"/>
      <c r="BE1459" s="6"/>
      <c r="BF1459" s="6"/>
      <c r="BG1459" s="6"/>
      <c r="BH1459" s="6"/>
      <c r="BI1459" s="6"/>
      <c r="BJ1459" s="6"/>
      <c r="BK1459" s="6"/>
      <c r="BL1459" s="6"/>
      <c r="BM1459" s="6"/>
      <c r="BN1459" s="6"/>
      <c r="BO1459" s="6"/>
      <c r="BP1459" s="6"/>
      <c r="BQ1459" s="6"/>
    </row>
    <row r="1460" spans="2:69" hidden="1" x14ac:dyDescent="0.2">
      <c r="B1460" s="13"/>
      <c r="C1460" s="13"/>
      <c r="D1460" s="13"/>
      <c r="E1460" s="13"/>
      <c r="F1460" s="13"/>
      <c r="G1460" s="13"/>
      <c r="H1460" s="13"/>
      <c r="I1460" s="13"/>
      <c r="J1460" s="13"/>
      <c r="K1460" s="13"/>
      <c r="L1460" s="13"/>
      <c r="M1460" s="13"/>
      <c r="N1460" s="13"/>
      <c r="O1460" s="13"/>
      <c r="P1460" s="13"/>
      <c r="Q1460" s="13"/>
      <c r="R1460" s="13"/>
      <c r="S1460" s="13"/>
      <c r="T1460" s="13"/>
      <c r="U1460" s="13"/>
      <c r="V1460" s="13"/>
      <c r="W1460" s="13"/>
      <c r="X1460" s="13"/>
      <c r="Y1460" s="13"/>
      <c r="Z1460" s="13"/>
      <c r="AA1460" s="13"/>
      <c r="AB1460" s="13"/>
      <c r="AM1460" s="6"/>
      <c r="AN1460" s="6"/>
      <c r="AO1460" s="6"/>
      <c r="AP1460" s="6"/>
      <c r="AQ1460" s="6"/>
      <c r="AR1460" s="6"/>
      <c r="AS1460" s="6"/>
      <c r="AT1460" s="6"/>
      <c r="AU1460" s="6"/>
      <c r="AV1460" s="6"/>
      <c r="AW1460" s="6"/>
      <c r="AX1460" s="6"/>
      <c r="AY1460" s="6"/>
      <c r="AZ1460" s="6"/>
      <c r="BA1460" s="6"/>
      <c r="BB1460" s="6"/>
      <c r="BC1460" s="6"/>
      <c r="BD1460" s="6"/>
      <c r="BE1460" s="6"/>
      <c r="BF1460" s="6"/>
      <c r="BG1460" s="6"/>
      <c r="BH1460" s="6"/>
      <c r="BI1460" s="6"/>
      <c r="BJ1460" s="6"/>
      <c r="BK1460" s="6"/>
      <c r="BL1460" s="6"/>
      <c r="BM1460" s="6"/>
      <c r="BN1460" s="6"/>
      <c r="BO1460" s="6"/>
      <c r="BP1460" s="6"/>
      <c r="BQ1460" s="6"/>
    </row>
    <row r="1461" spans="2:69" hidden="1" x14ac:dyDescent="0.2">
      <c r="B1461" s="13"/>
      <c r="C1461" s="13"/>
      <c r="D1461" s="13"/>
      <c r="E1461" s="13"/>
      <c r="F1461" s="13"/>
      <c r="G1461" s="13"/>
      <c r="H1461" s="13"/>
      <c r="I1461" s="13"/>
      <c r="J1461" s="13"/>
      <c r="K1461" s="13"/>
      <c r="L1461" s="13"/>
      <c r="M1461" s="13"/>
      <c r="N1461" s="13"/>
      <c r="O1461" s="13"/>
      <c r="P1461" s="13"/>
      <c r="Q1461" s="13"/>
      <c r="R1461" s="13"/>
      <c r="S1461" s="13"/>
      <c r="T1461" s="13"/>
      <c r="U1461" s="13"/>
      <c r="V1461" s="13"/>
      <c r="W1461" s="13"/>
      <c r="X1461" s="13"/>
      <c r="Y1461" s="13"/>
      <c r="Z1461" s="13"/>
      <c r="AA1461" s="13"/>
      <c r="AB1461" s="13"/>
      <c r="AM1461" s="6"/>
      <c r="AN1461" s="6"/>
      <c r="AO1461" s="6"/>
      <c r="AP1461" s="6"/>
      <c r="AQ1461" s="6"/>
      <c r="AR1461" s="6"/>
      <c r="AS1461" s="6"/>
      <c r="AT1461" s="6"/>
      <c r="AU1461" s="6"/>
      <c r="AV1461" s="6"/>
      <c r="AW1461" s="6"/>
      <c r="AX1461" s="6"/>
      <c r="AY1461" s="6"/>
      <c r="AZ1461" s="6"/>
      <c r="BA1461" s="6"/>
      <c r="BB1461" s="6"/>
      <c r="BC1461" s="6"/>
      <c r="BD1461" s="6"/>
      <c r="BE1461" s="6"/>
      <c r="BF1461" s="6"/>
      <c r="BG1461" s="6"/>
      <c r="BH1461" s="6"/>
      <c r="BI1461" s="6"/>
      <c r="BJ1461" s="6"/>
      <c r="BK1461" s="6"/>
      <c r="BL1461" s="6"/>
      <c r="BM1461" s="6"/>
      <c r="BN1461" s="6"/>
      <c r="BO1461" s="6"/>
      <c r="BP1461" s="6"/>
      <c r="BQ1461" s="6"/>
    </row>
    <row r="1462" spans="2:69" hidden="1" x14ac:dyDescent="0.2">
      <c r="B1462" s="13"/>
      <c r="C1462" s="13"/>
      <c r="D1462" s="13"/>
      <c r="E1462" s="13"/>
      <c r="F1462" s="13"/>
      <c r="G1462" s="13"/>
      <c r="H1462" s="13"/>
      <c r="I1462" s="13"/>
      <c r="J1462" s="13"/>
      <c r="K1462" s="13"/>
      <c r="L1462" s="13"/>
      <c r="M1462" s="13"/>
      <c r="N1462" s="13"/>
      <c r="O1462" s="13"/>
      <c r="P1462" s="13"/>
      <c r="Q1462" s="13"/>
      <c r="R1462" s="13"/>
      <c r="S1462" s="13"/>
      <c r="T1462" s="13"/>
      <c r="U1462" s="13"/>
      <c r="V1462" s="13"/>
      <c r="W1462" s="13"/>
      <c r="X1462" s="13"/>
      <c r="Y1462" s="13"/>
      <c r="Z1462" s="13"/>
      <c r="AA1462" s="13"/>
      <c r="AB1462" s="13"/>
      <c r="AM1462" s="6"/>
      <c r="AN1462" s="6"/>
      <c r="AO1462" s="6"/>
      <c r="AP1462" s="6"/>
      <c r="AQ1462" s="6"/>
      <c r="AR1462" s="6"/>
      <c r="AS1462" s="6"/>
      <c r="AT1462" s="6"/>
      <c r="AU1462" s="6"/>
      <c r="AV1462" s="6"/>
      <c r="AW1462" s="6"/>
      <c r="AX1462" s="6"/>
      <c r="AY1462" s="6"/>
      <c r="AZ1462" s="6"/>
      <c r="BA1462" s="6"/>
      <c r="BB1462" s="6"/>
      <c r="BC1462" s="6"/>
      <c r="BD1462" s="6"/>
      <c r="BE1462" s="6"/>
      <c r="BF1462" s="6"/>
      <c r="BG1462" s="6"/>
      <c r="BH1462" s="6"/>
      <c r="BI1462" s="6"/>
      <c r="BJ1462" s="6"/>
      <c r="BK1462" s="6"/>
      <c r="BL1462" s="6"/>
      <c r="BM1462" s="6"/>
      <c r="BN1462" s="6"/>
      <c r="BO1462" s="6"/>
      <c r="BP1462" s="6"/>
      <c r="BQ1462" s="6"/>
    </row>
    <row r="1463" spans="2:69" hidden="1" x14ac:dyDescent="0.2">
      <c r="B1463" s="13"/>
      <c r="C1463" s="13"/>
      <c r="D1463" s="13"/>
      <c r="E1463" s="13"/>
      <c r="F1463" s="13"/>
      <c r="G1463" s="13"/>
      <c r="H1463" s="13"/>
      <c r="I1463" s="13"/>
      <c r="J1463" s="13"/>
      <c r="K1463" s="13"/>
      <c r="L1463" s="13"/>
      <c r="M1463" s="13"/>
      <c r="N1463" s="13"/>
      <c r="O1463" s="13"/>
      <c r="P1463" s="13"/>
      <c r="Q1463" s="13"/>
      <c r="R1463" s="13"/>
      <c r="S1463" s="13"/>
      <c r="T1463" s="13"/>
      <c r="U1463" s="13"/>
      <c r="V1463" s="13"/>
      <c r="W1463" s="13"/>
      <c r="X1463" s="13"/>
      <c r="Y1463" s="13"/>
      <c r="Z1463" s="13"/>
      <c r="AA1463" s="13"/>
      <c r="AB1463" s="13"/>
      <c r="AM1463" s="6"/>
      <c r="AN1463" s="6"/>
      <c r="AO1463" s="6"/>
      <c r="AP1463" s="6"/>
      <c r="AQ1463" s="6"/>
      <c r="AR1463" s="6"/>
      <c r="AS1463" s="6"/>
      <c r="AT1463" s="6"/>
      <c r="AU1463" s="6"/>
      <c r="AV1463" s="6"/>
      <c r="AW1463" s="6"/>
      <c r="AX1463" s="6"/>
      <c r="AY1463" s="6"/>
      <c r="AZ1463" s="6"/>
      <c r="BA1463" s="6"/>
      <c r="BB1463" s="6"/>
      <c r="BC1463" s="6"/>
      <c r="BD1463" s="6"/>
      <c r="BE1463" s="6"/>
      <c r="BF1463" s="6"/>
      <c r="BG1463" s="6"/>
      <c r="BH1463" s="6"/>
      <c r="BI1463" s="6"/>
      <c r="BJ1463" s="6"/>
      <c r="BK1463" s="6"/>
      <c r="BL1463" s="6"/>
      <c r="BM1463" s="6"/>
      <c r="BN1463" s="6"/>
      <c r="BO1463" s="6"/>
      <c r="BP1463" s="6"/>
      <c r="BQ1463" s="6"/>
    </row>
    <row r="1464" spans="2:69" hidden="1" x14ac:dyDescent="0.2">
      <c r="B1464" s="13"/>
      <c r="C1464" s="13"/>
      <c r="D1464" s="13"/>
      <c r="E1464" s="13"/>
      <c r="F1464" s="13"/>
      <c r="G1464" s="13"/>
      <c r="H1464" s="13"/>
      <c r="I1464" s="13"/>
      <c r="J1464" s="13"/>
      <c r="K1464" s="13"/>
      <c r="L1464" s="13"/>
      <c r="M1464" s="13"/>
      <c r="N1464" s="13"/>
      <c r="O1464" s="13"/>
      <c r="P1464" s="13"/>
      <c r="Q1464" s="13"/>
      <c r="R1464" s="13"/>
      <c r="S1464" s="13"/>
      <c r="T1464" s="13"/>
      <c r="U1464" s="13"/>
      <c r="V1464" s="13"/>
      <c r="W1464" s="13"/>
      <c r="X1464" s="13"/>
      <c r="Y1464" s="13"/>
      <c r="Z1464" s="13"/>
      <c r="AA1464" s="13"/>
      <c r="AB1464" s="13"/>
      <c r="AM1464" s="6"/>
      <c r="AN1464" s="6"/>
      <c r="AO1464" s="6"/>
      <c r="AP1464" s="6"/>
      <c r="AQ1464" s="6"/>
      <c r="AR1464" s="6"/>
      <c r="AS1464" s="6"/>
      <c r="AT1464" s="6"/>
      <c r="AU1464" s="6"/>
      <c r="AV1464" s="6"/>
      <c r="AW1464" s="6"/>
      <c r="AX1464" s="6"/>
      <c r="AY1464" s="6"/>
      <c r="AZ1464" s="6"/>
      <c r="BA1464" s="6"/>
      <c r="BB1464" s="6"/>
      <c r="BC1464" s="6"/>
      <c r="BD1464" s="6"/>
      <c r="BE1464" s="6"/>
      <c r="BF1464" s="6"/>
      <c r="BG1464" s="6"/>
      <c r="BH1464" s="6"/>
      <c r="BI1464" s="6"/>
      <c r="BJ1464" s="6"/>
      <c r="BK1464" s="6"/>
      <c r="BL1464" s="6"/>
      <c r="BM1464" s="6"/>
      <c r="BN1464" s="6"/>
      <c r="BO1464" s="6"/>
      <c r="BP1464" s="6"/>
      <c r="BQ1464" s="6"/>
    </row>
    <row r="1465" spans="2:69" hidden="1" x14ac:dyDescent="0.2">
      <c r="B1465" s="13"/>
      <c r="C1465" s="13"/>
      <c r="D1465" s="13"/>
      <c r="E1465" s="13"/>
      <c r="F1465" s="13"/>
      <c r="G1465" s="13"/>
      <c r="H1465" s="13"/>
      <c r="I1465" s="13"/>
      <c r="J1465" s="13"/>
      <c r="K1465" s="13"/>
      <c r="L1465" s="13"/>
      <c r="M1465" s="13"/>
      <c r="N1465" s="13"/>
      <c r="O1465" s="13"/>
      <c r="P1465" s="13"/>
      <c r="Q1465" s="13"/>
      <c r="R1465" s="13"/>
      <c r="S1465" s="13"/>
      <c r="T1465" s="13"/>
      <c r="U1465" s="13"/>
      <c r="V1465" s="13"/>
      <c r="W1465" s="13"/>
      <c r="X1465" s="13"/>
      <c r="Y1465" s="13"/>
      <c r="Z1465" s="13"/>
      <c r="AA1465" s="13"/>
      <c r="AB1465" s="13"/>
      <c r="AM1465" s="6"/>
      <c r="AN1465" s="6"/>
      <c r="AO1465" s="6"/>
      <c r="AP1465" s="6"/>
      <c r="AQ1465" s="6"/>
      <c r="AR1465" s="6"/>
      <c r="AS1465" s="6"/>
      <c r="AT1465" s="6"/>
      <c r="AU1465" s="6"/>
      <c r="AV1465" s="6"/>
      <c r="AW1465" s="6"/>
      <c r="AX1465" s="6"/>
      <c r="AY1465" s="6"/>
      <c r="AZ1465" s="6"/>
      <c r="BA1465" s="6"/>
      <c r="BB1465" s="6"/>
      <c r="BC1465" s="6"/>
      <c r="BD1465" s="6"/>
      <c r="BE1465" s="6"/>
      <c r="BF1465" s="6"/>
      <c r="BG1465" s="6"/>
      <c r="BH1465" s="6"/>
      <c r="BI1465" s="6"/>
      <c r="BJ1465" s="6"/>
      <c r="BK1465" s="6"/>
      <c r="BL1465" s="6"/>
      <c r="BM1465" s="6"/>
      <c r="BN1465" s="6"/>
      <c r="BO1465" s="6"/>
      <c r="BP1465" s="6"/>
      <c r="BQ1465" s="6"/>
    </row>
    <row r="1466" spans="2:69" hidden="1" x14ac:dyDescent="0.2">
      <c r="B1466" s="13"/>
      <c r="C1466" s="13"/>
      <c r="D1466" s="13"/>
      <c r="E1466" s="13"/>
      <c r="F1466" s="13"/>
      <c r="G1466" s="13"/>
      <c r="H1466" s="13"/>
      <c r="I1466" s="13"/>
      <c r="J1466" s="13"/>
      <c r="K1466" s="13"/>
      <c r="L1466" s="13"/>
      <c r="M1466" s="13"/>
      <c r="N1466" s="13"/>
      <c r="O1466" s="13"/>
      <c r="P1466" s="13"/>
      <c r="Q1466" s="13"/>
      <c r="R1466" s="13"/>
      <c r="S1466" s="13"/>
      <c r="T1466" s="13"/>
      <c r="U1466" s="13"/>
      <c r="V1466" s="13"/>
      <c r="W1466" s="13"/>
      <c r="X1466" s="13"/>
      <c r="Y1466" s="13"/>
      <c r="Z1466" s="13"/>
      <c r="AA1466" s="13"/>
      <c r="AB1466" s="13"/>
      <c r="AM1466" s="6"/>
      <c r="AN1466" s="6"/>
      <c r="AO1466" s="6"/>
      <c r="AP1466" s="6"/>
      <c r="AQ1466" s="6"/>
      <c r="AR1466" s="6"/>
      <c r="AS1466" s="6"/>
      <c r="AT1466" s="6"/>
      <c r="AU1466" s="6"/>
      <c r="AV1466" s="6"/>
      <c r="AW1466" s="6"/>
      <c r="AX1466" s="6"/>
      <c r="AY1466" s="6"/>
      <c r="AZ1466" s="6"/>
      <c r="BA1466" s="6"/>
      <c r="BB1466" s="6"/>
      <c r="BC1466" s="6"/>
      <c r="BD1466" s="6"/>
      <c r="BE1466" s="6"/>
      <c r="BF1466" s="6"/>
      <c r="BG1466" s="6"/>
      <c r="BH1466" s="6"/>
      <c r="BI1466" s="6"/>
      <c r="BJ1466" s="6"/>
      <c r="BK1466" s="6"/>
      <c r="BL1466" s="6"/>
      <c r="BM1466" s="6"/>
      <c r="BN1466" s="6"/>
      <c r="BO1466" s="6"/>
      <c r="BP1466" s="6"/>
      <c r="BQ1466" s="6"/>
    </row>
    <row r="1467" spans="2:69" hidden="1" x14ac:dyDescent="0.2">
      <c r="B1467" s="13"/>
      <c r="C1467" s="13"/>
      <c r="D1467" s="13"/>
      <c r="E1467" s="13"/>
      <c r="F1467" s="13"/>
      <c r="G1467" s="13"/>
      <c r="H1467" s="13"/>
      <c r="I1467" s="13"/>
      <c r="J1467" s="13"/>
      <c r="K1467" s="13"/>
      <c r="L1467" s="13"/>
      <c r="M1467" s="13"/>
      <c r="N1467" s="13"/>
      <c r="O1467" s="13"/>
      <c r="P1467" s="13"/>
      <c r="Q1467" s="13"/>
      <c r="R1467" s="13"/>
      <c r="S1467" s="13"/>
      <c r="T1467" s="13"/>
      <c r="U1467" s="13"/>
      <c r="V1467" s="13"/>
      <c r="W1467" s="13"/>
      <c r="X1467" s="13"/>
      <c r="Y1467" s="13"/>
      <c r="Z1467" s="13"/>
      <c r="AA1467" s="13"/>
      <c r="AB1467" s="13"/>
      <c r="AM1467" s="6"/>
      <c r="AN1467" s="6"/>
      <c r="AO1467" s="6"/>
      <c r="AP1467" s="6"/>
      <c r="AQ1467" s="6"/>
      <c r="AR1467" s="6"/>
      <c r="AS1467" s="6"/>
      <c r="AT1467" s="6"/>
      <c r="AU1467" s="6"/>
      <c r="AV1467" s="6"/>
      <c r="AW1467" s="6"/>
      <c r="AX1467" s="6"/>
      <c r="AY1467" s="6"/>
      <c r="AZ1467" s="6"/>
      <c r="BA1467" s="6"/>
      <c r="BB1467" s="6"/>
      <c r="BC1467" s="6"/>
      <c r="BD1467" s="6"/>
      <c r="BE1467" s="6"/>
      <c r="BF1467" s="6"/>
      <c r="BG1467" s="6"/>
      <c r="BH1467" s="6"/>
      <c r="BI1467" s="6"/>
      <c r="BJ1467" s="6"/>
      <c r="BK1467" s="6"/>
      <c r="BL1467" s="6"/>
      <c r="BM1467" s="6"/>
      <c r="BN1467" s="6"/>
      <c r="BO1467" s="6"/>
      <c r="BP1467" s="6"/>
      <c r="BQ1467" s="6"/>
    </row>
    <row r="1468" spans="2:69" hidden="1" x14ac:dyDescent="0.2">
      <c r="B1468" s="13"/>
      <c r="C1468" s="13"/>
      <c r="D1468" s="13"/>
      <c r="E1468" s="13"/>
      <c r="F1468" s="13"/>
      <c r="G1468" s="13"/>
      <c r="H1468" s="13"/>
      <c r="I1468" s="13"/>
      <c r="J1468" s="13"/>
      <c r="K1468" s="13"/>
      <c r="L1468" s="13"/>
      <c r="M1468" s="13"/>
      <c r="N1468" s="13"/>
      <c r="O1468" s="13"/>
      <c r="P1468" s="13"/>
      <c r="Q1468" s="13"/>
      <c r="R1468" s="13"/>
      <c r="S1468" s="13"/>
      <c r="T1468" s="13"/>
      <c r="U1468" s="13"/>
      <c r="V1468" s="13"/>
      <c r="W1468" s="13"/>
      <c r="X1468" s="13"/>
      <c r="Y1468" s="13"/>
      <c r="Z1468" s="13"/>
      <c r="AA1468" s="13"/>
      <c r="AB1468" s="13"/>
      <c r="AM1468" s="6"/>
      <c r="AN1468" s="6"/>
      <c r="AO1468" s="6"/>
      <c r="AP1468" s="6"/>
      <c r="AQ1468" s="6"/>
      <c r="AR1468" s="6"/>
      <c r="AS1468" s="6"/>
      <c r="AT1468" s="6"/>
      <c r="AU1468" s="6"/>
      <c r="AV1468" s="6"/>
      <c r="AW1468" s="6"/>
      <c r="AX1468" s="6"/>
      <c r="AY1468" s="6"/>
      <c r="AZ1468" s="6"/>
      <c r="BA1468" s="6"/>
      <c r="BB1468" s="6"/>
      <c r="BC1468" s="6"/>
      <c r="BD1468" s="6"/>
      <c r="BE1468" s="6"/>
      <c r="BF1468" s="6"/>
      <c r="BG1468" s="6"/>
      <c r="BH1468" s="6"/>
      <c r="BI1468" s="6"/>
      <c r="BJ1468" s="6"/>
      <c r="BK1468" s="6"/>
      <c r="BL1468" s="6"/>
      <c r="BM1468" s="6"/>
      <c r="BN1468" s="6"/>
      <c r="BO1468" s="6"/>
      <c r="BP1468" s="6"/>
      <c r="BQ1468" s="6"/>
    </row>
    <row r="1469" spans="2:69" hidden="1" x14ac:dyDescent="0.2">
      <c r="B1469" s="13"/>
      <c r="C1469" s="13"/>
      <c r="D1469" s="13"/>
      <c r="E1469" s="13"/>
      <c r="F1469" s="13"/>
      <c r="G1469" s="13"/>
      <c r="H1469" s="13"/>
      <c r="I1469" s="13"/>
      <c r="J1469" s="13"/>
      <c r="K1469" s="13"/>
      <c r="L1469" s="13"/>
      <c r="M1469" s="13"/>
      <c r="N1469" s="13"/>
      <c r="O1469" s="13"/>
      <c r="P1469" s="13"/>
      <c r="Q1469" s="13"/>
      <c r="R1469" s="13"/>
      <c r="S1469" s="13"/>
      <c r="T1469" s="13"/>
      <c r="U1469" s="13"/>
      <c r="V1469" s="13"/>
      <c r="W1469" s="13"/>
      <c r="X1469" s="13"/>
      <c r="Y1469" s="13"/>
      <c r="Z1469" s="13"/>
      <c r="AA1469" s="13"/>
      <c r="AB1469" s="13"/>
      <c r="AM1469" s="6"/>
      <c r="AN1469" s="6"/>
      <c r="AO1469" s="6"/>
      <c r="AP1469" s="6"/>
      <c r="AQ1469" s="6"/>
      <c r="AR1469" s="6"/>
      <c r="AS1469" s="6"/>
      <c r="AT1469" s="6"/>
      <c r="AU1469" s="6"/>
      <c r="AV1469" s="6"/>
      <c r="AW1469" s="6"/>
      <c r="AX1469" s="6"/>
      <c r="AY1469" s="6"/>
      <c r="AZ1469" s="6"/>
      <c r="BA1469" s="6"/>
      <c r="BB1469" s="6"/>
      <c r="BC1469" s="6"/>
      <c r="BD1469" s="6"/>
      <c r="BE1469" s="6"/>
      <c r="BF1469" s="6"/>
      <c r="BG1469" s="6"/>
      <c r="BH1469" s="6"/>
      <c r="BI1469" s="6"/>
      <c r="BJ1469" s="6"/>
      <c r="BK1469" s="6"/>
      <c r="BL1469" s="6"/>
      <c r="BM1469" s="6"/>
      <c r="BN1469" s="6"/>
      <c r="BO1469" s="6"/>
      <c r="BP1469" s="6"/>
      <c r="BQ1469" s="6"/>
    </row>
    <row r="1470" spans="2:69" hidden="1" x14ac:dyDescent="0.2">
      <c r="B1470" s="13"/>
      <c r="C1470" s="13"/>
      <c r="D1470" s="13"/>
      <c r="E1470" s="13"/>
      <c r="F1470" s="13"/>
      <c r="G1470" s="13"/>
      <c r="H1470" s="13"/>
      <c r="I1470" s="13"/>
      <c r="J1470" s="13"/>
      <c r="K1470" s="13"/>
      <c r="L1470" s="13"/>
      <c r="M1470" s="13"/>
      <c r="N1470" s="13"/>
      <c r="O1470" s="13"/>
      <c r="P1470" s="13"/>
      <c r="Q1470" s="13"/>
      <c r="R1470" s="13"/>
      <c r="S1470" s="13"/>
      <c r="T1470" s="13"/>
      <c r="U1470" s="13"/>
      <c r="V1470" s="13"/>
      <c r="W1470" s="13"/>
      <c r="X1470" s="13"/>
      <c r="Y1470" s="13"/>
      <c r="Z1470" s="13"/>
      <c r="AA1470" s="13"/>
      <c r="AB1470" s="13"/>
      <c r="AM1470" s="6"/>
      <c r="AN1470" s="6"/>
      <c r="AO1470" s="6"/>
      <c r="AP1470" s="6"/>
      <c r="AQ1470" s="6"/>
      <c r="AR1470" s="6"/>
      <c r="AS1470" s="6"/>
      <c r="AT1470" s="6"/>
      <c r="AU1470" s="6"/>
      <c r="AV1470" s="6"/>
      <c r="AW1470" s="6"/>
      <c r="AX1470" s="6"/>
      <c r="AY1470" s="6"/>
      <c r="AZ1470" s="6"/>
      <c r="BA1470" s="6"/>
      <c r="BB1470" s="6"/>
      <c r="BC1470" s="6"/>
      <c r="BD1470" s="6"/>
      <c r="BE1470" s="6"/>
      <c r="BF1470" s="6"/>
      <c r="BG1470" s="6"/>
      <c r="BH1470" s="6"/>
      <c r="BI1470" s="6"/>
      <c r="BJ1470" s="6"/>
      <c r="BK1470" s="6"/>
      <c r="BL1470" s="6"/>
      <c r="BM1470" s="6"/>
      <c r="BN1470" s="6"/>
      <c r="BO1470" s="6"/>
      <c r="BP1470" s="6"/>
      <c r="BQ1470" s="6"/>
    </row>
    <row r="1471" spans="2:69" hidden="1" x14ac:dyDescent="0.2">
      <c r="B1471" s="13"/>
      <c r="C1471" s="13"/>
      <c r="D1471" s="13"/>
      <c r="E1471" s="13"/>
      <c r="F1471" s="13"/>
      <c r="G1471" s="13"/>
      <c r="H1471" s="13"/>
      <c r="I1471" s="13"/>
      <c r="J1471" s="13"/>
      <c r="K1471" s="13"/>
      <c r="L1471" s="13"/>
      <c r="M1471" s="13"/>
      <c r="N1471" s="13"/>
      <c r="O1471" s="13"/>
      <c r="P1471" s="13"/>
      <c r="Q1471" s="13"/>
      <c r="R1471" s="13"/>
      <c r="S1471" s="13"/>
      <c r="T1471" s="13"/>
      <c r="U1471" s="13"/>
      <c r="V1471" s="13"/>
      <c r="W1471" s="13"/>
      <c r="X1471" s="13"/>
      <c r="Y1471" s="13"/>
      <c r="Z1471" s="13"/>
      <c r="AA1471" s="13"/>
      <c r="AB1471" s="13"/>
      <c r="AM1471" s="6"/>
      <c r="AN1471" s="6"/>
      <c r="AO1471" s="6"/>
      <c r="AP1471" s="6"/>
      <c r="AQ1471" s="6"/>
      <c r="AR1471" s="6"/>
      <c r="AS1471" s="6"/>
      <c r="AT1471" s="6"/>
      <c r="AU1471" s="6"/>
      <c r="AV1471" s="6"/>
      <c r="AW1471" s="6"/>
      <c r="AX1471" s="6"/>
      <c r="AY1471" s="6"/>
      <c r="AZ1471" s="6"/>
      <c r="BA1471" s="6"/>
      <c r="BB1471" s="6"/>
      <c r="BC1471" s="6"/>
      <c r="BD1471" s="6"/>
      <c r="BE1471" s="6"/>
      <c r="BF1471" s="6"/>
      <c r="BG1471" s="6"/>
      <c r="BH1471" s="6"/>
      <c r="BI1471" s="6"/>
      <c r="BJ1471" s="6"/>
      <c r="BK1471" s="6"/>
      <c r="BL1471" s="6"/>
      <c r="BM1471" s="6"/>
      <c r="BN1471" s="6"/>
      <c r="BO1471" s="6"/>
      <c r="BP1471" s="6"/>
      <c r="BQ1471" s="6"/>
    </row>
    <row r="1472" spans="2:69" hidden="1" x14ac:dyDescent="0.2">
      <c r="B1472" s="13"/>
      <c r="C1472" s="13"/>
      <c r="D1472" s="13"/>
      <c r="E1472" s="13"/>
      <c r="F1472" s="13"/>
      <c r="G1472" s="13"/>
      <c r="H1472" s="13"/>
      <c r="I1472" s="13"/>
      <c r="J1472" s="13"/>
      <c r="K1472" s="13"/>
      <c r="L1472" s="13"/>
      <c r="M1472" s="13"/>
      <c r="N1472" s="13"/>
      <c r="O1472" s="13"/>
      <c r="P1472" s="13"/>
      <c r="Q1472" s="13"/>
      <c r="R1472" s="13"/>
      <c r="S1472" s="13"/>
      <c r="T1472" s="13"/>
      <c r="U1472" s="13"/>
      <c r="V1472" s="13"/>
      <c r="W1472" s="13"/>
      <c r="X1472" s="13"/>
      <c r="Y1472" s="13"/>
      <c r="Z1472" s="13"/>
      <c r="AA1472" s="13"/>
      <c r="AB1472" s="13"/>
      <c r="AM1472" s="6"/>
      <c r="AN1472" s="6"/>
      <c r="AO1472" s="6"/>
      <c r="AP1472" s="6"/>
      <c r="AQ1472" s="6"/>
      <c r="AR1472" s="6"/>
      <c r="AS1472" s="6"/>
      <c r="AT1472" s="6"/>
      <c r="AU1472" s="6"/>
      <c r="AV1472" s="6"/>
      <c r="AW1472" s="6"/>
      <c r="AX1472" s="6"/>
      <c r="AY1472" s="6"/>
      <c r="AZ1472" s="6"/>
      <c r="BA1472" s="6"/>
      <c r="BB1472" s="6"/>
      <c r="BC1472" s="6"/>
      <c r="BD1472" s="6"/>
      <c r="BE1472" s="6"/>
      <c r="BF1472" s="6"/>
      <c r="BG1472" s="6"/>
      <c r="BH1472" s="6"/>
      <c r="BI1472" s="6"/>
      <c r="BJ1472" s="6"/>
      <c r="BK1472" s="6"/>
      <c r="BL1472" s="6"/>
      <c r="BM1472" s="6"/>
      <c r="BN1472" s="6"/>
      <c r="BO1472" s="6"/>
      <c r="BP1472" s="6"/>
      <c r="BQ1472" s="6"/>
    </row>
    <row r="1473" spans="2:69" hidden="1" x14ac:dyDescent="0.2">
      <c r="B1473" s="13"/>
      <c r="C1473" s="13"/>
      <c r="D1473" s="13"/>
      <c r="E1473" s="13"/>
      <c r="F1473" s="13"/>
      <c r="G1473" s="13"/>
      <c r="H1473" s="13"/>
      <c r="I1473" s="13"/>
      <c r="J1473" s="13"/>
      <c r="K1473" s="13"/>
      <c r="L1473" s="13"/>
      <c r="M1473" s="13"/>
      <c r="N1473" s="13"/>
      <c r="O1473" s="13"/>
      <c r="P1473" s="13"/>
      <c r="Q1473" s="13"/>
      <c r="R1473" s="13"/>
      <c r="S1473" s="13"/>
      <c r="T1473" s="13"/>
      <c r="U1473" s="13"/>
      <c r="V1473" s="13"/>
      <c r="W1473" s="13"/>
      <c r="X1473" s="13"/>
      <c r="Y1473" s="13"/>
      <c r="Z1473" s="13"/>
      <c r="AA1473" s="13"/>
      <c r="AB1473" s="13"/>
      <c r="AM1473" s="6"/>
      <c r="AN1473" s="6"/>
      <c r="AO1473" s="6"/>
      <c r="AP1473" s="6"/>
      <c r="AQ1473" s="6"/>
      <c r="AR1473" s="6"/>
      <c r="AS1473" s="6"/>
      <c r="AT1473" s="6"/>
      <c r="AU1473" s="6"/>
      <c r="AV1473" s="6"/>
      <c r="AW1473" s="6"/>
      <c r="AX1473" s="6"/>
      <c r="AY1473" s="6"/>
      <c r="AZ1473" s="6"/>
      <c r="BA1473" s="6"/>
      <c r="BB1473" s="6"/>
      <c r="BC1473" s="6"/>
      <c r="BD1473" s="6"/>
      <c r="BE1473" s="6"/>
      <c r="BF1473" s="6"/>
      <c r="BG1473" s="6"/>
      <c r="BH1473" s="6"/>
      <c r="BI1473" s="6"/>
      <c r="BJ1473" s="6"/>
      <c r="BK1473" s="6"/>
      <c r="BL1473" s="6"/>
      <c r="BM1473" s="6"/>
      <c r="BN1473" s="6"/>
      <c r="BO1473" s="6"/>
      <c r="BP1473" s="6"/>
      <c r="BQ1473" s="6"/>
    </row>
    <row r="1474" spans="2:69" hidden="1" x14ac:dyDescent="0.2">
      <c r="B1474" s="13"/>
      <c r="C1474" s="13"/>
      <c r="D1474" s="13"/>
      <c r="E1474" s="13"/>
      <c r="F1474" s="13"/>
      <c r="G1474" s="13"/>
      <c r="H1474" s="13"/>
      <c r="I1474" s="13"/>
      <c r="J1474" s="13"/>
      <c r="K1474" s="13"/>
      <c r="L1474" s="13"/>
      <c r="M1474" s="13"/>
      <c r="N1474" s="13"/>
      <c r="O1474" s="13"/>
      <c r="P1474" s="13"/>
      <c r="Q1474" s="13"/>
      <c r="R1474" s="13"/>
      <c r="S1474" s="13"/>
      <c r="T1474" s="13"/>
      <c r="U1474" s="13"/>
      <c r="V1474" s="13"/>
      <c r="W1474" s="13"/>
      <c r="X1474" s="13"/>
      <c r="Y1474" s="13"/>
      <c r="Z1474" s="13"/>
      <c r="AA1474" s="13"/>
      <c r="AB1474" s="13"/>
      <c r="AM1474" s="6"/>
      <c r="AN1474" s="6"/>
      <c r="AO1474" s="6"/>
      <c r="AP1474" s="6"/>
      <c r="AQ1474" s="6"/>
      <c r="AR1474" s="6"/>
      <c r="AS1474" s="6"/>
      <c r="AT1474" s="6"/>
      <c r="AU1474" s="6"/>
      <c r="AV1474" s="6"/>
      <c r="AW1474" s="6"/>
      <c r="AX1474" s="6"/>
      <c r="AY1474" s="6"/>
      <c r="AZ1474" s="6"/>
      <c r="BA1474" s="6"/>
      <c r="BB1474" s="6"/>
      <c r="BC1474" s="6"/>
      <c r="BD1474" s="6"/>
      <c r="BE1474" s="6"/>
      <c r="BF1474" s="6"/>
      <c r="BG1474" s="6"/>
      <c r="BH1474" s="6"/>
      <c r="BI1474" s="6"/>
      <c r="BJ1474" s="6"/>
      <c r="BK1474" s="6"/>
      <c r="BL1474" s="6"/>
      <c r="BM1474" s="6"/>
      <c r="BN1474" s="6"/>
      <c r="BO1474" s="6"/>
      <c r="BP1474" s="6"/>
      <c r="BQ1474" s="6"/>
    </row>
    <row r="1475" spans="2:69" hidden="1" x14ac:dyDescent="0.2">
      <c r="B1475" s="13"/>
      <c r="C1475" s="13"/>
      <c r="D1475" s="13"/>
      <c r="E1475" s="13"/>
      <c r="F1475" s="13"/>
      <c r="G1475" s="13"/>
      <c r="H1475" s="13"/>
      <c r="I1475" s="13"/>
      <c r="J1475" s="13"/>
      <c r="K1475" s="13"/>
      <c r="L1475" s="13"/>
      <c r="M1475" s="13"/>
      <c r="N1475" s="13"/>
      <c r="O1475" s="13"/>
      <c r="P1475" s="13"/>
      <c r="Q1475" s="13"/>
      <c r="R1475" s="13"/>
      <c r="S1475" s="13"/>
      <c r="T1475" s="13"/>
      <c r="U1475" s="13"/>
      <c r="V1475" s="13"/>
      <c r="W1475" s="13"/>
      <c r="X1475" s="13"/>
      <c r="Y1475" s="13"/>
      <c r="Z1475" s="13"/>
      <c r="AA1475" s="13"/>
      <c r="AB1475" s="13"/>
      <c r="AM1475" s="6"/>
      <c r="AN1475" s="6"/>
      <c r="AO1475" s="6"/>
      <c r="AP1475" s="6"/>
      <c r="AQ1475" s="6"/>
      <c r="AR1475" s="6"/>
      <c r="AS1475" s="6"/>
      <c r="AT1475" s="6"/>
      <c r="AU1475" s="6"/>
      <c r="AV1475" s="6"/>
      <c r="AW1475" s="6"/>
      <c r="AX1475" s="6"/>
      <c r="AY1475" s="6"/>
      <c r="AZ1475" s="6"/>
      <c r="BA1475" s="6"/>
      <c r="BB1475" s="6"/>
      <c r="BC1475" s="6"/>
      <c r="BD1475" s="6"/>
      <c r="BE1475" s="6"/>
      <c r="BF1475" s="6"/>
      <c r="BG1475" s="6"/>
      <c r="BH1475" s="6"/>
      <c r="BI1475" s="6"/>
      <c r="BJ1475" s="6"/>
      <c r="BK1475" s="6"/>
      <c r="BL1475" s="6"/>
      <c r="BM1475" s="6"/>
      <c r="BN1475" s="6"/>
      <c r="BO1475" s="6"/>
      <c r="BP1475" s="6"/>
      <c r="BQ1475" s="6"/>
    </row>
    <row r="1476" spans="2:69" hidden="1" x14ac:dyDescent="0.2">
      <c r="B1476" s="13"/>
      <c r="C1476" s="13"/>
      <c r="D1476" s="13"/>
      <c r="E1476" s="13"/>
      <c r="F1476" s="13"/>
      <c r="G1476" s="13"/>
      <c r="H1476" s="13"/>
      <c r="I1476" s="13"/>
      <c r="J1476" s="13"/>
      <c r="K1476" s="13"/>
      <c r="L1476" s="13"/>
      <c r="M1476" s="13"/>
      <c r="N1476" s="13"/>
      <c r="O1476" s="13"/>
      <c r="P1476" s="13"/>
      <c r="Q1476" s="13"/>
      <c r="R1476" s="13"/>
      <c r="S1476" s="13"/>
      <c r="T1476" s="13"/>
      <c r="U1476" s="13"/>
      <c r="V1476" s="13"/>
      <c r="W1476" s="13"/>
      <c r="X1476" s="13"/>
      <c r="Y1476" s="13"/>
      <c r="Z1476" s="13"/>
      <c r="AA1476" s="13"/>
      <c r="AB1476" s="13"/>
      <c r="AM1476" s="6"/>
      <c r="AN1476" s="6"/>
      <c r="AO1476" s="6"/>
      <c r="AP1476" s="6"/>
      <c r="AQ1476" s="6"/>
      <c r="AR1476" s="6"/>
      <c r="AS1476" s="6"/>
      <c r="AT1476" s="6"/>
      <c r="AU1476" s="6"/>
      <c r="AV1476" s="6"/>
      <c r="AW1476" s="6"/>
      <c r="AX1476" s="6"/>
      <c r="AY1476" s="6"/>
      <c r="AZ1476" s="6"/>
      <c r="BA1476" s="6"/>
      <c r="BB1476" s="6"/>
      <c r="BC1476" s="6"/>
      <c r="BD1476" s="6"/>
      <c r="BE1476" s="6"/>
      <c r="BF1476" s="6"/>
      <c r="BG1476" s="6"/>
      <c r="BH1476" s="6"/>
      <c r="BI1476" s="6"/>
      <c r="BJ1476" s="6"/>
      <c r="BK1476" s="6"/>
      <c r="BL1476" s="6"/>
      <c r="BM1476" s="6"/>
      <c r="BN1476" s="6"/>
      <c r="BO1476" s="6"/>
      <c r="BP1476" s="6"/>
      <c r="BQ1476" s="6"/>
    </row>
    <row r="1477" spans="2:69" hidden="1" x14ac:dyDescent="0.2">
      <c r="B1477" s="13"/>
      <c r="C1477" s="13"/>
      <c r="D1477" s="13"/>
      <c r="E1477" s="13"/>
      <c r="F1477" s="13"/>
      <c r="G1477" s="13"/>
      <c r="H1477" s="13"/>
      <c r="I1477" s="13"/>
      <c r="J1477" s="13"/>
      <c r="K1477" s="13"/>
      <c r="L1477" s="13"/>
      <c r="M1477" s="13"/>
      <c r="N1477" s="13"/>
      <c r="O1477" s="13"/>
      <c r="P1477" s="13"/>
      <c r="Q1477" s="13"/>
      <c r="R1477" s="13"/>
      <c r="S1477" s="13"/>
      <c r="T1477" s="13"/>
      <c r="U1477" s="13"/>
      <c r="V1477" s="13"/>
      <c r="W1477" s="13"/>
      <c r="X1477" s="13"/>
      <c r="Y1477" s="13"/>
      <c r="Z1477" s="13"/>
      <c r="AA1477" s="13"/>
      <c r="AB1477" s="13"/>
      <c r="AM1477" s="6"/>
      <c r="AN1477" s="6"/>
      <c r="AO1477" s="6"/>
      <c r="AP1477" s="6"/>
      <c r="AQ1477" s="6"/>
      <c r="AR1477" s="6"/>
      <c r="AS1477" s="6"/>
      <c r="AT1477" s="6"/>
      <c r="AU1477" s="6"/>
      <c r="AV1477" s="6"/>
      <c r="AW1477" s="6"/>
      <c r="AX1477" s="6"/>
      <c r="AY1477" s="6"/>
      <c r="AZ1477" s="6"/>
      <c r="BA1477" s="6"/>
      <c r="BB1477" s="6"/>
      <c r="BC1477" s="6"/>
      <c r="BD1477" s="6"/>
      <c r="BE1477" s="6"/>
      <c r="BF1477" s="6"/>
      <c r="BG1477" s="6"/>
      <c r="BH1477" s="6"/>
      <c r="BI1477" s="6"/>
      <c r="BJ1477" s="6"/>
      <c r="BK1477" s="6"/>
      <c r="BL1477" s="6"/>
      <c r="BM1477" s="6"/>
      <c r="BN1477" s="6"/>
      <c r="BO1477" s="6"/>
      <c r="BP1477" s="6"/>
      <c r="BQ1477" s="6"/>
    </row>
    <row r="1478" spans="2:69" hidden="1" x14ac:dyDescent="0.2">
      <c r="B1478" s="13"/>
      <c r="C1478" s="13"/>
      <c r="D1478" s="13"/>
      <c r="E1478" s="13"/>
      <c r="F1478" s="13"/>
      <c r="G1478" s="13"/>
      <c r="H1478" s="13"/>
      <c r="I1478" s="13"/>
      <c r="J1478" s="13"/>
      <c r="K1478" s="13"/>
      <c r="L1478" s="13"/>
      <c r="M1478" s="13"/>
      <c r="N1478" s="13"/>
      <c r="O1478" s="13"/>
      <c r="P1478" s="13"/>
      <c r="Q1478" s="13"/>
      <c r="R1478" s="13"/>
      <c r="S1478" s="13"/>
      <c r="T1478" s="13"/>
      <c r="U1478" s="13"/>
      <c r="V1478" s="13"/>
      <c r="W1478" s="13"/>
      <c r="X1478" s="13"/>
      <c r="Y1478" s="13"/>
      <c r="Z1478" s="13"/>
      <c r="AA1478" s="13"/>
      <c r="AB1478" s="13"/>
      <c r="AM1478" s="6"/>
      <c r="AN1478" s="6"/>
      <c r="AO1478" s="6"/>
      <c r="AP1478" s="6"/>
      <c r="AQ1478" s="6"/>
      <c r="AR1478" s="6"/>
      <c r="AS1478" s="6"/>
      <c r="AT1478" s="6"/>
      <c r="AU1478" s="6"/>
      <c r="AV1478" s="6"/>
      <c r="AW1478" s="6"/>
      <c r="AX1478" s="6"/>
      <c r="AY1478" s="6"/>
      <c r="AZ1478" s="6"/>
      <c r="BA1478" s="6"/>
      <c r="BB1478" s="6"/>
      <c r="BC1478" s="6"/>
      <c r="BD1478" s="6"/>
      <c r="BE1478" s="6"/>
      <c r="BF1478" s="6"/>
      <c r="BG1478" s="6"/>
      <c r="BH1478" s="6"/>
      <c r="BI1478" s="6"/>
      <c r="BJ1478" s="6"/>
      <c r="BK1478" s="6"/>
      <c r="BL1478" s="6"/>
      <c r="BM1478" s="6"/>
      <c r="BN1478" s="6"/>
      <c r="BO1478" s="6"/>
      <c r="BP1478" s="6"/>
      <c r="BQ1478" s="6"/>
    </row>
    <row r="1479" spans="2:69" hidden="1" x14ac:dyDescent="0.2">
      <c r="B1479" s="13"/>
      <c r="C1479" s="13"/>
      <c r="D1479" s="13"/>
      <c r="E1479" s="13"/>
      <c r="F1479" s="13"/>
      <c r="G1479" s="13"/>
      <c r="H1479" s="13"/>
      <c r="I1479" s="13"/>
      <c r="J1479" s="13"/>
      <c r="K1479" s="13"/>
      <c r="L1479" s="13"/>
      <c r="M1479" s="13"/>
      <c r="N1479" s="13"/>
      <c r="O1479" s="13"/>
      <c r="P1479" s="13"/>
      <c r="Q1479" s="13"/>
      <c r="R1479" s="13"/>
      <c r="S1479" s="13"/>
      <c r="T1479" s="13"/>
      <c r="U1479" s="13"/>
      <c r="V1479" s="13"/>
      <c r="W1479" s="13"/>
      <c r="X1479" s="13"/>
      <c r="Y1479" s="13"/>
      <c r="Z1479" s="13"/>
      <c r="AA1479" s="13"/>
      <c r="AB1479" s="13"/>
      <c r="AM1479" s="6"/>
      <c r="AN1479" s="6"/>
      <c r="AO1479" s="6"/>
      <c r="AP1479" s="6"/>
      <c r="AQ1479" s="6"/>
      <c r="AR1479" s="6"/>
      <c r="AS1479" s="6"/>
      <c r="AT1479" s="6"/>
      <c r="AU1479" s="6"/>
      <c r="AV1479" s="6"/>
      <c r="AW1479" s="6"/>
      <c r="AX1479" s="6"/>
      <c r="AY1479" s="6"/>
      <c r="AZ1479" s="6"/>
      <c r="BA1479" s="6"/>
      <c r="BB1479" s="6"/>
      <c r="BC1479" s="6"/>
      <c r="BD1479" s="6"/>
      <c r="BE1479" s="6"/>
      <c r="BF1479" s="6"/>
      <c r="BG1479" s="6"/>
      <c r="BH1479" s="6"/>
      <c r="BI1479" s="6"/>
      <c r="BJ1479" s="6"/>
      <c r="BK1479" s="6"/>
      <c r="BL1479" s="6"/>
      <c r="BM1479" s="6"/>
      <c r="BN1479" s="6"/>
      <c r="BO1479" s="6"/>
      <c r="BP1479" s="6"/>
      <c r="BQ1479" s="6"/>
    </row>
    <row r="1480" spans="2:69" hidden="1" x14ac:dyDescent="0.2">
      <c r="B1480" s="13"/>
      <c r="C1480" s="13"/>
      <c r="D1480" s="13"/>
      <c r="E1480" s="13"/>
      <c r="F1480" s="13"/>
      <c r="G1480" s="13"/>
      <c r="H1480" s="13"/>
      <c r="I1480" s="13"/>
      <c r="J1480" s="13"/>
      <c r="K1480" s="13"/>
      <c r="L1480" s="13"/>
      <c r="M1480" s="13"/>
      <c r="N1480" s="13"/>
      <c r="O1480" s="13"/>
      <c r="P1480" s="13"/>
      <c r="Q1480" s="13"/>
      <c r="R1480" s="13"/>
      <c r="S1480" s="13"/>
      <c r="T1480" s="13"/>
      <c r="U1480" s="13"/>
      <c r="V1480" s="13"/>
      <c r="W1480" s="13"/>
      <c r="X1480" s="13"/>
      <c r="Y1480" s="13"/>
      <c r="Z1480" s="13"/>
      <c r="AA1480" s="13"/>
      <c r="AB1480" s="13"/>
      <c r="AM1480" s="6"/>
      <c r="AN1480" s="6"/>
      <c r="AO1480" s="6"/>
      <c r="AP1480" s="6"/>
      <c r="AQ1480" s="6"/>
      <c r="AR1480" s="6"/>
      <c r="AS1480" s="6"/>
      <c r="AT1480" s="6"/>
      <c r="AU1480" s="6"/>
      <c r="AV1480" s="6"/>
      <c r="AW1480" s="6"/>
      <c r="AX1480" s="6"/>
      <c r="AY1480" s="6"/>
      <c r="AZ1480" s="6"/>
      <c r="BA1480" s="6"/>
      <c r="BB1480" s="6"/>
      <c r="BC1480" s="6"/>
      <c r="BD1480" s="6"/>
      <c r="BE1480" s="6"/>
      <c r="BF1480" s="6"/>
      <c r="BG1480" s="6"/>
      <c r="BH1480" s="6"/>
      <c r="BI1480" s="6"/>
      <c r="BJ1480" s="6"/>
      <c r="BK1480" s="6"/>
      <c r="BL1480" s="6"/>
      <c r="BM1480" s="6"/>
      <c r="BN1480" s="6"/>
      <c r="BO1480" s="6"/>
      <c r="BP1480" s="6"/>
      <c r="BQ1480" s="6"/>
    </row>
    <row r="1481" spans="2:69" hidden="1" x14ac:dyDescent="0.2">
      <c r="B1481" s="13"/>
      <c r="C1481" s="13"/>
      <c r="D1481" s="13"/>
      <c r="E1481" s="13"/>
      <c r="F1481" s="13"/>
      <c r="G1481" s="13"/>
      <c r="H1481" s="13"/>
      <c r="I1481" s="13"/>
      <c r="J1481" s="13"/>
      <c r="K1481" s="13"/>
      <c r="L1481" s="13"/>
      <c r="M1481" s="13"/>
      <c r="N1481" s="13"/>
      <c r="O1481" s="13"/>
      <c r="P1481" s="13"/>
      <c r="Q1481" s="13"/>
      <c r="R1481" s="13"/>
      <c r="S1481" s="13"/>
      <c r="T1481" s="13"/>
      <c r="U1481" s="13"/>
      <c r="V1481" s="13"/>
      <c r="W1481" s="13"/>
      <c r="X1481" s="13"/>
      <c r="Y1481" s="13"/>
      <c r="Z1481" s="13"/>
      <c r="AA1481" s="13"/>
      <c r="AB1481" s="13"/>
      <c r="AM1481" s="6"/>
      <c r="AN1481" s="6"/>
      <c r="AO1481" s="6"/>
      <c r="AP1481" s="6"/>
      <c r="AQ1481" s="6"/>
      <c r="AR1481" s="6"/>
      <c r="AS1481" s="6"/>
      <c r="AT1481" s="6"/>
      <c r="AU1481" s="6"/>
      <c r="AV1481" s="6"/>
      <c r="AW1481" s="6"/>
      <c r="AX1481" s="6"/>
      <c r="AY1481" s="6"/>
      <c r="AZ1481" s="6"/>
      <c r="BA1481" s="6"/>
      <c r="BB1481" s="6"/>
      <c r="BC1481" s="6"/>
      <c r="BD1481" s="6"/>
      <c r="BE1481" s="6"/>
      <c r="BF1481" s="6"/>
      <c r="BG1481" s="6"/>
      <c r="BH1481" s="6"/>
      <c r="BI1481" s="6"/>
      <c r="BJ1481" s="6"/>
      <c r="BK1481" s="6"/>
      <c r="BL1481" s="6"/>
      <c r="BM1481" s="6"/>
      <c r="BN1481" s="6"/>
      <c r="BO1481" s="6"/>
      <c r="BP1481" s="6"/>
      <c r="BQ1481" s="6"/>
    </row>
    <row r="1482" spans="2:69" hidden="1" x14ac:dyDescent="0.2">
      <c r="B1482" s="13"/>
      <c r="C1482" s="13"/>
      <c r="D1482" s="13"/>
      <c r="E1482" s="13"/>
      <c r="F1482" s="13"/>
      <c r="G1482" s="13"/>
      <c r="H1482" s="13"/>
      <c r="I1482" s="13"/>
      <c r="J1482" s="13"/>
      <c r="K1482" s="13"/>
      <c r="L1482" s="13"/>
      <c r="M1482" s="13"/>
      <c r="N1482" s="13"/>
      <c r="O1482" s="13"/>
      <c r="P1482" s="13"/>
      <c r="Q1482" s="13"/>
      <c r="R1482" s="13"/>
      <c r="S1482" s="13"/>
      <c r="T1482" s="13"/>
      <c r="U1482" s="13"/>
      <c r="V1482" s="13"/>
      <c r="W1482" s="13"/>
      <c r="X1482" s="13"/>
      <c r="Y1482" s="13"/>
      <c r="Z1482" s="13"/>
      <c r="AA1482" s="13"/>
      <c r="AB1482" s="13"/>
      <c r="AM1482" s="6"/>
      <c r="AN1482" s="6"/>
      <c r="AO1482" s="6"/>
      <c r="AP1482" s="6"/>
      <c r="AQ1482" s="6"/>
      <c r="AR1482" s="6"/>
      <c r="AS1482" s="6"/>
      <c r="AT1482" s="6"/>
      <c r="AU1482" s="6"/>
      <c r="AV1482" s="6"/>
      <c r="AW1482" s="6"/>
      <c r="AX1482" s="6"/>
      <c r="AY1482" s="6"/>
      <c r="AZ1482" s="6"/>
      <c r="BA1482" s="6"/>
      <c r="BB1482" s="6"/>
      <c r="BC1482" s="6"/>
      <c r="BD1482" s="6"/>
      <c r="BE1482" s="6"/>
      <c r="BF1482" s="6"/>
      <c r="BG1482" s="6"/>
      <c r="BH1482" s="6"/>
      <c r="BI1482" s="6"/>
      <c r="BJ1482" s="6"/>
      <c r="BK1482" s="6"/>
      <c r="BL1482" s="6"/>
      <c r="BM1482" s="6"/>
      <c r="BN1482" s="6"/>
      <c r="BO1482" s="6"/>
      <c r="BP1482" s="6"/>
      <c r="BQ1482" s="6"/>
    </row>
    <row r="1483" spans="2:69" hidden="1" x14ac:dyDescent="0.2">
      <c r="B1483" s="13"/>
      <c r="C1483" s="13"/>
      <c r="D1483" s="13"/>
      <c r="E1483" s="13"/>
      <c r="F1483" s="13"/>
      <c r="G1483" s="13"/>
      <c r="H1483" s="13"/>
      <c r="I1483" s="13"/>
      <c r="J1483" s="13"/>
      <c r="K1483" s="13"/>
      <c r="L1483" s="13"/>
      <c r="M1483" s="13"/>
      <c r="N1483" s="13"/>
      <c r="O1483" s="13"/>
      <c r="P1483" s="13"/>
      <c r="Q1483" s="13"/>
      <c r="R1483" s="13"/>
      <c r="S1483" s="13"/>
      <c r="T1483" s="13"/>
      <c r="U1483" s="13"/>
      <c r="V1483" s="13"/>
      <c r="W1483" s="13"/>
      <c r="X1483" s="13"/>
      <c r="Y1483" s="13"/>
      <c r="Z1483" s="13"/>
      <c r="AA1483" s="13"/>
      <c r="AB1483" s="13"/>
      <c r="AM1483" s="6"/>
      <c r="AN1483" s="6"/>
      <c r="AO1483" s="6"/>
      <c r="AP1483" s="6"/>
      <c r="AQ1483" s="6"/>
      <c r="AR1483" s="6"/>
      <c r="AS1483" s="6"/>
      <c r="AT1483" s="6"/>
      <c r="AU1483" s="6"/>
      <c r="AV1483" s="6"/>
      <c r="AW1483" s="6"/>
      <c r="AX1483" s="6"/>
      <c r="AY1483" s="6"/>
      <c r="AZ1483" s="6"/>
      <c r="BA1483" s="6"/>
      <c r="BB1483" s="6"/>
      <c r="BC1483" s="6"/>
      <c r="BD1483" s="6"/>
      <c r="BE1483" s="6"/>
      <c r="BF1483" s="6"/>
      <c r="BG1483" s="6"/>
      <c r="BH1483" s="6"/>
      <c r="BI1483" s="6"/>
      <c r="BJ1483" s="6"/>
      <c r="BK1483" s="6"/>
      <c r="BL1483" s="6"/>
      <c r="BM1483" s="6"/>
      <c r="BN1483" s="6"/>
      <c r="BO1483" s="6"/>
      <c r="BP1483" s="6"/>
      <c r="BQ1483" s="6"/>
    </row>
    <row r="1484" spans="2:69" hidden="1" x14ac:dyDescent="0.2">
      <c r="B1484" s="13"/>
      <c r="C1484" s="13"/>
      <c r="D1484" s="13"/>
      <c r="E1484" s="13"/>
      <c r="F1484" s="13"/>
      <c r="G1484" s="13"/>
      <c r="H1484" s="13"/>
      <c r="I1484" s="13"/>
      <c r="J1484" s="13"/>
      <c r="K1484" s="13"/>
      <c r="L1484" s="13"/>
      <c r="M1484" s="13"/>
      <c r="N1484" s="13"/>
      <c r="O1484" s="13"/>
      <c r="P1484" s="13"/>
      <c r="Q1484" s="13"/>
      <c r="R1484" s="13"/>
      <c r="S1484" s="13"/>
      <c r="T1484" s="13"/>
      <c r="U1484" s="13"/>
      <c r="V1484" s="13"/>
      <c r="W1484" s="13"/>
      <c r="X1484" s="13"/>
      <c r="Y1484" s="13"/>
      <c r="Z1484" s="13"/>
      <c r="AA1484" s="13"/>
      <c r="AB1484" s="13"/>
      <c r="AM1484" s="6"/>
      <c r="AN1484" s="6"/>
      <c r="AO1484" s="6"/>
      <c r="AP1484" s="6"/>
      <c r="AQ1484" s="6"/>
      <c r="AR1484" s="6"/>
      <c r="AS1484" s="6"/>
      <c r="AT1484" s="6"/>
      <c r="AU1484" s="6"/>
      <c r="AV1484" s="6"/>
      <c r="AW1484" s="6"/>
      <c r="AX1484" s="6"/>
      <c r="AY1484" s="6"/>
      <c r="AZ1484" s="6"/>
      <c r="BA1484" s="6"/>
      <c r="BB1484" s="6"/>
      <c r="BC1484" s="6"/>
      <c r="BD1484" s="6"/>
      <c r="BE1484" s="6"/>
      <c r="BF1484" s="6"/>
      <c r="BG1484" s="6"/>
      <c r="BH1484" s="6"/>
      <c r="BI1484" s="6"/>
      <c r="BJ1484" s="6"/>
      <c r="BK1484" s="6"/>
      <c r="BL1484" s="6"/>
      <c r="BM1484" s="6"/>
      <c r="BN1484" s="6"/>
      <c r="BO1484" s="6"/>
      <c r="BP1484" s="6"/>
      <c r="BQ1484" s="6"/>
    </row>
    <row r="1485" spans="2:69" hidden="1" x14ac:dyDescent="0.2">
      <c r="B1485" s="13"/>
      <c r="C1485" s="13"/>
      <c r="D1485" s="13"/>
      <c r="E1485" s="13"/>
      <c r="F1485" s="13"/>
      <c r="G1485" s="13"/>
      <c r="H1485" s="13"/>
      <c r="I1485" s="13"/>
      <c r="J1485" s="13"/>
      <c r="K1485" s="13"/>
      <c r="L1485" s="13"/>
      <c r="M1485" s="13"/>
      <c r="N1485" s="13"/>
      <c r="O1485" s="13"/>
      <c r="P1485" s="13"/>
      <c r="Q1485" s="13"/>
      <c r="R1485" s="13"/>
      <c r="S1485" s="13"/>
      <c r="T1485" s="13"/>
      <c r="U1485" s="13"/>
      <c r="V1485" s="13"/>
      <c r="W1485" s="13"/>
      <c r="X1485" s="13"/>
      <c r="Y1485" s="13"/>
      <c r="Z1485" s="13"/>
      <c r="AA1485" s="13"/>
      <c r="AB1485" s="13"/>
      <c r="AM1485" s="6"/>
      <c r="AN1485" s="6"/>
      <c r="AO1485" s="6"/>
      <c r="AP1485" s="6"/>
      <c r="AQ1485" s="6"/>
      <c r="AR1485" s="6"/>
      <c r="AS1485" s="6"/>
      <c r="AT1485" s="6"/>
      <c r="AU1485" s="6"/>
      <c r="AV1485" s="6"/>
      <c r="AW1485" s="6"/>
      <c r="AX1485" s="6"/>
      <c r="AY1485" s="6"/>
      <c r="AZ1485" s="6"/>
      <c r="BA1485" s="6"/>
      <c r="BB1485" s="6"/>
      <c r="BC1485" s="6"/>
      <c r="BD1485" s="6"/>
      <c r="BE1485" s="6"/>
      <c r="BF1485" s="6"/>
      <c r="BG1485" s="6"/>
      <c r="BH1485" s="6"/>
      <c r="BI1485" s="6"/>
      <c r="BJ1485" s="6"/>
      <c r="BK1485" s="6"/>
      <c r="BL1485" s="6"/>
      <c r="BM1485" s="6"/>
      <c r="BN1485" s="6"/>
      <c r="BO1485" s="6"/>
      <c r="BP1485" s="6"/>
      <c r="BQ1485" s="6"/>
    </row>
    <row r="1486" spans="2:69" hidden="1" x14ac:dyDescent="0.2">
      <c r="B1486" s="13"/>
      <c r="C1486" s="13"/>
      <c r="D1486" s="13"/>
      <c r="E1486" s="13"/>
      <c r="F1486" s="13"/>
      <c r="G1486" s="13"/>
      <c r="H1486" s="13"/>
      <c r="I1486" s="13"/>
      <c r="J1486" s="13"/>
      <c r="K1486" s="13"/>
      <c r="L1486" s="13"/>
      <c r="M1486" s="13"/>
      <c r="N1486" s="13"/>
      <c r="O1486" s="13"/>
      <c r="P1486" s="13"/>
      <c r="Q1486" s="13"/>
      <c r="R1486" s="13"/>
      <c r="S1486" s="13"/>
      <c r="T1486" s="13"/>
      <c r="U1486" s="13"/>
      <c r="V1486" s="13"/>
      <c r="W1486" s="13"/>
      <c r="X1486" s="13"/>
      <c r="Y1486" s="13"/>
      <c r="Z1486" s="13"/>
      <c r="AA1486" s="13"/>
      <c r="AB1486" s="13"/>
      <c r="AM1486" s="6"/>
      <c r="AN1486" s="6"/>
      <c r="AO1486" s="6"/>
      <c r="AP1486" s="6"/>
      <c r="AQ1486" s="6"/>
      <c r="AR1486" s="6"/>
      <c r="AS1486" s="6"/>
      <c r="AT1486" s="6"/>
      <c r="AU1486" s="6"/>
      <c r="AV1486" s="6"/>
      <c r="AW1486" s="6"/>
      <c r="AX1486" s="6"/>
      <c r="AY1486" s="6"/>
      <c r="AZ1486" s="6"/>
      <c r="BA1486" s="6"/>
      <c r="BB1486" s="6"/>
      <c r="BC1486" s="6"/>
      <c r="BD1486" s="6"/>
      <c r="BE1486" s="6"/>
      <c r="BF1486" s="6"/>
      <c r="BG1486" s="6"/>
      <c r="BH1486" s="6"/>
      <c r="BI1486" s="6"/>
      <c r="BJ1486" s="6"/>
      <c r="BK1486" s="6"/>
      <c r="BL1486" s="6"/>
      <c r="BM1486" s="6"/>
      <c r="BN1486" s="6"/>
      <c r="BO1486" s="6"/>
      <c r="BP1486" s="6"/>
      <c r="BQ1486" s="6"/>
    </row>
    <row r="1487" spans="2:69" hidden="1" x14ac:dyDescent="0.2">
      <c r="B1487" s="13"/>
      <c r="C1487" s="13"/>
      <c r="D1487" s="13"/>
      <c r="E1487" s="13"/>
      <c r="F1487" s="13"/>
      <c r="G1487" s="13"/>
      <c r="H1487" s="13"/>
      <c r="I1487" s="13"/>
      <c r="J1487" s="13"/>
      <c r="K1487" s="13"/>
      <c r="L1487" s="13"/>
      <c r="M1487" s="13"/>
      <c r="N1487" s="13"/>
      <c r="O1487" s="13"/>
      <c r="P1487" s="13"/>
      <c r="Q1487" s="13"/>
      <c r="R1487" s="13"/>
      <c r="S1487" s="13"/>
      <c r="T1487" s="13"/>
      <c r="U1487" s="13"/>
      <c r="V1487" s="13"/>
      <c r="W1487" s="13"/>
      <c r="X1487" s="13"/>
      <c r="Y1487" s="13"/>
      <c r="Z1487" s="13"/>
      <c r="AA1487" s="13"/>
      <c r="AB1487" s="13"/>
      <c r="AM1487" s="6"/>
      <c r="AN1487" s="6"/>
      <c r="AO1487" s="6"/>
      <c r="AP1487" s="6"/>
      <c r="AQ1487" s="6"/>
      <c r="AR1487" s="6"/>
      <c r="AS1487" s="6"/>
      <c r="AT1487" s="6"/>
      <c r="AU1487" s="6"/>
      <c r="AV1487" s="6"/>
      <c r="AW1487" s="6"/>
      <c r="AX1487" s="6"/>
      <c r="AY1487" s="6"/>
      <c r="AZ1487" s="6"/>
      <c r="BA1487" s="6"/>
      <c r="BB1487" s="6"/>
      <c r="BC1487" s="6"/>
      <c r="BD1487" s="6"/>
      <c r="BE1487" s="6"/>
      <c r="BF1487" s="6"/>
      <c r="BG1487" s="6"/>
      <c r="BH1487" s="6"/>
      <c r="BI1487" s="6"/>
      <c r="BJ1487" s="6"/>
      <c r="BK1487" s="6"/>
      <c r="BL1487" s="6"/>
      <c r="BM1487" s="6"/>
      <c r="BN1487" s="6"/>
      <c r="BO1487" s="6"/>
      <c r="BP1487" s="6"/>
      <c r="BQ1487" s="6"/>
    </row>
    <row r="1488" spans="2:69" hidden="1" x14ac:dyDescent="0.2">
      <c r="B1488" s="13"/>
      <c r="C1488" s="13"/>
      <c r="D1488" s="13"/>
      <c r="E1488" s="13"/>
      <c r="F1488" s="13"/>
      <c r="G1488" s="13"/>
      <c r="H1488" s="13"/>
      <c r="I1488" s="13"/>
      <c r="J1488" s="13"/>
      <c r="K1488" s="13"/>
      <c r="L1488" s="13"/>
      <c r="M1488" s="13"/>
      <c r="N1488" s="13"/>
      <c r="O1488" s="13"/>
      <c r="P1488" s="13"/>
      <c r="Q1488" s="13"/>
      <c r="R1488" s="13"/>
      <c r="S1488" s="13"/>
      <c r="T1488" s="13"/>
      <c r="U1488" s="13"/>
      <c r="V1488" s="13"/>
      <c r="W1488" s="13"/>
      <c r="X1488" s="13"/>
      <c r="Y1488" s="13"/>
      <c r="Z1488" s="13"/>
      <c r="AA1488" s="13"/>
      <c r="AB1488" s="13"/>
      <c r="AM1488" s="6"/>
      <c r="AN1488" s="6"/>
      <c r="AO1488" s="6"/>
      <c r="AP1488" s="6"/>
      <c r="AQ1488" s="6"/>
      <c r="AR1488" s="6"/>
      <c r="AS1488" s="6"/>
      <c r="AT1488" s="6"/>
      <c r="AU1488" s="6"/>
      <c r="AV1488" s="6"/>
      <c r="AW1488" s="6"/>
      <c r="AX1488" s="6"/>
      <c r="AY1488" s="6"/>
      <c r="AZ1488" s="6"/>
      <c r="BA1488" s="6"/>
      <c r="BB1488" s="6"/>
      <c r="BC1488" s="6"/>
      <c r="BD1488" s="6"/>
      <c r="BE1488" s="6"/>
      <c r="BF1488" s="6"/>
      <c r="BG1488" s="6"/>
      <c r="BH1488" s="6"/>
      <c r="BI1488" s="6"/>
      <c r="BJ1488" s="6"/>
      <c r="BK1488" s="6"/>
      <c r="BL1488" s="6"/>
      <c r="BM1488" s="6"/>
      <c r="BN1488" s="6"/>
      <c r="BO1488" s="6"/>
      <c r="BP1488" s="6"/>
      <c r="BQ1488" s="6"/>
    </row>
    <row r="1489" spans="2:69" hidden="1" x14ac:dyDescent="0.2">
      <c r="B1489" s="13"/>
      <c r="C1489" s="13"/>
      <c r="D1489" s="13"/>
      <c r="E1489" s="13"/>
      <c r="F1489" s="13"/>
      <c r="G1489" s="13"/>
      <c r="H1489" s="13"/>
      <c r="I1489" s="13"/>
      <c r="J1489" s="13"/>
      <c r="K1489" s="13"/>
      <c r="L1489" s="13"/>
      <c r="M1489" s="13"/>
      <c r="N1489" s="13"/>
      <c r="O1489" s="13"/>
      <c r="P1489" s="13"/>
      <c r="Q1489" s="13"/>
      <c r="R1489" s="13"/>
      <c r="S1489" s="13"/>
      <c r="T1489" s="13"/>
      <c r="U1489" s="13"/>
      <c r="V1489" s="13"/>
      <c r="W1489" s="13"/>
      <c r="X1489" s="13"/>
      <c r="Y1489" s="13"/>
      <c r="Z1489" s="13"/>
      <c r="AA1489" s="13"/>
      <c r="AB1489" s="13"/>
      <c r="AM1489" s="6"/>
      <c r="AN1489" s="6"/>
      <c r="AO1489" s="6"/>
      <c r="AP1489" s="6"/>
      <c r="AQ1489" s="6"/>
      <c r="AR1489" s="6"/>
      <c r="AS1489" s="6"/>
      <c r="AT1489" s="6"/>
      <c r="AU1489" s="6"/>
      <c r="AV1489" s="6"/>
      <c r="AW1489" s="6"/>
      <c r="AX1489" s="6"/>
      <c r="AY1489" s="6"/>
      <c r="AZ1489" s="6"/>
      <c r="BA1489" s="6"/>
      <c r="BB1489" s="6"/>
      <c r="BC1489" s="6"/>
      <c r="BD1489" s="6"/>
      <c r="BE1489" s="6"/>
      <c r="BF1489" s="6"/>
      <c r="BG1489" s="6"/>
      <c r="BH1489" s="6"/>
      <c r="BI1489" s="6"/>
      <c r="BJ1489" s="6"/>
      <c r="BK1489" s="6"/>
      <c r="BL1489" s="6"/>
      <c r="BM1489" s="6"/>
      <c r="BN1489" s="6"/>
      <c r="BO1489" s="6"/>
      <c r="BP1489" s="6"/>
      <c r="BQ1489" s="6"/>
    </row>
    <row r="1490" spans="2:69" hidden="1" x14ac:dyDescent="0.2">
      <c r="B1490" s="13"/>
      <c r="C1490" s="13"/>
      <c r="D1490" s="13"/>
      <c r="E1490" s="13"/>
      <c r="F1490" s="13"/>
      <c r="G1490" s="13"/>
      <c r="H1490" s="13"/>
      <c r="I1490" s="13"/>
      <c r="J1490" s="13"/>
      <c r="K1490" s="13"/>
      <c r="L1490" s="13"/>
      <c r="M1490" s="13"/>
      <c r="N1490" s="13"/>
      <c r="O1490" s="13"/>
      <c r="P1490" s="13"/>
      <c r="Q1490" s="13"/>
      <c r="R1490" s="13"/>
      <c r="S1490" s="13"/>
      <c r="T1490" s="13"/>
      <c r="U1490" s="13"/>
      <c r="V1490" s="13"/>
      <c r="W1490" s="13"/>
      <c r="X1490" s="13"/>
      <c r="Y1490" s="13"/>
      <c r="Z1490" s="13"/>
      <c r="AA1490" s="13"/>
      <c r="AB1490" s="13"/>
      <c r="AM1490" s="6"/>
      <c r="AN1490" s="6"/>
      <c r="AO1490" s="6"/>
      <c r="AP1490" s="6"/>
      <c r="AQ1490" s="6"/>
      <c r="AR1490" s="6"/>
      <c r="AS1490" s="6"/>
      <c r="AT1490" s="6"/>
      <c r="AU1490" s="6"/>
      <c r="AV1490" s="6"/>
      <c r="AW1490" s="6"/>
      <c r="AX1490" s="6"/>
      <c r="AY1490" s="6"/>
      <c r="AZ1490" s="6"/>
      <c r="BA1490" s="6"/>
      <c r="BB1490" s="6"/>
      <c r="BC1490" s="6"/>
      <c r="BD1490" s="6"/>
      <c r="BE1490" s="6"/>
      <c r="BF1490" s="6"/>
      <c r="BG1490" s="6"/>
      <c r="BH1490" s="6"/>
      <c r="BI1490" s="6"/>
      <c r="BJ1490" s="6"/>
      <c r="BK1490" s="6"/>
      <c r="BL1490" s="6"/>
      <c r="BM1490" s="6"/>
      <c r="BN1490" s="6"/>
      <c r="BO1490" s="6"/>
      <c r="BP1490" s="6"/>
      <c r="BQ1490" s="6"/>
    </row>
    <row r="1491" spans="2:69" hidden="1" x14ac:dyDescent="0.2">
      <c r="B1491" s="13"/>
      <c r="C1491" s="13"/>
      <c r="D1491" s="13"/>
      <c r="E1491" s="13"/>
      <c r="F1491" s="13"/>
      <c r="G1491" s="13"/>
      <c r="H1491" s="13"/>
      <c r="I1491" s="13"/>
      <c r="J1491" s="13"/>
      <c r="K1491" s="13"/>
      <c r="L1491" s="13"/>
      <c r="M1491" s="13"/>
      <c r="N1491" s="13"/>
      <c r="O1491" s="13"/>
      <c r="P1491" s="13"/>
      <c r="Q1491" s="13"/>
      <c r="R1491" s="13"/>
      <c r="S1491" s="13"/>
      <c r="T1491" s="13"/>
      <c r="U1491" s="13"/>
      <c r="V1491" s="13"/>
      <c r="W1491" s="13"/>
      <c r="X1491" s="13"/>
      <c r="Y1491" s="13"/>
      <c r="Z1491" s="13"/>
      <c r="AA1491" s="13"/>
      <c r="AB1491" s="13"/>
      <c r="AM1491" s="6"/>
      <c r="AN1491" s="6"/>
      <c r="AO1491" s="6"/>
      <c r="AP1491" s="6"/>
      <c r="AQ1491" s="6"/>
      <c r="AR1491" s="6"/>
      <c r="AS1491" s="6"/>
      <c r="AT1491" s="6"/>
      <c r="AU1491" s="6"/>
      <c r="AV1491" s="6"/>
      <c r="AW1491" s="6"/>
      <c r="AX1491" s="6"/>
      <c r="AY1491" s="6"/>
      <c r="AZ1491" s="6"/>
      <c r="BA1491" s="6"/>
      <c r="BB1491" s="6"/>
      <c r="BC1491" s="6"/>
      <c r="BD1491" s="6"/>
      <c r="BE1491" s="6"/>
      <c r="BF1491" s="6"/>
      <c r="BG1491" s="6"/>
      <c r="BH1491" s="6"/>
      <c r="BI1491" s="6"/>
      <c r="BJ1491" s="6"/>
      <c r="BK1491" s="6"/>
      <c r="BL1491" s="6"/>
      <c r="BM1491" s="6"/>
      <c r="BN1491" s="6"/>
      <c r="BO1491" s="6"/>
      <c r="BP1491" s="6"/>
      <c r="BQ1491" s="6"/>
    </row>
    <row r="1492" spans="2:69" hidden="1" x14ac:dyDescent="0.2">
      <c r="B1492" s="13"/>
      <c r="C1492" s="13"/>
      <c r="D1492" s="13"/>
      <c r="E1492" s="13"/>
      <c r="F1492" s="13"/>
      <c r="G1492" s="13"/>
      <c r="H1492" s="13"/>
      <c r="I1492" s="13"/>
      <c r="J1492" s="13"/>
      <c r="K1492" s="13"/>
      <c r="L1492" s="13"/>
      <c r="M1492" s="13"/>
      <c r="N1492" s="13"/>
      <c r="O1492" s="13"/>
      <c r="P1492" s="13"/>
      <c r="Q1492" s="13"/>
      <c r="R1492" s="13"/>
      <c r="S1492" s="13"/>
      <c r="T1492" s="13"/>
      <c r="U1492" s="13"/>
      <c r="V1492" s="13"/>
      <c r="W1492" s="13"/>
      <c r="X1492" s="13"/>
      <c r="Y1492" s="13"/>
      <c r="Z1492" s="13"/>
      <c r="AA1492" s="13"/>
      <c r="AB1492" s="13"/>
      <c r="AM1492" s="6"/>
      <c r="AN1492" s="6"/>
      <c r="AO1492" s="6"/>
      <c r="AP1492" s="6"/>
      <c r="AQ1492" s="6"/>
      <c r="AR1492" s="6"/>
      <c r="AS1492" s="6"/>
      <c r="AT1492" s="6"/>
      <c r="AU1492" s="6"/>
      <c r="AV1492" s="6"/>
      <c r="AW1492" s="6"/>
      <c r="AX1492" s="6"/>
      <c r="AY1492" s="6"/>
      <c r="AZ1492" s="6"/>
      <c r="BA1492" s="6"/>
      <c r="BB1492" s="6"/>
      <c r="BC1492" s="6"/>
      <c r="BD1492" s="6"/>
      <c r="BE1492" s="6"/>
      <c r="BF1492" s="6"/>
      <c r="BG1492" s="6"/>
      <c r="BH1492" s="6"/>
      <c r="BI1492" s="6"/>
      <c r="BJ1492" s="6"/>
      <c r="BK1492" s="6"/>
      <c r="BL1492" s="6"/>
      <c r="BM1492" s="6"/>
      <c r="BN1492" s="6"/>
      <c r="BO1492" s="6"/>
      <c r="BP1492" s="6"/>
      <c r="BQ1492" s="6"/>
    </row>
    <row r="1493" spans="2:69" hidden="1" x14ac:dyDescent="0.2">
      <c r="B1493" s="13"/>
      <c r="C1493" s="13"/>
      <c r="D1493" s="13"/>
      <c r="E1493" s="13"/>
      <c r="F1493" s="13"/>
      <c r="G1493" s="13"/>
      <c r="H1493" s="13"/>
      <c r="I1493" s="13"/>
      <c r="J1493" s="13"/>
      <c r="K1493" s="13"/>
      <c r="L1493" s="13"/>
      <c r="M1493" s="13"/>
      <c r="N1493" s="13"/>
      <c r="O1493" s="13"/>
      <c r="P1493" s="13"/>
      <c r="Q1493" s="13"/>
      <c r="R1493" s="13"/>
      <c r="S1493" s="13"/>
      <c r="T1493" s="13"/>
      <c r="U1493" s="13"/>
      <c r="V1493" s="13"/>
      <c r="W1493" s="13"/>
      <c r="X1493" s="13"/>
      <c r="Y1493" s="13"/>
      <c r="Z1493" s="13"/>
      <c r="AA1493" s="13"/>
      <c r="AB1493" s="13"/>
      <c r="AM1493" s="6"/>
      <c r="AN1493" s="6"/>
      <c r="AO1493" s="6"/>
      <c r="AP1493" s="6"/>
      <c r="AQ1493" s="6"/>
      <c r="AR1493" s="6"/>
      <c r="AS1493" s="6"/>
      <c r="AT1493" s="6"/>
      <c r="AU1493" s="6"/>
      <c r="AV1493" s="6"/>
      <c r="AW1493" s="6"/>
      <c r="AX1493" s="6"/>
      <c r="AY1493" s="6"/>
      <c r="AZ1493" s="6"/>
      <c r="BA1493" s="6"/>
      <c r="BB1493" s="6"/>
      <c r="BC1493" s="6"/>
      <c r="BD1493" s="6"/>
      <c r="BE1493" s="6"/>
      <c r="BF1493" s="6"/>
      <c r="BG1493" s="6"/>
      <c r="BH1493" s="6"/>
      <c r="BI1493" s="6"/>
      <c r="BJ1493" s="6"/>
      <c r="BK1493" s="6"/>
      <c r="BL1493" s="6"/>
      <c r="BM1493" s="6"/>
      <c r="BN1493" s="6"/>
      <c r="BO1493" s="6"/>
      <c r="BP1493" s="6"/>
      <c r="BQ1493" s="6"/>
    </row>
    <row r="1494" spans="2:69" hidden="1" x14ac:dyDescent="0.2">
      <c r="B1494" s="13"/>
      <c r="C1494" s="13"/>
      <c r="D1494" s="13"/>
      <c r="E1494" s="13"/>
      <c r="F1494" s="13"/>
      <c r="G1494" s="13"/>
      <c r="H1494" s="13"/>
      <c r="I1494" s="13"/>
      <c r="J1494" s="13"/>
      <c r="K1494" s="13"/>
      <c r="L1494" s="13"/>
      <c r="M1494" s="13"/>
      <c r="N1494" s="13"/>
      <c r="O1494" s="13"/>
      <c r="P1494" s="13"/>
      <c r="Q1494" s="13"/>
      <c r="R1494" s="13"/>
      <c r="S1494" s="13"/>
      <c r="T1494" s="13"/>
      <c r="U1494" s="13"/>
      <c r="V1494" s="13"/>
      <c r="W1494" s="13"/>
      <c r="X1494" s="13"/>
      <c r="Y1494" s="13"/>
      <c r="Z1494" s="13"/>
      <c r="AA1494" s="13"/>
      <c r="AB1494" s="13"/>
      <c r="AM1494" s="6"/>
      <c r="AN1494" s="6"/>
      <c r="AO1494" s="6"/>
      <c r="AP1494" s="6"/>
      <c r="AQ1494" s="6"/>
      <c r="AR1494" s="6"/>
      <c r="AS1494" s="6"/>
      <c r="AT1494" s="6"/>
      <c r="AU1494" s="6"/>
      <c r="AV1494" s="6"/>
      <c r="AW1494" s="6"/>
      <c r="AX1494" s="6"/>
      <c r="AY1494" s="6"/>
      <c r="AZ1494" s="6"/>
      <c r="BA1494" s="6"/>
      <c r="BB1494" s="6"/>
      <c r="BC1494" s="6"/>
      <c r="BD1494" s="6"/>
      <c r="BE1494" s="6"/>
      <c r="BF1494" s="6"/>
      <c r="BG1494" s="6"/>
      <c r="BH1494" s="6"/>
      <c r="BI1494" s="6"/>
      <c r="BJ1494" s="6"/>
      <c r="BK1494" s="6"/>
      <c r="BL1494" s="6"/>
      <c r="BM1494" s="6"/>
      <c r="BN1494" s="6"/>
      <c r="BO1494" s="6"/>
      <c r="BP1494" s="6"/>
      <c r="BQ1494" s="6"/>
    </row>
    <row r="1495" spans="2:69" hidden="1" x14ac:dyDescent="0.2">
      <c r="B1495" s="13"/>
      <c r="C1495" s="13"/>
      <c r="D1495" s="13"/>
      <c r="E1495" s="13"/>
      <c r="F1495" s="13"/>
      <c r="G1495" s="13"/>
      <c r="H1495" s="13"/>
      <c r="I1495" s="13"/>
      <c r="J1495" s="13"/>
      <c r="K1495" s="13"/>
      <c r="L1495" s="13"/>
      <c r="M1495" s="13"/>
      <c r="N1495" s="13"/>
      <c r="O1495" s="13"/>
      <c r="P1495" s="13"/>
      <c r="Q1495" s="13"/>
      <c r="R1495" s="13"/>
      <c r="S1495" s="13"/>
      <c r="T1495" s="13"/>
      <c r="U1495" s="13"/>
      <c r="V1495" s="13"/>
      <c r="W1495" s="13"/>
      <c r="X1495" s="13"/>
      <c r="Y1495" s="13"/>
      <c r="Z1495" s="13"/>
      <c r="AA1495" s="13"/>
      <c r="AB1495" s="13"/>
      <c r="AM1495" s="6"/>
      <c r="AN1495" s="6"/>
      <c r="AO1495" s="6"/>
      <c r="AP1495" s="6"/>
      <c r="AQ1495" s="6"/>
      <c r="AR1495" s="6"/>
      <c r="AS1495" s="6"/>
      <c r="AT1495" s="6"/>
      <c r="AU1495" s="6"/>
      <c r="AV1495" s="6"/>
      <c r="AW1495" s="6"/>
      <c r="AX1495" s="6"/>
      <c r="AY1495" s="6"/>
      <c r="AZ1495" s="6"/>
      <c r="BA1495" s="6"/>
      <c r="BB1495" s="6"/>
      <c r="BC1495" s="6"/>
      <c r="BD1495" s="6"/>
      <c r="BE1495" s="6"/>
      <c r="BF1495" s="6"/>
      <c r="BG1495" s="6"/>
      <c r="BH1495" s="6"/>
      <c r="BI1495" s="6"/>
      <c r="BJ1495" s="6"/>
      <c r="BK1495" s="6"/>
      <c r="BL1495" s="6"/>
      <c r="BM1495" s="6"/>
      <c r="BN1495" s="6"/>
      <c r="BO1495" s="6"/>
      <c r="BP1495" s="6"/>
      <c r="BQ1495" s="6"/>
    </row>
    <row r="1496" spans="2:69" hidden="1" x14ac:dyDescent="0.2">
      <c r="B1496" s="13"/>
      <c r="C1496" s="13"/>
      <c r="D1496" s="13"/>
      <c r="E1496" s="13"/>
      <c r="F1496" s="13"/>
      <c r="G1496" s="13"/>
      <c r="H1496" s="13"/>
      <c r="I1496" s="13"/>
      <c r="J1496" s="13"/>
      <c r="K1496" s="13"/>
      <c r="L1496" s="13"/>
      <c r="M1496" s="13"/>
      <c r="N1496" s="13"/>
      <c r="O1496" s="13"/>
      <c r="P1496" s="13"/>
      <c r="Q1496" s="13"/>
      <c r="R1496" s="13"/>
      <c r="S1496" s="13"/>
      <c r="T1496" s="13"/>
      <c r="U1496" s="13"/>
      <c r="V1496" s="13"/>
      <c r="W1496" s="13"/>
      <c r="X1496" s="13"/>
      <c r="Y1496" s="13"/>
      <c r="Z1496" s="13"/>
      <c r="AA1496" s="13"/>
      <c r="AB1496" s="13"/>
      <c r="AM1496" s="6"/>
      <c r="AN1496" s="6"/>
      <c r="AO1496" s="6"/>
      <c r="AP1496" s="6"/>
      <c r="AQ1496" s="6"/>
      <c r="AR1496" s="6"/>
      <c r="AS1496" s="6"/>
      <c r="AT1496" s="6"/>
      <c r="AU1496" s="6"/>
      <c r="AV1496" s="6"/>
      <c r="AW1496" s="6"/>
      <c r="AX1496" s="6"/>
      <c r="AY1496" s="6"/>
      <c r="AZ1496" s="6"/>
      <c r="BA1496" s="6"/>
      <c r="BB1496" s="6"/>
      <c r="BC1496" s="6"/>
      <c r="BD1496" s="6"/>
      <c r="BE1496" s="6"/>
      <c r="BF1496" s="6"/>
      <c r="BG1496" s="6"/>
      <c r="BH1496" s="6"/>
      <c r="BI1496" s="6"/>
      <c r="BJ1496" s="6"/>
      <c r="BK1496" s="6"/>
      <c r="BL1496" s="6"/>
      <c r="BM1496" s="6"/>
      <c r="BN1496" s="6"/>
      <c r="BO1496" s="6"/>
      <c r="BP1496" s="6"/>
      <c r="BQ1496" s="6"/>
    </row>
    <row r="1497" spans="2:69" hidden="1" x14ac:dyDescent="0.2">
      <c r="B1497" s="13"/>
      <c r="C1497" s="13"/>
      <c r="D1497" s="13"/>
      <c r="E1497" s="13"/>
      <c r="F1497" s="13"/>
      <c r="G1497" s="13"/>
      <c r="H1497" s="13"/>
      <c r="I1497" s="13"/>
      <c r="J1497" s="13"/>
      <c r="K1497" s="13"/>
      <c r="L1497" s="13"/>
      <c r="M1497" s="13"/>
      <c r="N1497" s="13"/>
      <c r="O1497" s="13"/>
      <c r="P1497" s="13"/>
      <c r="Q1497" s="13"/>
      <c r="R1497" s="13"/>
      <c r="S1497" s="13"/>
      <c r="T1497" s="13"/>
      <c r="U1497" s="13"/>
      <c r="V1497" s="13"/>
      <c r="W1497" s="13"/>
      <c r="X1497" s="13"/>
      <c r="Y1497" s="13"/>
      <c r="Z1497" s="13"/>
      <c r="AA1497" s="13"/>
      <c r="AB1497" s="13"/>
      <c r="AM1497" s="6"/>
      <c r="AN1497" s="6"/>
      <c r="AO1497" s="6"/>
      <c r="AP1497" s="6"/>
      <c r="AQ1497" s="6"/>
      <c r="AR1497" s="6"/>
      <c r="AS1497" s="6"/>
      <c r="AT1497" s="6"/>
      <c r="AU1497" s="6"/>
      <c r="AV1497" s="6"/>
      <c r="AW1497" s="6"/>
      <c r="AX1497" s="6"/>
      <c r="AY1497" s="6"/>
      <c r="AZ1497" s="6"/>
      <c r="BA1497" s="6"/>
      <c r="BB1497" s="6"/>
      <c r="BC1497" s="6"/>
      <c r="BD1497" s="6"/>
      <c r="BE1497" s="6"/>
      <c r="BF1497" s="6"/>
      <c r="BG1497" s="6"/>
      <c r="BH1497" s="6"/>
      <c r="BI1497" s="6"/>
      <c r="BJ1497" s="6"/>
      <c r="BK1497" s="6"/>
      <c r="BL1497" s="6"/>
      <c r="BM1497" s="6"/>
      <c r="BN1497" s="6"/>
      <c r="BO1497" s="6"/>
      <c r="BP1497" s="6"/>
      <c r="BQ1497" s="6"/>
    </row>
    <row r="1498" spans="2:69" hidden="1" x14ac:dyDescent="0.2">
      <c r="B1498" s="13"/>
      <c r="C1498" s="13"/>
      <c r="D1498" s="13"/>
      <c r="E1498" s="13"/>
      <c r="F1498" s="13"/>
      <c r="G1498" s="13"/>
      <c r="H1498" s="13"/>
      <c r="I1498" s="13"/>
      <c r="J1498" s="13"/>
      <c r="K1498" s="13"/>
      <c r="L1498" s="13"/>
      <c r="M1498" s="13"/>
      <c r="N1498" s="13"/>
      <c r="O1498" s="13"/>
      <c r="P1498" s="13"/>
      <c r="Q1498" s="13"/>
      <c r="R1498" s="13"/>
      <c r="S1498" s="13"/>
      <c r="T1498" s="13"/>
      <c r="U1498" s="13"/>
      <c r="V1498" s="13"/>
      <c r="W1498" s="13"/>
      <c r="X1498" s="13"/>
      <c r="Y1498" s="13"/>
      <c r="Z1498" s="13"/>
      <c r="AA1498" s="13"/>
      <c r="AB1498" s="13"/>
      <c r="AM1498" s="6"/>
      <c r="AN1498" s="6"/>
      <c r="AO1498" s="6"/>
      <c r="AP1498" s="6"/>
      <c r="AQ1498" s="6"/>
      <c r="AR1498" s="6"/>
      <c r="AS1498" s="6"/>
      <c r="AT1498" s="6"/>
      <c r="AU1498" s="6"/>
      <c r="AV1498" s="6"/>
      <c r="AW1498" s="6"/>
      <c r="AX1498" s="6"/>
      <c r="AY1498" s="6"/>
      <c r="AZ1498" s="6"/>
      <c r="BA1498" s="6"/>
      <c r="BB1498" s="6"/>
      <c r="BC1498" s="6"/>
      <c r="BD1498" s="6"/>
      <c r="BE1498" s="6"/>
      <c r="BF1498" s="6"/>
      <c r="BG1498" s="6"/>
      <c r="BH1498" s="6"/>
      <c r="BI1498" s="6"/>
      <c r="BJ1498" s="6"/>
      <c r="BK1498" s="6"/>
      <c r="BL1498" s="6"/>
      <c r="BM1498" s="6"/>
      <c r="BN1498" s="6"/>
      <c r="BO1498" s="6"/>
      <c r="BP1498" s="6"/>
      <c r="BQ1498" s="6"/>
    </row>
    <row r="1499" spans="2:69" hidden="1" x14ac:dyDescent="0.2">
      <c r="B1499" s="13"/>
      <c r="C1499" s="13"/>
      <c r="D1499" s="13"/>
      <c r="E1499" s="13"/>
      <c r="F1499" s="13"/>
      <c r="G1499" s="13"/>
      <c r="H1499" s="13"/>
      <c r="I1499" s="13"/>
      <c r="J1499" s="13"/>
      <c r="K1499" s="13"/>
      <c r="L1499" s="13"/>
      <c r="M1499" s="13"/>
      <c r="N1499" s="13"/>
      <c r="O1499" s="13"/>
      <c r="P1499" s="13"/>
      <c r="Q1499" s="13"/>
      <c r="R1499" s="13"/>
      <c r="S1499" s="13"/>
      <c r="T1499" s="13"/>
      <c r="U1499" s="13"/>
      <c r="V1499" s="13"/>
      <c r="W1499" s="13"/>
      <c r="X1499" s="13"/>
      <c r="Y1499" s="13"/>
      <c r="Z1499" s="13"/>
      <c r="AA1499" s="13"/>
      <c r="AB1499" s="13"/>
      <c r="AM1499" s="6"/>
      <c r="AN1499" s="6"/>
      <c r="AO1499" s="6"/>
      <c r="AP1499" s="6"/>
      <c r="AQ1499" s="6"/>
      <c r="AR1499" s="6"/>
      <c r="AS1499" s="6"/>
      <c r="AT1499" s="6"/>
      <c r="AU1499" s="6"/>
      <c r="AV1499" s="6"/>
      <c r="AW1499" s="6"/>
      <c r="AX1499" s="6"/>
      <c r="AY1499" s="6"/>
      <c r="AZ1499" s="6"/>
      <c r="BA1499" s="6"/>
      <c r="BB1499" s="6"/>
      <c r="BC1499" s="6"/>
      <c r="BD1499" s="6"/>
      <c r="BE1499" s="6"/>
      <c r="BF1499" s="6"/>
      <c r="BG1499" s="6"/>
      <c r="BH1499" s="6"/>
      <c r="BI1499" s="6"/>
      <c r="BJ1499" s="6"/>
      <c r="BK1499" s="6"/>
      <c r="BL1499" s="6"/>
      <c r="BM1499" s="6"/>
      <c r="BN1499" s="6"/>
      <c r="BO1499" s="6"/>
      <c r="BP1499" s="6"/>
      <c r="BQ1499" s="6"/>
    </row>
    <row r="1500" spans="2:69" hidden="1" x14ac:dyDescent="0.2">
      <c r="B1500" s="13"/>
      <c r="C1500" s="13"/>
      <c r="D1500" s="13"/>
      <c r="E1500" s="13"/>
      <c r="F1500" s="13"/>
      <c r="G1500" s="13"/>
      <c r="H1500" s="13"/>
      <c r="I1500" s="13"/>
      <c r="J1500" s="13"/>
      <c r="K1500" s="13"/>
      <c r="L1500" s="13"/>
      <c r="M1500" s="13"/>
      <c r="N1500" s="13"/>
      <c r="O1500" s="13"/>
      <c r="P1500" s="13"/>
      <c r="Q1500" s="13"/>
      <c r="R1500" s="13"/>
      <c r="S1500" s="13"/>
      <c r="T1500" s="13"/>
      <c r="U1500" s="13"/>
      <c r="V1500" s="13"/>
      <c r="W1500" s="13"/>
      <c r="X1500" s="13"/>
      <c r="Y1500" s="13"/>
      <c r="Z1500" s="13"/>
      <c r="AA1500" s="13"/>
      <c r="AB1500" s="13"/>
      <c r="AM1500" s="6"/>
      <c r="AN1500" s="6"/>
      <c r="AO1500" s="6"/>
      <c r="AP1500" s="6"/>
      <c r="AQ1500" s="6"/>
      <c r="AR1500" s="6"/>
      <c r="AS1500" s="6"/>
      <c r="AT1500" s="6"/>
      <c r="AU1500" s="6"/>
      <c r="AV1500" s="6"/>
      <c r="AW1500" s="6"/>
      <c r="AX1500" s="6"/>
      <c r="AY1500" s="6"/>
      <c r="AZ1500" s="6"/>
      <c r="BA1500" s="6"/>
      <c r="BB1500" s="6"/>
      <c r="BC1500" s="6"/>
      <c r="BD1500" s="6"/>
      <c r="BE1500" s="6"/>
      <c r="BF1500" s="6"/>
      <c r="BG1500" s="6"/>
      <c r="BH1500" s="6"/>
      <c r="BI1500" s="6"/>
      <c r="BJ1500" s="6"/>
      <c r="BK1500" s="6"/>
      <c r="BL1500" s="6"/>
      <c r="BM1500" s="6"/>
      <c r="BN1500" s="6"/>
      <c r="BO1500" s="6"/>
      <c r="BP1500" s="6"/>
      <c r="BQ1500" s="6"/>
    </row>
    <row r="1501" spans="2:69" hidden="1" x14ac:dyDescent="0.2">
      <c r="B1501" s="13"/>
      <c r="C1501" s="13"/>
      <c r="D1501" s="13"/>
      <c r="E1501" s="13"/>
      <c r="F1501" s="13"/>
      <c r="G1501" s="13"/>
      <c r="H1501" s="13"/>
      <c r="I1501" s="13"/>
      <c r="J1501" s="13"/>
      <c r="K1501" s="13"/>
      <c r="L1501" s="13"/>
      <c r="M1501" s="13"/>
      <c r="N1501" s="13"/>
      <c r="O1501" s="13"/>
      <c r="P1501" s="13"/>
      <c r="Q1501" s="13"/>
      <c r="R1501" s="13"/>
      <c r="S1501" s="13"/>
      <c r="T1501" s="13"/>
      <c r="U1501" s="13"/>
      <c r="V1501" s="13"/>
      <c r="W1501" s="13"/>
      <c r="X1501" s="13"/>
      <c r="Y1501" s="13"/>
      <c r="Z1501" s="13"/>
      <c r="AA1501" s="13"/>
      <c r="AB1501" s="13"/>
      <c r="AM1501" s="6"/>
      <c r="AN1501" s="6"/>
      <c r="AO1501" s="6"/>
      <c r="AP1501" s="6"/>
      <c r="AQ1501" s="6"/>
      <c r="AR1501" s="6"/>
      <c r="AS1501" s="6"/>
      <c r="AT1501" s="6"/>
      <c r="AU1501" s="6"/>
      <c r="AV1501" s="6"/>
      <c r="AW1501" s="6"/>
      <c r="AX1501" s="6"/>
      <c r="AY1501" s="6"/>
      <c r="AZ1501" s="6"/>
      <c r="BA1501" s="6"/>
      <c r="BB1501" s="6"/>
      <c r="BC1501" s="6"/>
      <c r="BD1501" s="6"/>
      <c r="BE1501" s="6"/>
      <c r="BF1501" s="6"/>
      <c r="BG1501" s="6"/>
      <c r="BH1501" s="6"/>
      <c r="BI1501" s="6"/>
      <c r="BJ1501" s="6"/>
      <c r="BK1501" s="6"/>
      <c r="BL1501" s="6"/>
      <c r="BM1501" s="6"/>
      <c r="BN1501" s="6"/>
      <c r="BO1501" s="6"/>
      <c r="BP1501" s="6"/>
      <c r="BQ1501" s="6"/>
    </row>
    <row r="1502" spans="2:69" hidden="1" x14ac:dyDescent="0.2">
      <c r="B1502" s="13"/>
      <c r="C1502" s="13"/>
      <c r="D1502" s="13"/>
      <c r="E1502" s="13"/>
      <c r="F1502" s="13"/>
      <c r="G1502" s="13"/>
      <c r="H1502" s="13"/>
      <c r="I1502" s="13"/>
      <c r="J1502" s="13"/>
      <c r="K1502" s="13"/>
      <c r="L1502" s="13"/>
      <c r="M1502" s="13"/>
      <c r="N1502" s="13"/>
      <c r="O1502" s="13"/>
      <c r="P1502" s="13"/>
      <c r="Q1502" s="13"/>
      <c r="R1502" s="13"/>
      <c r="S1502" s="13"/>
      <c r="T1502" s="13"/>
      <c r="U1502" s="13"/>
      <c r="V1502" s="13"/>
      <c r="W1502" s="13"/>
      <c r="X1502" s="13"/>
      <c r="Y1502" s="13"/>
      <c r="Z1502" s="13"/>
      <c r="AA1502" s="13"/>
      <c r="AB1502" s="13"/>
      <c r="AM1502" s="6"/>
      <c r="AN1502" s="6"/>
      <c r="AO1502" s="6"/>
      <c r="AP1502" s="6"/>
      <c r="AQ1502" s="6"/>
      <c r="AR1502" s="6"/>
      <c r="AS1502" s="6"/>
      <c r="AT1502" s="6"/>
      <c r="AU1502" s="6"/>
      <c r="AV1502" s="6"/>
      <c r="AW1502" s="6"/>
      <c r="AX1502" s="6"/>
      <c r="AY1502" s="6"/>
      <c r="AZ1502" s="6"/>
      <c r="BA1502" s="6"/>
      <c r="BB1502" s="6"/>
      <c r="BC1502" s="6"/>
      <c r="BD1502" s="6"/>
      <c r="BE1502" s="6"/>
      <c r="BF1502" s="6"/>
      <c r="BG1502" s="6"/>
      <c r="BH1502" s="6"/>
      <c r="BI1502" s="6"/>
      <c r="BJ1502" s="6"/>
      <c r="BK1502" s="6"/>
      <c r="BL1502" s="6"/>
      <c r="BM1502" s="6"/>
      <c r="BN1502" s="6"/>
      <c r="BO1502" s="6"/>
      <c r="BP1502" s="6"/>
      <c r="BQ1502" s="6"/>
    </row>
    <row r="1503" spans="2:69" hidden="1" x14ac:dyDescent="0.2">
      <c r="B1503" s="13"/>
      <c r="C1503" s="13"/>
      <c r="D1503" s="13"/>
      <c r="E1503" s="13"/>
      <c r="F1503" s="13"/>
      <c r="G1503" s="13"/>
      <c r="H1503" s="13"/>
      <c r="I1503" s="13"/>
      <c r="J1503" s="13"/>
      <c r="K1503" s="13"/>
      <c r="L1503" s="13"/>
      <c r="M1503" s="13"/>
      <c r="N1503" s="13"/>
      <c r="O1503" s="13"/>
      <c r="P1503" s="13"/>
      <c r="Q1503" s="13"/>
      <c r="R1503" s="13"/>
      <c r="S1503" s="13"/>
      <c r="T1503" s="13"/>
      <c r="U1503" s="13"/>
      <c r="V1503" s="13"/>
      <c r="W1503" s="13"/>
      <c r="X1503" s="13"/>
      <c r="Y1503" s="13"/>
      <c r="Z1503" s="13"/>
      <c r="AA1503" s="13"/>
      <c r="AB1503" s="13"/>
      <c r="AM1503" s="6"/>
      <c r="AN1503" s="6"/>
      <c r="AO1503" s="6"/>
      <c r="AP1503" s="6"/>
      <c r="AQ1503" s="6"/>
      <c r="AR1503" s="6"/>
      <c r="AS1503" s="6"/>
      <c r="AT1503" s="6"/>
      <c r="AU1503" s="6"/>
      <c r="AV1503" s="6"/>
      <c r="AW1503" s="6"/>
      <c r="AX1503" s="6"/>
      <c r="AY1503" s="6"/>
      <c r="AZ1503" s="6"/>
      <c r="BA1503" s="6"/>
      <c r="BB1503" s="6"/>
      <c r="BC1503" s="6"/>
      <c r="BD1503" s="6"/>
      <c r="BE1503" s="6"/>
      <c r="BF1503" s="6"/>
      <c r="BG1503" s="6"/>
      <c r="BH1503" s="6"/>
      <c r="BI1503" s="6"/>
      <c r="BJ1503" s="6"/>
      <c r="BK1503" s="6"/>
      <c r="BL1503" s="6"/>
      <c r="BM1503" s="6"/>
      <c r="BN1503" s="6"/>
      <c r="BO1503" s="6"/>
      <c r="BP1503" s="6"/>
      <c r="BQ1503" s="6"/>
    </row>
    <row r="1504" spans="2:69" hidden="1" x14ac:dyDescent="0.2">
      <c r="B1504" s="13"/>
      <c r="C1504" s="13"/>
      <c r="D1504" s="13"/>
      <c r="E1504" s="13"/>
      <c r="F1504" s="13"/>
      <c r="G1504" s="13"/>
      <c r="H1504" s="13"/>
      <c r="I1504" s="13"/>
      <c r="J1504" s="13"/>
      <c r="K1504" s="13"/>
      <c r="L1504" s="13"/>
      <c r="M1504" s="13"/>
      <c r="N1504" s="13"/>
      <c r="O1504" s="13"/>
      <c r="P1504" s="13"/>
      <c r="Q1504" s="13"/>
      <c r="R1504" s="13"/>
      <c r="S1504" s="13"/>
      <c r="T1504" s="13"/>
      <c r="U1504" s="13"/>
      <c r="V1504" s="13"/>
      <c r="W1504" s="13"/>
      <c r="X1504" s="13"/>
      <c r="Y1504" s="13"/>
      <c r="Z1504" s="13"/>
      <c r="AA1504" s="13"/>
      <c r="AB1504" s="13"/>
      <c r="AM1504" s="6"/>
      <c r="AN1504" s="6"/>
      <c r="AO1504" s="6"/>
      <c r="AP1504" s="6"/>
      <c r="AQ1504" s="6"/>
      <c r="AR1504" s="6"/>
      <c r="AS1504" s="6"/>
      <c r="AT1504" s="6"/>
      <c r="AU1504" s="6"/>
      <c r="AV1504" s="6"/>
      <c r="AW1504" s="6"/>
      <c r="AX1504" s="6"/>
      <c r="AY1504" s="6"/>
      <c r="AZ1504" s="6"/>
      <c r="BA1504" s="6"/>
      <c r="BB1504" s="6"/>
      <c r="BC1504" s="6"/>
      <c r="BD1504" s="6"/>
      <c r="BE1504" s="6"/>
      <c r="BF1504" s="6"/>
      <c r="BG1504" s="6"/>
      <c r="BH1504" s="6"/>
      <c r="BI1504" s="6"/>
      <c r="BJ1504" s="6"/>
      <c r="BK1504" s="6"/>
      <c r="BL1504" s="6"/>
      <c r="BM1504" s="6"/>
      <c r="BN1504" s="6"/>
      <c r="BO1504" s="6"/>
      <c r="BP1504" s="6"/>
      <c r="BQ1504" s="6"/>
    </row>
    <row r="1505" spans="2:69" hidden="1" x14ac:dyDescent="0.2">
      <c r="B1505" s="13"/>
      <c r="C1505" s="13"/>
      <c r="D1505" s="13"/>
      <c r="E1505" s="13"/>
      <c r="F1505" s="13"/>
      <c r="G1505" s="13"/>
      <c r="H1505" s="13"/>
      <c r="I1505" s="13"/>
      <c r="J1505" s="13"/>
      <c r="K1505" s="13"/>
      <c r="L1505" s="13"/>
      <c r="M1505" s="13"/>
      <c r="N1505" s="13"/>
      <c r="O1505" s="13"/>
      <c r="P1505" s="13"/>
      <c r="Q1505" s="13"/>
      <c r="R1505" s="13"/>
      <c r="S1505" s="13"/>
      <c r="T1505" s="13"/>
      <c r="U1505" s="13"/>
      <c r="V1505" s="13"/>
      <c r="W1505" s="13"/>
      <c r="X1505" s="13"/>
      <c r="Y1505" s="13"/>
      <c r="Z1505" s="13"/>
      <c r="AA1505" s="13"/>
      <c r="AB1505" s="13"/>
      <c r="AM1505" s="6"/>
      <c r="AN1505" s="6"/>
      <c r="AO1505" s="6"/>
      <c r="AP1505" s="6"/>
      <c r="AQ1505" s="6"/>
      <c r="AR1505" s="6"/>
      <c r="AS1505" s="6"/>
      <c r="AT1505" s="6"/>
      <c r="AU1505" s="6"/>
      <c r="AV1505" s="6"/>
      <c r="AW1505" s="6"/>
      <c r="AX1505" s="6"/>
      <c r="AY1505" s="6"/>
      <c r="AZ1505" s="6"/>
      <c r="BA1505" s="6"/>
      <c r="BB1505" s="6"/>
      <c r="BC1505" s="6"/>
      <c r="BD1505" s="6"/>
      <c r="BE1505" s="6"/>
      <c r="BF1505" s="6"/>
      <c r="BG1505" s="6"/>
      <c r="BH1505" s="6"/>
      <c r="BI1505" s="6"/>
      <c r="BJ1505" s="6"/>
      <c r="BK1505" s="6"/>
      <c r="BL1505" s="6"/>
      <c r="BM1505" s="6"/>
      <c r="BN1505" s="6"/>
      <c r="BO1505" s="6"/>
      <c r="BP1505" s="6"/>
      <c r="BQ1505" s="6"/>
    </row>
    <row r="1506" spans="2:69" hidden="1" x14ac:dyDescent="0.2">
      <c r="B1506" s="13"/>
      <c r="C1506" s="13"/>
      <c r="D1506" s="13"/>
      <c r="E1506" s="13"/>
      <c r="F1506" s="13"/>
      <c r="G1506" s="13"/>
      <c r="H1506" s="13"/>
      <c r="I1506" s="13"/>
      <c r="J1506" s="13"/>
      <c r="K1506" s="13"/>
      <c r="L1506" s="13"/>
      <c r="M1506" s="13"/>
      <c r="N1506" s="13"/>
      <c r="O1506" s="13"/>
      <c r="P1506" s="13"/>
      <c r="Q1506" s="13"/>
      <c r="R1506" s="13"/>
      <c r="S1506" s="13"/>
      <c r="T1506" s="13"/>
      <c r="U1506" s="13"/>
      <c r="V1506" s="13"/>
      <c r="W1506" s="13"/>
      <c r="X1506" s="13"/>
      <c r="Y1506" s="13"/>
      <c r="Z1506" s="13"/>
      <c r="AA1506" s="13"/>
      <c r="AB1506" s="13"/>
      <c r="AM1506" s="6"/>
      <c r="AN1506" s="6"/>
      <c r="AO1506" s="6"/>
      <c r="AP1506" s="6"/>
      <c r="AQ1506" s="6"/>
      <c r="AR1506" s="6"/>
      <c r="AS1506" s="6"/>
      <c r="AT1506" s="6"/>
      <c r="AU1506" s="6"/>
      <c r="AV1506" s="6"/>
      <c r="AW1506" s="6"/>
      <c r="AX1506" s="6"/>
      <c r="AY1506" s="6"/>
      <c r="AZ1506" s="6"/>
      <c r="BA1506" s="6"/>
      <c r="BB1506" s="6"/>
      <c r="BC1506" s="6"/>
      <c r="BD1506" s="6"/>
      <c r="BE1506" s="6"/>
      <c r="BF1506" s="6"/>
      <c r="BG1506" s="6"/>
      <c r="BH1506" s="6"/>
      <c r="BI1506" s="6"/>
      <c r="BJ1506" s="6"/>
      <c r="BK1506" s="6"/>
      <c r="BL1506" s="6"/>
      <c r="BM1506" s="6"/>
      <c r="BN1506" s="6"/>
      <c r="BO1506" s="6"/>
      <c r="BP1506" s="6"/>
      <c r="BQ1506" s="6"/>
    </row>
    <row r="1507" spans="2:69" hidden="1" x14ac:dyDescent="0.2">
      <c r="B1507" s="13"/>
      <c r="C1507" s="13"/>
      <c r="D1507" s="13"/>
      <c r="E1507" s="13"/>
      <c r="F1507" s="13"/>
      <c r="G1507" s="13"/>
      <c r="H1507" s="13"/>
      <c r="I1507" s="13"/>
      <c r="J1507" s="13"/>
      <c r="K1507" s="13"/>
      <c r="L1507" s="13"/>
      <c r="M1507" s="13"/>
      <c r="N1507" s="13"/>
      <c r="O1507" s="13"/>
      <c r="P1507" s="13"/>
      <c r="Q1507" s="13"/>
      <c r="R1507" s="13"/>
      <c r="S1507" s="13"/>
      <c r="T1507" s="13"/>
      <c r="U1507" s="13"/>
      <c r="V1507" s="13"/>
      <c r="W1507" s="13"/>
      <c r="X1507" s="13"/>
      <c r="Y1507" s="13"/>
      <c r="Z1507" s="13"/>
      <c r="AA1507" s="13"/>
      <c r="AB1507" s="13"/>
      <c r="AM1507" s="6"/>
      <c r="AN1507" s="6"/>
      <c r="AO1507" s="6"/>
      <c r="AP1507" s="6"/>
      <c r="AQ1507" s="6"/>
      <c r="AR1507" s="6"/>
      <c r="AS1507" s="6"/>
      <c r="AT1507" s="6"/>
      <c r="AU1507" s="6"/>
      <c r="AV1507" s="6"/>
      <c r="AW1507" s="6"/>
      <c r="AX1507" s="6"/>
      <c r="AY1507" s="6"/>
      <c r="AZ1507" s="6"/>
      <c r="BA1507" s="6"/>
      <c r="BB1507" s="6"/>
      <c r="BC1507" s="6"/>
      <c r="BD1507" s="6"/>
      <c r="BE1507" s="6"/>
      <c r="BF1507" s="6"/>
      <c r="BG1507" s="6"/>
      <c r="BH1507" s="6"/>
      <c r="BI1507" s="6"/>
      <c r="BJ1507" s="6"/>
      <c r="BK1507" s="6"/>
      <c r="BL1507" s="6"/>
      <c r="BM1507" s="6"/>
      <c r="BN1507" s="6"/>
      <c r="BO1507" s="6"/>
      <c r="BP1507" s="6"/>
      <c r="BQ1507" s="6"/>
    </row>
    <row r="1508" spans="2:69" hidden="1" x14ac:dyDescent="0.2">
      <c r="B1508" s="13"/>
      <c r="C1508" s="13"/>
      <c r="D1508" s="13"/>
      <c r="E1508" s="13"/>
      <c r="F1508" s="13"/>
      <c r="G1508" s="13"/>
      <c r="H1508" s="13"/>
      <c r="I1508" s="13"/>
      <c r="J1508" s="13"/>
      <c r="K1508" s="13"/>
      <c r="L1508" s="13"/>
      <c r="M1508" s="13"/>
      <c r="N1508" s="13"/>
      <c r="O1508" s="13"/>
      <c r="P1508" s="13"/>
      <c r="Q1508" s="13"/>
      <c r="R1508" s="13"/>
      <c r="S1508" s="13"/>
      <c r="T1508" s="13"/>
      <c r="U1508" s="13"/>
      <c r="V1508" s="13"/>
      <c r="W1508" s="13"/>
      <c r="X1508" s="13"/>
      <c r="Y1508" s="13"/>
      <c r="Z1508" s="13"/>
      <c r="AA1508" s="13"/>
      <c r="AB1508" s="13"/>
      <c r="AM1508" s="6"/>
      <c r="AN1508" s="6"/>
      <c r="AO1508" s="6"/>
      <c r="AP1508" s="6"/>
      <c r="AQ1508" s="6"/>
      <c r="AR1508" s="6"/>
      <c r="AS1508" s="6"/>
      <c r="AT1508" s="6"/>
      <c r="AU1508" s="6"/>
      <c r="AV1508" s="6"/>
      <c r="AW1508" s="6"/>
      <c r="AX1508" s="6"/>
      <c r="AY1508" s="6"/>
      <c r="AZ1508" s="6"/>
      <c r="BA1508" s="6"/>
      <c r="BB1508" s="6"/>
      <c r="BC1508" s="6"/>
      <c r="BD1508" s="6"/>
      <c r="BE1508" s="6"/>
      <c r="BF1508" s="6"/>
      <c r="BG1508" s="6"/>
      <c r="BH1508" s="6"/>
      <c r="BI1508" s="6"/>
      <c r="BJ1508" s="6"/>
      <c r="BK1508" s="6"/>
      <c r="BL1508" s="6"/>
      <c r="BM1508" s="6"/>
      <c r="BN1508" s="6"/>
      <c r="BO1508" s="6"/>
      <c r="BP1508" s="6"/>
      <c r="BQ1508" s="6"/>
    </row>
    <row r="1509" spans="2:69" hidden="1" x14ac:dyDescent="0.2">
      <c r="B1509" s="13"/>
      <c r="C1509" s="13"/>
      <c r="D1509" s="13"/>
      <c r="E1509" s="13"/>
      <c r="F1509" s="13"/>
      <c r="G1509" s="13"/>
      <c r="H1509" s="13"/>
      <c r="I1509" s="13"/>
      <c r="J1509" s="13"/>
      <c r="K1509" s="13"/>
      <c r="L1509" s="13"/>
      <c r="M1509" s="13"/>
      <c r="N1509" s="13"/>
      <c r="O1509" s="13"/>
      <c r="P1509" s="13"/>
      <c r="Q1509" s="13"/>
      <c r="R1509" s="13"/>
      <c r="S1509" s="13"/>
      <c r="T1509" s="13"/>
      <c r="U1509" s="13"/>
      <c r="V1509" s="13"/>
      <c r="W1509" s="13"/>
      <c r="X1509" s="13"/>
      <c r="Y1509" s="13"/>
      <c r="Z1509" s="13"/>
      <c r="AA1509" s="13"/>
      <c r="AB1509" s="13"/>
      <c r="AM1509" s="6"/>
      <c r="AN1509" s="6"/>
      <c r="AO1509" s="6"/>
      <c r="AP1509" s="6"/>
      <c r="AQ1509" s="6"/>
      <c r="AR1509" s="6"/>
      <c r="AS1509" s="6"/>
      <c r="AT1509" s="6"/>
      <c r="AU1509" s="6"/>
      <c r="AV1509" s="6"/>
      <c r="AW1509" s="6"/>
      <c r="AX1509" s="6"/>
      <c r="AY1509" s="6"/>
      <c r="AZ1509" s="6"/>
      <c r="BA1509" s="6"/>
      <c r="BB1509" s="6"/>
      <c r="BC1509" s="6"/>
      <c r="BD1509" s="6"/>
      <c r="BE1509" s="6"/>
      <c r="BF1509" s="6"/>
      <c r="BG1509" s="6"/>
      <c r="BH1509" s="6"/>
      <c r="BI1509" s="6"/>
      <c r="BJ1509" s="6"/>
      <c r="BK1509" s="6"/>
      <c r="BL1509" s="6"/>
      <c r="BM1509" s="6"/>
      <c r="BN1509" s="6"/>
      <c r="BO1509" s="6"/>
      <c r="BP1509" s="6"/>
      <c r="BQ1509" s="6"/>
    </row>
    <row r="1510" spans="2:69" hidden="1" x14ac:dyDescent="0.2">
      <c r="B1510" s="13"/>
      <c r="C1510" s="13"/>
      <c r="D1510" s="13"/>
      <c r="E1510" s="13"/>
      <c r="F1510" s="13"/>
      <c r="G1510" s="13"/>
      <c r="H1510" s="13"/>
      <c r="I1510" s="13"/>
      <c r="J1510" s="13"/>
      <c r="K1510" s="13"/>
      <c r="L1510" s="13"/>
      <c r="M1510" s="13"/>
      <c r="N1510" s="13"/>
      <c r="O1510" s="13"/>
      <c r="P1510" s="13"/>
      <c r="Q1510" s="13"/>
      <c r="R1510" s="13"/>
      <c r="S1510" s="13"/>
      <c r="T1510" s="13"/>
      <c r="U1510" s="13"/>
      <c r="V1510" s="13"/>
      <c r="W1510" s="13"/>
      <c r="X1510" s="13"/>
      <c r="Y1510" s="13"/>
      <c r="Z1510" s="13"/>
      <c r="AA1510" s="13"/>
      <c r="AB1510" s="13"/>
      <c r="AM1510" s="6"/>
      <c r="AN1510" s="6"/>
      <c r="AO1510" s="6"/>
      <c r="AP1510" s="6"/>
      <c r="AQ1510" s="6"/>
      <c r="AR1510" s="6"/>
      <c r="AS1510" s="6"/>
      <c r="AT1510" s="6"/>
      <c r="AU1510" s="6"/>
      <c r="AV1510" s="6"/>
      <c r="AW1510" s="6"/>
      <c r="AX1510" s="6"/>
      <c r="AY1510" s="6"/>
      <c r="AZ1510" s="6"/>
      <c r="BA1510" s="6"/>
      <c r="BB1510" s="6"/>
      <c r="BC1510" s="6"/>
      <c r="BD1510" s="6"/>
      <c r="BE1510" s="6"/>
      <c r="BF1510" s="6"/>
      <c r="BG1510" s="6"/>
      <c r="BH1510" s="6"/>
      <c r="BI1510" s="6"/>
      <c r="BJ1510" s="6"/>
      <c r="BK1510" s="6"/>
      <c r="BL1510" s="6"/>
      <c r="BM1510" s="6"/>
      <c r="BN1510" s="6"/>
      <c r="BO1510" s="6"/>
      <c r="BP1510" s="6"/>
      <c r="BQ1510" s="6"/>
    </row>
    <row r="1511" spans="2:69" hidden="1" x14ac:dyDescent="0.2">
      <c r="B1511" s="13"/>
      <c r="C1511" s="13"/>
      <c r="D1511" s="13"/>
      <c r="E1511" s="13"/>
      <c r="F1511" s="13"/>
      <c r="G1511" s="13"/>
      <c r="H1511" s="13"/>
      <c r="I1511" s="13"/>
      <c r="J1511" s="13"/>
      <c r="K1511" s="13"/>
      <c r="L1511" s="13"/>
      <c r="M1511" s="13"/>
      <c r="N1511" s="13"/>
      <c r="O1511" s="13"/>
      <c r="P1511" s="13"/>
      <c r="Q1511" s="13"/>
      <c r="R1511" s="13"/>
      <c r="S1511" s="13"/>
      <c r="T1511" s="13"/>
      <c r="U1511" s="13"/>
      <c r="V1511" s="13"/>
      <c r="W1511" s="13"/>
      <c r="X1511" s="13"/>
      <c r="Y1511" s="13"/>
      <c r="Z1511" s="13"/>
      <c r="AA1511" s="13"/>
      <c r="AB1511" s="13"/>
      <c r="AM1511" s="6"/>
      <c r="AN1511" s="6"/>
      <c r="AO1511" s="6"/>
      <c r="AP1511" s="6"/>
      <c r="AQ1511" s="6"/>
      <c r="AR1511" s="6"/>
      <c r="AS1511" s="6"/>
      <c r="AT1511" s="6"/>
      <c r="AU1511" s="6"/>
      <c r="AV1511" s="6"/>
      <c r="AW1511" s="6"/>
      <c r="AX1511" s="6"/>
      <c r="AY1511" s="6"/>
      <c r="AZ1511" s="6"/>
      <c r="BA1511" s="6"/>
      <c r="BB1511" s="6"/>
      <c r="BC1511" s="6"/>
      <c r="BD1511" s="6"/>
      <c r="BE1511" s="6"/>
      <c r="BF1511" s="6"/>
      <c r="BG1511" s="6"/>
      <c r="BH1511" s="6"/>
      <c r="BI1511" s="6"/>
      <c r="BJ1511" s="6"/>
      <c r="BK1511" s="6"/>
      <c r="BL1511" s="6"/>
      <c r="BM1511" s="6"/>
      <c r="BN1511" s="6"/>
      <c r="BO1511" s="6"/>
      <c r="BP1511" s="6"/>
      <c r="BQ1511" s="6"/>
    </row>
    <row r="1512" spans="2:69" hidden="1" x14ac:dyDescent="0.2">
      <c r="B1512" s="13"/>
      <c r="C1512" s="13"/>
      <c r="D1512" s="13"/>
      <c r="E1512" s="13"/>
      <c r="F1512" s="13"/>
      <c r="G1512" s="13"/>
      <c r="H1512" s="13"/>
      <c r="I1512" s="13"/>
      <c r="J1512" s="13"/>
      <c r="K1512" s="13"/>
      <c r="L1512" s="13"/>
      <c r="M1512" s="13"/>
      <c r="N1512" s="13"/>
      <c r="O1512" s="13"/>
      <c r="P1512" s="13"/>
      <c r="Q1512" s="13"/>
      <c r="R1512" s="13"/>
      <c r="S1512" s="13"/>
      <c r="T1512" s="13"/>
      <c r="U1512" s="13"/>
      <c r="V1512" s="13"/>
      <c r="W1512" s="13"/>
      <c r="X1512" s="13"/>
      <c r="Y1512" s="13"/>
      <c r="Z1512" s="13"/>
      <c r="AA1512" s="13"/>
      <c r="AB1512" s="13"/>
      <c r="AM1512" s="6"/>
      <c r="AN1512" s="6"/>
      <c r="AO1512" s="6"/>
      <c r="AP1512" s="6"/>
      <c r="AQ1512" s="6"/>
      <c r="AR1512" s="6"/>
      <c r="AS1512" s="6"/>
      <c r="AT1512" s="6"/>
      <c r="AU1512" s="6"/>
      <c r="AV1512" s="6"/>
      <c r="AW1512" s="6"/>
      <c r="AX1512" s="6"/>
      <c r="AY1512" s="6"/>
      <c r="AZ1512" s="6"/>
      <c r="BA1512" s="6"/>
      <c r="BB1512" s="6"/>
      <c r="BC1512" s="6"/>
      <c r="BD1512" s="6"/>
      <c r="BE1512" s="6"/>
      <c r="BF1512" s="6"/>
      <c r="BG1512" s="6"/>
      <c r="BH1512" s="6"/>
      <c r="BI1512" s="6"/>
      <c r="BJ1512" s="6"/>
      <c r="BK1512" s="6"/>
      <c r="BL1512" s="6"/>
      <c r="BM1512" s="6"/>
      <c r="BN1512" s="6"/>
      <c r="BO1512" s="6"/>
      <c r="BP1512" s="6"/>
      <c r="BQ1512" s="6"/>
    </row>
    <row r="1513" spans="2:69" hidden="1" x14ac:dyDescent="0.2">
      <c r="B1513" s="13"/>
      <c r="C1513" s="13"/>
      <c r="D1513" s="13"/>
      <c r="E1513" s="13"/>
      <c r="F1513" s="13"/>
      <c r="G1513" s="13"/>
      <c r="H1513" s="13"/>
      <c r="I1513" s="13"/>
      <c r="J1513" s="13"/>
      <c r="K1513" s="13"/>
      <c r="L1513" s="13"/>
      <c r="M1513" s="13"/>
      <c r="N1513" s="13"/>
      <c r="O1513" s="13"/>
      <c r="P1513" s="13"/>
      <c r="Q1513" s="13"/>
      <c r="R1513" s="13"/>
      <c r="S1513" s="13"/>
      <c r="T1513" s="13"/>
      <c r="U1513" s="13"/>
      <c r="V1513" s="13"/>
      <c r="W1513" s="13"/>
      <c r="X1513" s="13"/>
      <c r="Y1513" s="13"/>
      <c r="Z1513" s="13"/>
      <c r="AA1513" s="13"/>
      <c r="AB1513" s="13"/>
      <c r="AM1513" s="6"/>
      <c r="AN1513" s="6"/>
      <c r="AO1513" s="6"/>
      <c r="AP1513" s="6"/>
      <c r="AQ1513" s="6"/>
      <c r="AR1513" s="6"/>
      <c r="AS1513" s="6"/>
      <c r="AT1513" s="6"/>
      <c r="AU1513" s="6"/>
      <c r="AV1513" s="6"/>
      <c r="AW1513" s="6"/>
      <c r="AX1513" s="6"/>
      <c r="AY1513" s="6"/>
      <c r="AZ1513" s="6"/>
      <c r="BA1513" s="6"/>
      <c r="BB1513" s="6"/>
      <c r="BC1513" s="6"/>
      <c r="BD1513" s="6"/>
      <c r="BE1513" s="6"/>
      <c r="BF1513" s="6"/>
      <c r="BG1513" s="6"/>
      <c r="BH1513" s="6"/>
      <c r="BI1513" s="6"/>
      <c r="BJ1513" s="6"/>
      <c r="BK1513" s="6"/>
      <c r="BL1513" s="6"/>
      <c r="BM1513" s="6"/>
      <c r="BN1513" s="6"/>
      <c r="BO1513" s="6"/>
      <c r="BP1513" s="6"/>
      <c r="BQ1513" s="6"/>
    </row>
    <row r="1514" spans="2:69" hidden="1" x14ac:dyDescent="0.2">
      <c r="B1514" s="13"/>
      <c r="C1514" s="13"/>
      <c r="D1514" s="13"/>
      <c r="E1514" s="13"/>
      <c r="F1514" s="13"/>
      <c r="G1514" s="13"/>
      <c r="H1514" s="13"/>
      <c r="I1514" s="13"/>
      <c r="J1514" s="13"/>
      <c r="K1514" s="13"/>
      <c r="L1514" s="13"/>
      <c r="M1514" s="13"/>
      <c r="N1514" s="13"/>
      <c r="O1514" s="13"/>
      <c r="P1514" s="13"/>
      <c r="Q1514" s="13"/>
      <c r="R1514" s="13"/>
      <c r="S1514" s="13"/>
      <c r="T1514" s="13"/>
      <c r="U1514" s="13"/>
      <c r="V1514" s="13"/>
      <c r="W1514" s="13"/>
      <c r="X1514" s="13"/>
      <c r="Y1514" s="13"/>
      <c r="Z1514" s="13"/>
      <c r="AA1514" s="13"/>
      <c r="AB1514" s="13"/>
      <c r="AM1514" s="6"/>
      <c r="AN1514" s="6"/>
      <c r="AO1514" s="6"/>
      <c r="AP1514" s="6"/>
      <c r="AQ1514" s="6"/>
      <c r="AR1514" s="6"/>
      <c r="AS1514" s="6"/>
      <c r="AT1514" s="6"/>
      <c r="AU1514" s="6"/>
      <c r="AV1514" s="6"/>
      <c r="AW1514" s="6"/>
      <c r="AX1514" s="6"/>
      <c r="AY1514" s="6"/>
      <c r="AZ1514" s="6"/>
      <c r="BA1514" s="6"/>
      <c r="BB1514" s="6"/>
      <c r="BC1514" s="6"/>
      <c r="BD1514" s="6"/>
      <c r="BE1514" s="6"/>
      <c r="BF1514" s="6"/>
      <c r="BG1514" s="6"/>
      <c r="BH1514" s="6"/>
      <c r="BI1514" s="6"/>
      <c r="BJ1514" s="6"/>
      <c r="BK1514" s="6"/>
      <c r="BL1514" s="6"/>
      <c r="BM1514" s="6"/>
      <c r="BN1514" s="6"/>
      <c r="BO1514" s="6"/>
      <c r="BP1514" s="6"/>
      <c r="BQ1514" s="6"/>
    </row>
    <row r="1515" spans="2:69" hidden="1" x14ac:dyDescent="0.2">
      <c r="B1515" s="13"/>
      <c r="C1515" s="13"/>
      <c r="D1515" s="13"/>
      <c r="E1515" s="13"/>
      <c r="F1515" s="13"/>
      <c r="G1515" s="13"/>
      <c r="H1515" s="13"/>
      <c r="I1515" s="13"/>
      <c r="J1515" s="13"/>
      <c r="K1515" s="13"/>
      <c r="L1515" s="13"/>
      <c r="M1515" s="13"/>
      <c r="N1515" s="13"/>
      <c r="O1515" s="13"/>
      <c r="P1515" s="13"/>
      <c r="Q1515" s="13"/>
      <c r="R1515" s="13"/>
      <c r="S1515" s="13"/>
      <c r="T1515" s="13"/>
      <c r="U1515" s="13"/>
      <c r="V1515" s="13"/>
      <c r="W1515" s="13"/>
      <c r="X1515" s="13"/>
      <c r="Y1515" s="13"/>
      <c r="Z1515" s="13"/>
      <c r="AA1515" s="13"/>
      <c r="AB1515" s="13"/>
      <c r="AM1515" s="6"/>
      <c r="AN1515" s="6"/>
      <c r="AO1515" s="6"/>
      <c r="AP1515" s="6"/>
      <c r="AQ1515" s="6"/>
      <c r="AR1515" s="6"/>
      <c r="AS1515" s="6"/>
      <c r="AT1515" s="6"/>
      <c r="AU1515" s="6"/>
      <c r="AV1515" s="6"/>
      <c r="AW1515" s="6"/>
      <c r="AX1515" s="6"/>
      <c r="AY1515" s="6"/>
      <c r="AZ1515" s="6"/>
      <c r="BA1515" s="6"/>
      <c r="BB1515" s="6"/>
      <c r="BC1515" s="6"/>
      <c r="BD1515" s="6"/>
      <c r="BE1515" s="6"/>
      <c r="BF1515" s="6"/>
      <c r="BG1515" s="6"/>
      <c r="BH1515" s="6"/>
      <c r="BI1515" s="6"/>
      <c r="BJ1515" s="6"/>
      <c r="BK1515" s="6"/>
      <c r="BL1515" s="6"/>
      <c r="BM1515" s="6"/>
      <c r="BN1515" s="6"/>
      <c r="BO1515" s="6"/>
      <c r="BP1515" s="6"/>
      <c r="BQ1515" s="6"/>
    </row>
    <row r="1516" spans="2:69" hidden="1" x14ac:dyDescent="0.2">
      <c r="B1516" s="13"/>
      <c r="C1516" s="13"/>
      <c r="D1516" s="13"/>
      <c r="E1516" s="13"/>
      <c r="F1516" s="13"/>
      <c r="G1516" s="13"/>
      <c r="H1516" s="13"/>
      <c r="I1516" s="13"/>
      <c r="J1516" s="13"/>
      <c r="K1516" s="13"/>
      <c r="L1516" s="13"/>
      <c r="M1516" s="13"/>
      <c r="N1516" s="13"/>
      <c r="O1516" s="13"/>
      <c r="P1516" s="13"/>
      <c r="Q1516" s="13"/>
      <c r="R1516" s="13"/>
      <c r="S1516" s="13"/>
      <c r="T1516" s="13"/>
      <c r="U1516" s="13"/>
      <c r="V1516" s="13"/>
      <c r="W1516" s="13"/>
      <c r="X1516" s="13"/>
      <c r="Y1516" s="13"/>
      <c r="Z1516" s="13"/>
      <c r="AA1516" s="13"/>
      <c r="AB1516" s="13"/>
      <c r="AM1516" s="6"/>
      <c r="AN1516" s="6"/>
      <c r="AO1516" s="6"/>
      <c r="AP1516" s="6"/>
      <c r="AQ1516" s="6"/>
      <c r="AR1516" s="6"/>
      <c r="AS1516" s="6"/>
      <c r="AT1516" s="6"/>
      <c r="AU1516" s="6"/>
      <c r="AV1516" s="6"/>
      <c r="AW1516" s="6"/>
      <c r="AX1516" s="6"/>
      <c r="AY1516" s="6"/>
      <c r="AZ1516" s="6"/>
      <c r="BA1516" s="6"/>
      <c r="BB1516" s="6"/>
      <c r="BC1516" s="6"/>
      <c r="BD1516" s="6"/>
      <c r="BE1516" s="6"/>
      <c r="BF1516" s="6"/>
      <c r="BG1516" s="6"/>
      <c r="BH1516" s="6"/>
      <c r="BI1516" s="6"/>
      <c r="BJ1516" s="6"/>
      <c r="BK1516" s="6"/>
      <c r="BL1516" s="6"/>
      <c r="BM1516" s="6"/>
      <c r="BN1516" s="6"/>
      <c r="BO1516" s="6"/>
      <c r="BP1516" s="6"/>
      <c r="BQ1516" s="6"/>
    </row>
    <row r="1517" spans="2:69" hidden="1" x14ac:dyDescent="0.2">
      <c r="B1517" s="13"/>
      <c r="C1517" s="13"/>
      <c r="D1517" s="13"/>
      <c r="E1517" s="13"/>
      <c r="F1517" s="13"/>
      <c r="G1517" s="13"/>
      <c r="H1517" s="13"/>
      <c r="I1517" s="13"/>
      <c r="J1517" s="13"/>
      <c r="K1517" s="13"/>
      <c r="L1517" s="13"/>
      <c r="M1517" s="13"/>
      <c r="N1517" s="13"/>
      <c r="O1517" s="13"/>
      <c r="P1517" s="13"/>
      <c r="Q1517" s="13"/>
      <c r="R1517" s="13"/>
      <c r="S1517" s="13"/>
      <c r="T1517" s="13"/>
      <c r="U1517" s="13"/>
      <c r="V1517" s="13"/>
      <c r="W1517" s="13"/>
      <c r="X1517" s="13"/>
      <c r="Y1517" s="13"/>
      <c r="Z1517" s="13"/>
      <c r="AA1517" s="13"/>
      <c r="AB1517" s="13"/>
      <c r="AM1517" s="6"/>
      <c r="AN1517" s="6"/>
      <c r="AO1517" s="6"/>
      <c r="AP1517" s="6"/>
      <c r="AQ1517" s="6"/>
      <c r="AR1517" s="6"/>
      <c r="AS1517" s="6"/>
      <c r="AT1517" s="6"/>
      <c r="AU1517" s="6"/>
      <c r="AV1517" s="6"/>
      <c r="AW1517" s="6"/>
      <c r="AX1517" s="6"/>
      <c r="AY1517" s="6"/>
      <c r="AZ1517" s="6"/>
      <c r="BA1517" s="6"/>
      <c r="BB1517" s="6"/>
      <c r="BC1517" s="6"/>
      <c r="BD1517" s="6"/>
      <c r="BE1517" s="6"/>
      <c r="BF1517" s="6"/>
      <c r="BG1517" s="6"/>
      <c r="BH1517" s="6"/>
      <c r="BI1517" s="6"/>
      <c r="BJ1517" s="6"/>
      <c r="BK1517" s="6"/>
      <c r="BL1517" s="6"/>
      <c r="BM1517" s="6"/>
      <c r="BN1517" s="6"/>
      <c r="BO1517" s="6"/>
      <c r="BP1517" s="6"/>
      <c r="BQ1517" s="6"/>
    </row>
    <row r="1518" spans="2:69" hidden="1" x14ac:dyDescent="0.2">
      <c r="B1518" s="13"/>
      <c r="C1518" s="13"/>
      <c r="D1518" s="13"/>
      <c r="E1518" s="13"/>
      <c r="F1518" s="13"/>
      <c r="G1518" s="13"/>
      <c r="H1518" s="13"/>
      <c r="I1518" s="13"/>
      <c r="J1518" s="13"/>
      <c r="K1518" s="13"/>
      <c r="L1518" s="13"/>
      <c r="M1518" s="13"/>
      <c r="N1518" s="13"/>
      <c r="O1518" s="13"/>
      <c r="P1518" s="13"/>
      <c r="Q1518" s="13"/>
      <c r="R1518" s="13"/>
      <c r="S1518" s="13"/>
      <c r="T1518" s="13"/>
      <c r="U1518" s="13"/>
      <c r="V1518" s="13"/>
      <c r="W1518" s="13"/>
      <c r="X1518" s="13"/>
      <c r="Y1518" s="13"/>
      <c r="Z1518" s="13"/>
      <c r="AA1518" s="13"/>
      <c r="AB1518" s="13"/>
      <c r="AM1518" s="6"/>
      <c r="AN1518" s="6"/>
      <c r="AO1518" s="6"/>
      <c r="AP1518" s="6"/>
      <c r="AQ1518" s="6"/>
      <c r="AR1518" s="6"/>
      <c r="AS1518" s="6"/>
      <c r="AT1518" s="6"/>
      <c r="AU1518" s="6"/>
      <c r="AV1518" s="6"/>
      <c r="AW1518" s="6"/>
      <c r="AX1518" s="6"/>
      <c r="AY1518" s="6"/>
      <c r="AZ1518" s="6"/>
      <c r="BA1518" s="6"/>
      <c r="BB1518" s="6"/>
      <c r="BC1518" s="6"/>
      <c r="BD1518" s="6"/>
      <c r="BE1518" s="6"/>
      <c r="BF1518" s="6"/>
      <c r="BG1518" s="6"/>
      <c r="BH1518" s="6"/>
      <c r="BI1518" s="6"/>
      <c r="BJ1518" s="6"/>
      <c r="BK1518" s="6"/>
      <c r="BL1518" s="6"/>
      <c r="BM1518" s="6"/>
      <c r="BN1518" s="6"/>
      <c r="BO1518" s="6"/>
      <c r="BP1518" s="6"/>
      <c r="BQ1518" s="6"/>
    </row>
    <row r="1519" spans="2:69" hidden="1" x14ac:dyDescent="0.2">
      <c r="B1519" s="13"/>
      <c r="C1519" s="13"/>
      <c r="D1519" s="13"/>
      <c r="E1519" s="13"/>
      <c r="F1519" s="13"/>
      <c r="G1519" s="13"/>
      <c r="H1519" s="13"/>
      <c r="I1519" s="13"/>
      <c r="J1519" s="13"/>
      <c r="K1519" s="13"/>
      <c r="L1519" s="13"/>
      <c r="M1519" s="13"/>
      <c r="N1519" s="13"/>
      <c r="O1519" s="13"/>
      <c r="P1519" s="13"/>
      <c r="Q1519" s="13"/>
      <c r="R1519" s="13"/>
      <c r="S1519" s="13"/>
      <c r="T1519" s="13"/>
      <c r="U1519" s="13"/>
      <c r="V1519" s="13"/>
      <c r="W1519" s="13"/>
      <c r="X1519" s="13"/>
      <c r="Y1519" s="13"/>
      <c r="Z1519" s="13"/>
      <c r="AA1519" s="13"/>
      <c r="AB1519" s="13"/>
      <c r="AM1519" s="6"/>
      <c r="AN1519" s="6"/>
      <c r="AO1519" s="6"/>
      <c r="AP1519" s="6"/>
      <c r="AQ1519" s="6"/>
      <c r="AR1519" s="6"/>
      <c r="AS1519" s="6"/>
      <c r="AT1519" s="6"/>
      <c r="AU1519" s="6"/>
      <c r="AV1519" s="6"/>
      <c r="AW1519" s="6"/>
      <c r="AX1519" s="6"/>
      <c r="AY1519" s="6"/>
      <c r="AZ1519" s="6"/>
      <c r="BA1519" s="6"/>
      <c r="BB1519" s="6"/>
      <c r="BC1519" s="6"/>
      <c r="BD1519" s="6"/>
      <c r="BE1519" s="6"/>
      <c r="BF1519" s="6"/>
      <c r="BG1519" s="6"/>
      <c r="BH1519" s="6"/>
      <c r="BI1519" s="6"/>
      <c r="BJ1519" s="6"/>
      <c r="BK1519" s="6"/>
      <c r="BL1519" s="6"/>
      <c r="BM1519" s="6"/>
      <c r="BN1519" s="6"/>
      <c r="BO1519" s="6"/>
      <c r="BP1519" s="6"/>
      <c r="BQ1519" s="6"/>
    </row>
    <row r="1520" spans="2:69" hidden="1" x14ac:dyDescent="0.2">
      <c r="B1520" s="13"/>
      <c r="C1520" s="13"/>
      <c r="D1520" s="13"/>
      <c r="E1520" s="13"/>
      <c r="F1520" s="13"/>
      <c r="G1520" s="13"/>
      <c r="H1520" s="13"/>
      <c r="I1520" s="13"/>
      <c r="J1520" s="13"/>
      <c r="K1520" s="13"/>
      <c r="L1520" s="13"/>
      <c r="M1520" s="13"/>
      <c r="N1520" s="13"/>
      <c r="O1520" s="13"/>
      <c r="P1520" s="13"/>
      <c r="Q1520" s="13"/>
      <c r="R1520" s="13"/>
      <c r="S1520" s="13"/>
      <c r="T1520" s="13"/>
      <c r="U1520" s="13"/>
      <c r="V1520" s="13"/>
      <c r="W1520" s="13"/>
      <c r="X1520" s="13"/>
      <c r="Y1520" s="13"/>
      <c r="Z1520" s="13"/>
      <c r="AA1520" s="13"/>
      <c r="AB1520" s="13"/>
      <c r="AM1520" s="6"/>
      <c r="AN1520" s="6"/>
      <c r="AO1520" s="6"/>
      <c r="AP1520" s="6"/>
      <c r="AQ1520" s="6"/>
      <c r="AR1520" s="6"/>
      <c r="AS1520" s="6"/>
      <c r="AT1520" s="6"/>
      <c r="AU1520" s="6"/>
      <c r="AV1520" s="6"/>
      <c r="AW1520" s="6"/>
      <c r="AX1520" s="6"/>
      <c r="AY1520" s="6"/>
      <c r="AZ1520" s="6"/>
      <c r="BA1520" s="6"/>
      <c r="BB1520" s="6"/>
      <c r="BC1520" s="6"/>
      <c r="BD1520" s="6"/>
      <c r="BE1520" s="6"/>
      <c r="BF1520" s="6"/>
      <c r="BG1520" s="6"/>
      <c r="BH1520" s="6"/>
      <c r="BI1520" s="6"/>
      <c r="BJ1520" s="6"/>
      <c r="BK1520" s="6"/>
      <c r="BL1520" s="6"/>
      <c r="BM1520" s="6"/>
      <c r="BN1520" s="6"/>
      <c r="BO1520" s="6"/>
      <c r="BP1520" s="6"/>
      <c r="BQ1520" s="6"/>
    </row>
    <row r="1521" spans="2:69" hidden="1" x14ac:dyDescent="0.2">
      <c r="B1521" s="13"/>
      <c r="C1521" s="13"/>
      <c r="D1521" s="13"/>
      <c r="E1521" s="13"/>
      <c r="F1521" s="13"/>
      <c r="G1521" s="13"/>
      <c r="H1521" s="13"/>
      <c r="I1521" s="13"/>
      <c r="J1521" s="13"/>
      <c r="K1521" s="13"/>
      <c r="L1521" s="13"/>
      <c r="M1521" s="13"/>
      <c r="N1521" s="13"/>
      <c r="O1521" s="13"/>
      <c r="P1521" s="13"/>
      <c r="Q1521" s="13"/>
      <c r="R1521" s="13"/>
      <c r="S1521" s="13"/>
      <c r="T1521" s="13"/>
      <c r="U1521" s="13"/>
      <c r="V1521" s="13"/>
      <c r="W1521" s="13"/>
      <c r="X1521" s="13"/>
      <c r="Y1521" s="13"/>
      <c r="Z1521" s="13"/>
      <c r="AA1521" s="13"/>
      <c r="AB1521" s="13"/>
      <c r="AM1521" s="6"/>
      <c r="AN1521" s="6"/>
      <c r="AO1521" s="6"/>
      <c r="AP1521" s="6"/>
      <c r="AQ1521" s="6"/>
      <c r="AR1521" s="6"/>
      <c r="AS1521" s="6"/>
      <c r="AT1521" s="6"/>
      <c r="AU1521" s="6"/>
      <c r="AV1521" s="6"/>
      <c r="AW1521" s="6"/>
      <c r="AX1521" s="6"/>
      <c r="AY1521" s="6"/>
      <c r="AZ1521" s="6"/>
      <c r="BA1521" s="6"/>
      <c r="BB1521" s="6"/>
      <c r="BC1521" s="6"/>
      <c r="BD1521" s="6"/>
      <c r="BE1521" s="6"/>
      <c r="BF1521" s="6"/>
      <c r="BG1521" s="6"/>
      <c r="BH1521" s="6"/>
      <c r="BI1521" s="6"/>
      <c r="BJ1521" s="6"/>
      <c r="BK1521" s="6"/>
      <c r="BL1521" s="6"/>
      <c r="BM1521" s="6"/>
      <c r="BN1521" s="6"/>
      <c r="BO1521" s="6"/>
      <c r="BP1521" s="6"/>
      <c r="BQ1521" s="6"/>
    </row>
    <row r="1522" spans="2:69" hidden="1" x14ac:dyDescent="0.2">
      <c r="B1522" s="13"/>
      <c r="C1522" s="13"/>
      <c r="D1522" s="13"/>
      <c r="E1522" s="13"/>
      <c r="F1522" s="13"/>
      <c r="G1522" s="13"/>
      <c r="H1522" s="13"/>
      <c r="I1522" s="13"/>
      <c r="J1522" s="13"/>
      <c r="K1522" s="13"/>
      <c r="L1522" s="13"/>
      <c r="M1522" s="13"/>
      <c r="N1522" s="13"/>
      <c r="O1522" s="13"/>
      <c r="P1522" s="13"/>
      <c r="Q1522" s="13"/>
      <c r="R1522" s="13"/>
      <c r="S1522" s="13"/>
      <c r="T1522" s="13"/>
      <c r="U1522" s="13"/>
      <c r="V1522" s="13"/>
      <c r="W1522" s="13"/>
      <c r="X1522" s="13"/>
      <c r="Y1522" s="13"/>
      <c r="Z1522" s="13"/>
      <c r="AA1522" s="13"/>
      <c r="AB1522" s="13"/>
      <c r="AM1522" s="6"/>
      <c r="AN1522" s="6"/>
      <c r="AO1522" s="6"/>
      <c r="AP1522" s="6"/>
      <c r="AQ1522" s="6"/>
      <c r="AR1522" s="6"/>
      <c r="AS1522" s="6"/>
      <c r="AT1522" s="6"/>
      <c r="AU1522" s="6"/>
      <c r="AV1522" s="6"/>
      <c r="AW1522" s="6"/>
      <c r="AX1522" s="6"/>
      <c r="AY1522" s="6"/>
      <c r="AZ1522" s="6"/>
      <c r="BA1522" s="6"/>
      <c r="BB1522" s="6"/>
      <c r="BC1522" s="6"/>
      <c r="BD1522" s="6"/>
      <c r="BE1522" s="6"/>
      <c r="BF1522" s="6"/>
      <c r="BG1522" s="6"/>
      <c r="BH1522" s="6"/>
      <c r="BI1522" s="6"/>
      <c r="BJ1522" s="6"/>
      <c r="BK1522" s="6"/>
      <c r="BL1522" s="6"/>
      <c r="BM1522" s="6"/>
      <c r="BN1522" s="6"/>
      <c r="BO1522" s="6"/>
      <c r="BP1522" s="6"/>
      <c r="BQ1522" s="6"/>
    </row>
    <row r="1523" spans="2:69" hidden="1" x14ac:dyDescent="0.2">
      <c r="B1523" s="13"/>
      <c r="C1523" s="13"/>
      <c r="D1523" s="13"/>
      <c r="E1523" s="13"/>
      <c r="F1523" s="13"/>
      <c r="G1523" s="13"/>
      <c r="H1523" s="13"/>
      <c r="I1523" s="13"/>
      <c r="J1523" s="13"/>
      <c r="K1523" s="13"/>
      <c r="L1523" s="13"/>
      <c r="M1523" s="13"/>
      <c r="N1523" s="13"/>
      <c r="O1523" s="13"/>
      <c r="P1523" s="13"/>
      <c r="Q1523" s="13"/>
      <c r="R1523" s="13"/>
      <c r="S1523" s="13"/>
      <c r="T1523" s="13"/>
      <c r="U1523" s="13"/>
      <c r="V1523" s="13"/>
      <c r="W1523" s="13"/>
      <c r="X1523" s="13"/>
      <c r="Y1523" s="13"/>
      <c r="Z1523" s="13"/>
      <c r="AA1523" s="13"/>
      <c r="AB1523" s="13"/>
      <c r="AM1523" s="6"/>
      <c r="AN1523" s="6"/>
      <c r="AO1523" s="6"/>
      <c r="AP1523" s="6"/>
      <c r="AQ1523" s="6"/>
      <c r="AR1523" s="6"/>
      <c r="AS1523" s="6"/>
      <c r="AT1523" s="6"/>
      <c r="AU1523" s="6"/>
      <c r="AV1523" s="6"/>
      <c r="AW1523" s="6"/>
      <c r="AX1523" s="6"/>
      <c r="AY1523" s="6"/>
      <c r="AZ1523" s="6"/>
      <c r="BA1523" s="6"/>
      <c r="BB1523" s="6"/>
      <c r="BC1523" s="6"/>
      <c r="BD1523" s="6"/>
      <c r="BE1523" s="6"/>
      <c r="BF1523" s="6"/>
      <c r="BG1523" s="6"/>
      <c r="BH1523" s="6"/>
      <c r="BI1523" s="6"/>
      <c r="BJ1523" s="6"/>
      <c r="BK1523" s="6"/>
      <c r="BL1523" s="6"/>
      <c r="BM1523" s="6"/>
      <c r="BN1523" s="6"/>
      <c r="BO1523" s="6"/>
      <c r="BP1523" s="6"/>
      <c r="BQ1523" s="6"/>
    </row>
    <row r="1524" spans="2:69" hidden="1" x14ac:dyDescent="0.2">
      <c r="B1524" s="13"/>
      <c r="C1524" s="13"/>
      <c r="D1524" s="13"/>
      <c r="E1524" s="13"/>
      <c r="F1524" s="13"/>
      <c r="G1524" s="13"/>
      <c r="H1524" s="13"/>
      <c r="I1524" s="13"/>
      <c r="J1524" s="13"/>
      <c r="K1524" s="13"/>
      <c r="L1524" s="13"/>
      <c r="M1524" s="13"/>
      <c r="N1524" s="13"/>
      <c r="O1524" s="13"/>
      <c r="P1524" s="13"/>
      <c r="Q1524" s="13"/>
      <c r="R1524" s="13"/>
      <c r="S1524" s="13"/>
      <c r="T1524" s="13"/>
      <c r="U1524" s="13"/>
      <c r="V1524" s="13"/>
      <c r="W1524" s="13"/>
      <c r="X1524" s="13"/>
      <c r="Y1524" s="13"/>
      <c r="Z1524" s="13"/>
      <c r="AA1524" s="13"/>
      <c r="AB1524" s="13"/>
      <c r="AM1524" s="6"/>
      <c r="AN1524" s="6"/>
      <c r="AO1524" s="6"/>
      <c r="AP1524" s="6"/>
      <c r="AQ1524" s="6"/>
      <c r="AR1524" s="6"/>
      <c r="AS1524" s="6"/>
      <c r="AT1524" s="6"/>
      <c r="AU1524" s="6"/>
      <c r="AV1524" s="6"/>
      <c r="AW1524" s="6"/>
      <c r="AX1524" s="6"/>
      <c r="AY1524" s="6"/>
      <c r="AZ1524" s="6"/>
      <c r="BA1524" s="6"/>
      <c r="BB1524" s="6"/>
      <c r="BC1524" s="6"/>
      <c r="BD1524" s="6"/>
      <c r="BE1524" s="6"/>
      <c r="BF1524" s="6"/>
      <c r="BG1524" s="6"/>
      <c r="BH1524" s="6"/>
      <c r="BI1524" s="6"/>
      <c r="BJ1524" s="6"/>
      <c r="BK1524" s="6"/>
      <c r="BL1524" s="6"/>
      <c r="BM1524" s="6"/>
      <c r="BN1524" s="6"/>
      <c r="BO1524" s="6"/>
      <c r="BP1524" s="6"/>
      <c r="BQ1524" s="6"/>
    </row>
    <row r="1525" spans="2:69" hidden="1" x14ac:dyDescent="0.2">
      <c r="B1525" s="13"/>
      <c r="C1525" s="13"/>
      <c r="D1525" s="13"/>
      <c r="E1525" s="13"/>
      <c r="F1525" s="13"/>
      <c r="G1525" s="13"/>
      <c r="H1525" s="13"/>
      <c r="I1525" s="13"/>
      <c r="J1525" s="13"/>
      <c r="K1525" s="13"/>
      <c r="L1525" s="13"/>
      <c r="M1525" s="13"/>
      <c r="N1525" s="13"/>
      <c r="O1525" s="13"/>
      <c r="P1525" s="13"/>
      <c r="Q1525" s="13"/>
      <c r="R1525" s="13"/>
      <c r="S1525" s="13"/>
      <c r="T1525" s="13"/>
      <c r="U1525" s="13"/>
      <c r="V1525" s="13"/>
      <c r="W1525" s="13"/>
      <c r="X1525" s="13"/>
      <c r="Y1525" s="13"/>
      <c r="Z1525" s="13"/>
      <c r="AA1525" s="13"/>
      <c r="AB1525" s="13"/>
      <c r="AM1525" s="6"/>
      <c r="AN1525" s="6"/>
      <c r="AO1525" s="6"/>
      <c r="AP1525" s="6"/>
      <c r="AQ1525" s="6"/>
      <c r="AR1525" s="6"/>
      <c r="AS1525" s="6"/>
      <c r="AT1525" s="6"/>
      <c r="AU1525" s="6"/>
      <c r="AV1525" s="6"/>
      <c r="AW1525" s="6"/>
      <c r="AX1525" s="6"/>
      <c r="AY1525" s="6"/>
      <c r="AZ1525" s="6"/>
      <c r="BA1525" s="6"/>
      <c r="BB1525" s="6"/>
      <c r="BC1525" s="6"/>
      <c r="BD1525" s="6"/>
      <c r="BE1525" s="6"/>
      <c r="BF1525" s="6"/>
      <c r="BG1525" s="6"/>
      <c r="BH1525" s="6"/>
      <c r="BI1525" s="6"/>
      <c r="BJ1525" s="6"/>
      <c r="BK1525" s="6"/>
      <c r="BL1525" s="6"/>
      <c r="BM1525" s="6"/>
      <c r="BN1525" s="6"/>
      <c r="BO1525" s="6"/>
      <c r="BP1525" s="6"/>
      <c r="BQ1525" s="6"/>
    </row>
    <row r="1526" spans="2:69" hidden="1" x14ac:dyDescent="0.2">
      <c r="B1526" s="13"/>
      <c r="C1526" s="13"/>
      <c r="D1526" s="13"/>
      <c r="E1526" s="13"/>
      <c r="F1526" s="13"/>
      <c r="G1526" s="13"/>
      <c r="H1526" s="13"/>
      <c r="I1526" s="13"/>
      <c r="J1526" s="13"/>
      <c r="K1526" s="13"/>
      <c r="L1526" s="13"/>
      <c r="M1526" s="13"/>
      <c r="N1526" s="13"/>
      <c r="O1526" s="13"/>
      <c r="P1526" s="13"/>
      <c r="Q1526" s="13"/>
      <c r="R1526" s="13"/>
      <c r="S1526" s="13"/>
      <c r="T1526" s="13"/>
      <c r="U1526" s="13"/>
      <c r="V1526" s="13"/>
      <c r="W1526" s="13"/>
      <c r="X1526" s="13"/>
      <c r="Y1526" s="13"/>
      <c r="Z1526" s="13"/>
      <c r="AA1526" s="13"/>
      <c r="AB1526" s="13"/>
      <c r="AM1526" s="6"/>
      <c r="AN1526" s="6"/>
      <c r="AO1526" s="6"/>
      <c r="AP1526" s="6"/>
      <c r="AQ1526" s="6"/>
      <c r="AR1526" s="6"/>
      <c r="AS1526" s="6"/>
      <c r="AT1526" s="6"/>
      <c r="AU1526" s="6"/>
      <c r="AV1526" s="6"/>
      <c r="AW1526" s="6"/>
      <c r="AX1526" s="6"/>
      <c r="AY1526" s="6"/>
      <c r="AZ1526" s="6"/>
      <c r="BA1526" s="6"/>
      <c r="BB1526" s="6"/>
      <c r="BC1526" s="6"/>
      <c r="BD1526" s="6"/>
      <c r="BE1526" s="6"/>
      <c r="BF1526" s="6"/>
      <c r="BG1526" s="6"/>
      <c r="BH1526" s="6"/>
      <c r="BI1526" s="6"/>
      <c r="BJ1526" s="6"/>
      <c r="BK1526" s="6"/>
      <c r="BL1526" s="6"/>
      <c r="BM1526" s="6"/>
      <c r="BN1526" s="6"/>
      <c r="BO1526" s="6"/>
      <c r="BP1526" s="6"/>
      <c r="BQ1526" s="6"/>
    </row>
    <row r="1527" spans="2:69" hidden="1" x14ac:dyDescent="0.2">
      <c r="B1527" s="13"/>
      <c r="C1527" s="13"/>
      <c r="D1527" s="13"/>
      <c r="E1527" s="13"/>
      <c r="F1527" s="13"/>
      <c r="G1527" s="13"/>
      <c r="H1527" s="13"/>
      <c r="I1527" s="13"/>
      <c r="J1527" s="13"/>
      <c r="K1527" s="13"/>
      <c r="L1527" s="13"/>
      <c r="M1527" s="13"/>
      <c r="N1527" s="13"/>
      <c r="O1527" s="13"/>
      <c r="P1527" s="13"/>
      <c r="Q1527" s="13"/>
      <c r="R1527" s="13"/>
      <c r="S1527" s="13"/>
      <c r="T1527" s="13"/>
      <c r="U1527" s="13"/>
      <c r="V1527" s="13"/>
      <c r="W1527" s="13"/>
      <c r="X1527" s="13"/>
      <c r="Y1527" s="13"/>
      <c r="Z1527" s="13"/>
      <c r="AA1527" s="13"/>
      <c r="AB1527" s="13"/>
      <c r="AM1527" s="6"/>
      <c r="AN1527" s="6"/>
      <c r="AO1527" s="6"/>
      <c r="AP1527" s="6"/>
      <c r="AQ1527" s="6"/>
      <c r="AR1527" s="6"/>
      <c r="AS1527" s="6"/>
      <c r="AT1527" s="6"/>
      <c r="AU1527" s="6"/>
      <c r="AV1527" s="6"/>
      <c r="AW1527" s="6"/>
      <c r="AX1527" s="6"/>
      <c r="AY1527" s="6"/>
      <c r="AZ1527" s="6"/>
      <c r="BA1527" s="6"/>
      <c r="BB1527" s="6"/>
      <c r="BC1527" s="6"/>
      <c r="BD1527" s="6"/>
      <c r="BE1527" s="6"/>
      <c r="BF1527" s="6"/>
      <c r="BG1527" s="6"/>
      <c r="BH1527" s="6"/>
      <c r="BI1527" s="6"/>
      <c r="BJ1527" s="6"/>
      <c r="BK1527" s="6"/>
      <c r="BL1527" s="6"/>
      <c r="BM1527" s="6"/>
      <c r="BN1527" s="6"/>
      <c r="BO1527" s="6"/>
      <c r="BP1527" s="6"/>
      <c r="BQ1527" s="6"/>
    </row>
    <row r="1528" spans="2:69" hidden="1" x14ac:dyDescent="0.2">
      <c r="B1528" s="13"/>
      <c r="C1528" s="13"/>
      <c r="D1528" s="13"/>
      <c r="E1528" s="13"/>
      <c r="F1528" s="13"/>
      <c r="G1528" s="13"/>
      <c r="H1528" s="13"/>
      <c r="I1528" s="13"/>
      <c r="J1528" s="13"/>
      <c r="K1528" s="13"/>
      <c r="L1528" s="13"/>
      <c r="M1528" s="13"/>
      <c r="N1528" s="13"/>
      <c r="O1528" s="13"/>
      <c r="P1528" s="13"/>
      <c r="Q1528" s="13"/>
      <c r="R1528" s="13"/>
      <c r="S1528" s="13"/>
      <c r="T1528" s="13"/>
      <c r="U1528" s="13"/>
      <c r="V1528" s="13"/>
      <c r="W1528" s="13"/>
      <c r="X1528" s="13"/>
      <c r="Y1528" s="13"/>
      <c r="Z1528" s="13"/>
      <c r="AA1528" s="13"/>
      <c r="AB1528" s="13"/>
      <c r="AM1528" s="6"/>
      <c r="AN1528" s="6"/>
      <c r="AO1528" s="6"/>
      <c r="AP1528" s="6"/>
      <c r="AQ1528" s="6"/>
      <c r="AR1528" s="6"/>
      <c r="AS1528" s="6"/>
      <c r="AT1528" s="6"/>
      <c r="AU1528" s="6"/>
      <c r="AV1528" s="6"/>
      <c r="AW1528" s="6"/>
      <c r="AX1528" s="6"/>
      <c r="AY1528" s="6"/>
      <c r="AZ1528" s="6"/>
      <c r="BA1528" s="6"/>
      <c r="BB1528" s="6"/>
      <c r="BC1528" s="6"/>
      <c r="BD1528" s="6"/>
      <c r="BE1528" s="6"/>
      <c r="BF1528" s="6"/>
      <c r="BG1528" s="6"/>
      <c r="BH1528" s="6"/>
      <c r="BI1528" s="6"/>
      <c r="BJ1528" s="6"/>
      <c r="BK1528" s="6"/>
      <c r="BL1528" s="6"/>
      <c r="BM1528" s="6"/>
      <c r="BN1528" s="6"/>
      <c r="BO1528" s="6"/>
      <c r="BP1528" s="6"/>
      <c r="BQ1528" s="6"/>
    </row>
    <row r="1529" spans="2:69" hidden="1" x14ac:dyDescent="0.2">
      <c r="B1529" s="13"/>
      <c r="C1529" s="13"/>
      <c r="D1529" s="13"/>
      <c r="E1529" s="13"/>
      <c r="F1529" s="13"/>
      <c r="G1529" s="13"/>
      <c r="H1529" s="13"/>
      <c r="I1529" s="13"/>
      <c r="J1529" s="13"/>
      <c r="K1529" s="13"/>
      <c r="L1529" s="13"/>
      <c r="M1529" s="13"/>
      <c r="N1529" s="13"/>
      <c r="O1529" s="13"/>
      <c r="P1529" s="13"/>
      <c r="Q1529" s="13"/>
      <c r="R1529" s="13"/>
      <c r="S1529" s="13"/>
      <c r="T1529" s="13"/>
      <c r="U1529" s="13"/>
      <c r="V1529" s="13"/>
      <c r="W1529" s="13"/>
      <c r="X1529" s="13"/>
      <c r="Y1529" s="13"/>
      <c r="Z1529" s="13"/>
      <c r="AA1529" s="13"/>
      <c r="AB1529" s="13"/>
      <c r="AM1529" s="6"/>
      <c r="AN1529" s="6"/>
      <c r="AO1529" s="6"/>
      <c r="AP1529" s="6"/>
      <c r="AQ1529" s="6"/>
      <c r="AR1529" s="6"/>
      <c r="AS1529" s="6"/>
      <c r="AT1529" s="6"/>
      <c r="AU1529" s="6"/>
      <c r="AV1529" s="6"/>
      <c r="AW1529" s="6"/>
      <c r="AX1529" s="6"/>
      <c r="AY1529" s="6"/>
      <c r="AZ1529" s="6"/>
      <c r="BA1529" s="6"/>
      <c r="BB1529" s="6"/>
      <c r="BC1529" s="6"/>
      <c r="BD1529" s="6"/>
      <c r="BE1529" s="6"/>
      <c r="BF1529" s="6"/>
      <c r="BG1529" s="6"/>
      <c r="BH1529" s="6"/>
      <c r="BI1529" s="6"/>
      <c r="BJ1529" s="6"/>
      <c r="BK1529" s="6"/>
      <c r="BL1529" s="6"/>
      <c r="BM1529" s="6"/>
      <c r="BN1529" s="6"/>
      <c r="BO1529" s="6"/>
      <c r="BP1529" s="6"/>
      <c r="BQ1529" s="6"/>
    </row>
    <row r="1530" spans="2:69" hidden="1" x14ac:dyDescent="0.2">
      <c r="B1530" s="13"/>
      <c r="C1530" s="13"/>
      <c r="D1530" s="13"/>
      <c r="E1530" s="13"/>
      <c r="F1530" s="13"/>
      <c r="G1530" s="13"/>
      <c r="H1530" s="13"/>
      <c r="I1530" s="13"/>
      <c r="J1530" s="13"/>
      <c r="K1530" s="13"/>
      <c r="L1530" s="13"/>
      <c r="M1530" s="13"/>
      <c r="N1530" s="13"/>
      <c r="O1530" s="13"/>
      <c r="P1530" s="13"/>
      <c r="Q1530" s="13"/>
      <c r="R1530" s="13"/>
      <c r="S1530" s="13"/>
      <c r="T1530" s="13"/>
      <c r="U1530" s="13"/>
      <c r="V1530" s="13"/>
      <c r="W1530" s="13"/>
      <c r="X1530" s="13"/>
      <c r="Y1530" s="13"/>
      <c r="Z1530" s="13"/>
      <c r="AA1530" s="13"/>
      <c r="AB1530" s="13"/>
      <c r="AM1530" s="6"/>
      <c r="AN1530" s="6"/>
      <c r="AO1530" s="6"/>
      <c r="AP1530" s="6"/>
      <c r="AQ1530" s="6"/>
      <c r="AR1530" s="6"/>
      <c r="AS1530" s="6"/>
      <c r="AT1530" s="6"/>
      <c r="AU1530" s="6"/>
      <c r="AV1530" s="6"/>
      <c r="AW1530" s="6"/>
      <c r="AX1530" s="6"/>
      <c r="AY1530" s="6"/>
      <c r="AZ1530" s="6"/>
      <c r="BA1530" s="6"/>
      <c r="BB1530" s="6"/>
      <c r="BC1530" s="6"/>
      <c r="BD1530" s="6"/>
      <c r="BE1530" s="6"/>
      <c r="BF1530" s="6"/>
      <c r="BG1530" s="6"/>
      <c r="BH1530" s="6"/>
      <c r="BI1530" s="6"/>
      <c r="BJ1530" s="6"/>
      <c r="BK1530" s="6"/>
      <c r="BL1530" s="6"/>
      <c r="BM1530" s="6"/>
      <c r="BN1530" s="6"/>
      <c r="BO1530" s="6"/>
      <c r="BP1530" s="6"/>
      <c r="BQ1530" s="6"/>
    </row>
    <row r="1531" spans="2:69" hidden="1" x14ac:dyDescent="0.2">
      <c r="B1531" s="13"/>
      <c r="C1531" s="13"/>
      <c r="D1531" s="13"/>
      <c r="E1531" s="13"/>
      <c r="F1531" s="13"/>
      <c r="G1531" s="13"/>
      <c r="H1531" s="13"/>
      <c r="I1531" s="13"/>
      <c r="J1531" s="13"/>
      <c r="K1531" s="13"/>
      <c r="L1531" s="13"/>
      <c r="M1531" s="13"/>
      <c r="N1531" s="13"/>
      <c r="O1531" s="13"/>
      <c r="P1531" s="13"/>
      <c r="Q1531" s="13"/>
      <c r="R1531" s="13"/>
      <c r="S1531" s="13"/>
      <c r="T1531" s="13"/>
      <c r="U1531" s="13"/>
      <c r="V1531" s="13"/>
      <c r="W1531" s="13"/>
      <c r="X1531" s="13"/>
      <c r="Y1531" s="13"/>
      <c r="Z1531" s="13"/>
      <c r="AA1531" s="13"/>
      <c r="AB1531" s="13"/>
      <c r="AM1531" s="6"/>
      <c r="AN1531" s="6"/>
      <c r="AO1531" s="6"/>
      <c r="AP1531" s="6"/>
      <c r="AQ1531" s="6"/>
      <c r="AR1531" s="6"/>
      <c r="AS1531" s="6"/>
      <c r="AT1531" s="6"/>
      <c r="AU1531" s="6"/>
      <c r="AV1531" s="6"/>
      <c r="AW1531" s="6"/>
      <c r="AX1531" s="6"/>
      <c r="AY1531" s="6"/>
      <c r="AZ1531" s="6"/>
      <c r="BA1531" s="6"/>
      <c r="BB1531" s="6"/>
      <c r="BC1531" s="6"/>
      <c r="BD1531" s="6"/>
      <c r="BE1531" s="6"/>
      <c r="BF1531" s="6"/>
      <c r="BG1531" s="6"/>
      <c r="BH1531" s="6"/>
      <c r="BI1531" s="6"/>
      <c r="BJ1531" s="6"/>
      <c r="BK1531" s="6"/>
      <c r="BL1531" s="6"/>
      <c r="BM1531" s="6"/>
      <c r="BN1531" s="6"/>
      <c r="BO1531" s="6"/>
      <c r="BP1531" s="6"/>
      <c r="BQ1531" s="6"/>
    </row>
    <row r="1532" spans="2:69" hidden="1" x14ac:dyDescent="0.2">
      <c r="B1532" s="13"/>
      <c r="C1532" s="13"/>
      <c r="D1532" s="13"/>
      <c r="E1532" s="13"/>
      <c r="F1532" s="13"/>
      <c r="G1532" s="13"/>
      <c r="H1532" s="13"/>
      <c r="I1532" s="13"/>
      <c r="J1532" s="13"/>
      <c r="K1532" s="13"/>
      <c r="L1532" s="13"/>
      <c r="M1532" s="13"/>
      <c r="N1532" s="13"/>
      <c r="O1532" s="13"/>
      <c r="P1532" s="13"/>
      <c r="Q1532" s="13"/>
      <c r="R1532" s="13"/>
      <c r="S1532" s="13"/>
      <c r="T1532" s="13"/>
      <c r="U1532" s="13"/>
      <c r="V1532" s="13"/>
      <c r="W1532" s="13"/>
      <c r="X1532" s="13"/>
      <c r="Y1532" s="13"/>
      <c r="Z1532" s="13"/>
      <c r="AA1532" s="13"/>
      <c r="AB1532" s="13"/>
      <c r="AM1532" s="6"/>
      <c r="AN1532" s="6"/>
      <c r="AO1532" s="6"/>
      <c r="AP1532" s="6"/>
      <c r="AQ1532" s="6"/>
      <c r="AR1532" s="6"/>
      <c r="AS1532" s="6"/>
      <c r="AT1532" s="6"/>
      <c r="AU1532" s="6"/>
      <c r="AV1532" s="6"/>
      <c r="AW1532" s="6"/>
      <c r="AX1532" s="6"/>
      <c r="AY1532" s="6"/>
      <c r="AZ1532" s="6"/>
      <c r="BA1532" s="6"/>
      <c r="BB1532" s="6"/>
      <c r="BC1532" s="6"/>
      <c r="BD1532" s="6"/>
      <c r="BE1532" s="6"/>
      <c r="BF1532" s="6"/>
      <c r="BG1532" s="6"/>
      <c r="BH1532" s="6"/>
      <c r="BI1532" s="6"/>
      <c r="BJ1532" s="6"/>
      <c r="BK1532" s="6"/>
      <c r="BL1532" s="6"/>
      <c r="BM1532" s="6"/>
      <c r="BN1532" s="6"/>
      <c r="BO1532" s="6"/>
      <c r="BP1532" s="6"/>
      <c r="BQ1532" s="6"/>
    </row>
    <row r="1533" spans="2:69" hidden="1" x14ac:dyDescent="0.2">
      <c r="B1533" s="13"/>
      <c r="C1533" s="13"/>
      <c r="D1533" s="13"/>
      <c r="E1533" s="13"/>
      <c r="F1533" s="13"/>
      <c r="G1533" s="13"/>
      <c r="H1533" s="13"/>
      <c r="I1533" s="13"/>
      <c r="J1533" s="13"/>
      <c r="K1533" s="13"/>
      <c r="L1533" s="13"/>
      <c r="M1533" s="13"/>
      <c r="N1533" s="13"/>
      <c r="O1533" s="13"/>
      <c r="P1533" s="13"/>
      <c r="Q1533" s="13"/>
      <c r="R1533" s="13"/>
      <c r="S1533" s="13"/>
      <c r="T1533" s="13"/>
      <c r="U1533" s="13"/>
      <c r="V1533" s="13"/>
      <c r="W1533" s="13"/>
      <c r="X1533" s="13"/>
      <c r="Y1533" s="13"/>
      <c r="Z1533" s="13"/>
      <c r="AA1533" s="13"/>
      <c r="AB1533" s="13"/>
      <c r="AM1533" s="6"/>
      <c r="AN1533" s="6"/>
      <c r="AO1533" s="6"/>
      <c r="AP1533" s="6"/>
      <c r="AQ1533" s="6"/>
      <c r="AR1533" s="6"/>
      <c r="AS1533" s="6"/>
      <c r="AT1533" s="6"/>
      <c r="AU1533" s="6"/>
      <c r="AV1533" s="6"/>
      <c r="AW1533" s="6"/>
      <c r="AX1533" s="6"/>
      <c r="AY1533" s="6"/>
      <c r="AZ1533" s="6"/>
      <c r="BA1533" s="6"/>
      <c r="BB1533" s="6"/>
      <c r="BC1533" s="6"/>
      <c r="BD1533" s="6"/>
      <c r="BE1533" s="6"/>
      <c r="BF1533" s="6"/>
      <c r="BG1533" s="6"/>
      <c r="BH1533" s="6"/>
      <c r="BI1533" s="6"/>
      <c r="BJ1533" s="6"/>
      <c r="BK1533" s="6"/>
      <c r="BL1533" s="6"/>
      <c r="BM1533" s="6"/>
      <c r="BN1533" s="6"/>
      <c r="BO1533" s="6"/>
      <c r="BP1533" s="6"/>
      <c r="BQ1533" s="6"/>
    </row>
    <row r="1534" spans="2:69" hidden="1" x14ac:dyDescent="0.2">
      <c r="B1534" s="13"/>
      <c r="C1534" s="13"/>
      <c r="D1534" s="13"/>
      <c r="E1534" s="13"/>
      <c r="F1534" s="13"/>
      <c r="G1534" s="13"/>
      <c r="H1534" s="13"/>
      <c r="I1534" s="13"/>
      <c r="J1534" s="13"/>
      <c r="K1534" s="13"/>
      <c r="L1534" s="13"/>
      <c r="M1534" s="13"/>
      <c r="N1534" s="13"/>
      <c r="O1534" s="13"/>
      <c r="P1534" s="13"/>
      <c r="Q1534" s="13"/>
      <c r="R1534" s="13"/>
      <c r="S1534" s="13"/>
      <c r="T1534" s="13"/>
      <c r="U1534" s="13"/>
      <c r="V1534" s="13"/>
      <c r="W1534" s="13"/>
      <c r="X1534" s="13"/>
      <c r="Y1534" s="13"/>
      <c r="Z1534" s="13"/>
      <c r="AA1534" s="13"/>
      <c r="AB1534" s="13"/>
      <c r="AM1534" s="6"/>
      <c r="AN1534" s="6"/>
      <c r="AO1534" s="6"/>
      <c r="AP1534" s="6"/>
      <c r="AQ1534" s="6"/>
      <c r="AR1534" s="6"/>
      <c r="AS1534" s="6"/>
      <c r="AT1534" s="6"/>
      <c r="AU1534" s="6"/>
      <c r="AV1534" s="6"/>
      <c r="AW1534" s="6"/>
      <c r="AX1534" s="6"/>
      <c r="AY1534" s="6"/>
      <c r="AZ1534" s="6"/>
      <c r="BA1534" s="6"/>
      <c r="BB1534" s="6"/>
      <c r="BC1534" s="6"/>
      <c r="BD1534" s="6"/>
      <c r="BE1534" s="6"/>
      <c r="BF1534" s="6"/>
      <c r="BG1534" s="6"/>
      <c r="BH1534" s="6"/>
      <c r="BI1534" s="6"/>
      <c r="BJ1534" s="6"/>
      <c r="BK1534" s="6"/>
      <c r="BL1534" s="6"/>
      <c r="BM1534" s="6"/>
      <c r="BN1534" s="6"/>
      <c r="BO1534" s="6"/>
      <c r="BP1534" s="6"/>
      <c r="BQ1534" s="6"/>
    </row>
    <row r="1535" spans="2:69" hidden="1" x14ac:dyDescent="0.2">
      <c r="B1535" s="13"/>
      <c r="C1535" s="13"/>
      <c r="D1535" s="13"/>
      <c r="E1535" s="13"/>
      <c r="F1535" s="13"/>
      <c r="G1535" s="13"/>
      <c r="H1535" s="13"/>
      <c r="I1535" s="13"/>
      <c r="J1535" s="13"/>
      <c r="K1535" s="13"/>
      <c r="L1535" s="13"/>
      <c r="M1535" s="13"/>
      <c r="N1535" s="13"/>
      <c r="O1535" s="13"/>
      <c r="P1535" s="13"/>
      <c r="Q1535" s="13"/>
      <c r="R1535" s="13"/>
      <c r="S1535" s="13"/>
      <c r="T1535" s="13"/>
      <c r="U1535" s="13"/>
      <c r="V1535" s="13"/>
      <c r="W1535" s="13"/>
      <c r="X1535" s="13"/>
      <c r="Y1535" s="13"/>
      <c r="Z1535" s="13"/>
      <c r="AA1535" s="13"/>
      <c r="AB1535" s="13"/>
      <c r="AM1535" s="6"/>
      <c r="AN1535" s="6"/>
      <c r="AO1535" s="6"/>
      <c r="AP1535" s="6"/>
      <c r="AQ1535" s="6"/>
      <c r="AR1535" s="6"/>
      <c r="AS1535" s="6"/>
      <c r="AT1535" s="6"/>
      <c r="AU1535" s="6"/>
      <c r="AV1535" s="6"/>
      <c r="AW1535" s="6"/>
      <c r="AX1535" s="6"/>
      <c r="AY1535" s="6"/>
      <c r="AZ1535" s="6"/>
      <c r="BA1535" s="6"/>
      <c r="BB1535" s="6"/>
      <c r="BC1535" s="6"/>
      <c r="BD1535" s="6"/>
      <c r="BE1535" s="6"/>
      <c r="BF1535" s="6"/>
      <c r="BG1535" s="6"/>
      <c r="BH1535" s="6"/>
      <c r="BI1535" s="6"/>
      <c r="BJ1535" s="6"/>
      <c r="BK1535" s="6"/>
      <c r="BL1535" s="6"/>
      <c r="BM1535" s="6"/>
      <c r="BN1535" s="6"/>
      <c r="BO1535" s="6"/>
      <c r="BP1535" s="6"/>
      <c r="BQ1535" s="6"/>
    </row>
    <row r="1536" spans="2:69" hidden="1" x14ac:dyDescent="0.2">
      <c r="B1536" s="13"/>
      <c r="C1536" s="13"/>
      <c r="D1536" s="13"/>
      <c r="E1536" s="13"/>
      <c r="F1536" s="13"/>
      <c r="G1536" s="13"/>
      <c r="H1536" s="13"/>
      <c r="I1536" s="13"/>
      <c r="J1536" s="13"/>
      <c r="K1536" s="13"/>
      <c r="L1536" s="13"/>
      <c r="M1536" s="13"/>
      <c r="N1536" s="13"/>
      <c r="O1536" s="13"/>
      <c r="P1536" s="13"/>
      <c r="Q1536" s="13"/>
      <c r="R1536" s="13"/>
      <c r="S1536" s="13"/>
      <c r="T1536" s="13"/>
      <c r="U1536" s="13"/>
      <c r="V1536" s="13"/>
      <c r="W1536" s="13"/>
      <c r="X1536" s="13"/>
      <c r="Y1536" s="13"/>
      <c r="Z1536" s="13"/>
      <c r="AA1536" s="13"/>
      <c r="AB1536" s="13"/>
      <c r="AM1536" s="6"/>
      <c r="AN1536" s="6"/>
      <c r="AO1536" s="6"/>
      <c r="AP1536" s="6"/>
      <c r="AQ1536" s="6"/>
      <c r="AR1536" s="6"/>
      <c r="AS1536" s="6"/>
      <c r="AT1536" s="6"/>
      <c r="AU1536" s="6"/>
      <c r="AV1536" s="6"/>
      <c r="AW1536" s="6"/>
      <c r="AX1536" s="6"/>
      <c r="AY1536" s="6"/>
      <c r="AZ1536" s="6"/>
      <c r="BA1536" s="6"/>
      <c r="BB1536" s="6"/>
      <c r="BC1536" s="6"/>
      <c r="BD1536" s="6"/>
      <c r="BE1536" s="6"/>
      <c r="BF1536" s="6"/>
      <c r="BG1536" s="6"/>
      <c r="BH1536" s="6"/>
      <c r="BI1536" s="6"/>
      <c r="BJ1536" s="6"/>
      <c r="BK1536" s="6"/>
      <c r="BL1536" s="6"/>
      <c r="BM1536" s="6"/>
      <c r="BN1536" s="6"/>
      <c r="BO1536" s="6"/>
      <c r="BP1536" s="6"/>
      <c r="BQ1536" s="6"/>
    </row>
    <row r="1537" spans="2:69" hidden="1" x14ac:dyDescent="0.2">
      <c r="B1537" s="13"/>
      <c r="C1537" s="13"/>
      <c r="D1537" s="13"/>
      <c r="E1537" s="13"/>
      <c r="F1537" s="13"/>
      <c r="G1537" s="13"/>
      <c r="H1537" s="13"/>
      <c r="I1537" s="13"/>
      <c r="J1537" s="13"/>
      <c r="K1537" s="13"/>
      <c r="L1537" s="13"/>
      <c r="M1537" s="13"/>
      <c r="N1537" s="13"/>
      <c r="O1537" s="13"/>
      <c r="P1537" s="13"/>
      <c r="Q1537" s="13"/>
      <c r="R1537" s="13"/>
      <c r="S1537" s="13"/>
      <c r="T1537" s="13"/>
      <c r="U1537" s="13"/>
      <c r="V1537" s="13"/>
      <c r="W1537" s="13"/>
      <c r="X1537" s="13"/>
      <c r="Y1537" s="13"/>
      <c r="Z1537" s="13"/>
      <c r="AA1537" s="13"/>
      <c r="AB1537" s="13"/>
      <c r="AM1537" s="6"/>
      <c r="AN1537" s="6"/>
      <c r="AO1537" s="6"/>
      <c r="AP1537" s="6"/>
      <c r="AQ1537" s="6"/>
      <c r="AR1537" s="6"/>
      <c r="AS1537" s="6"/>
      <c r="AT1537" s="6"/>
      <c r="AU1537" s="6"/>
      <c r="AV1537" s="6"/>
      <c r="AW1537" s="6"/>
      <c r="AX1537" s="6"/>
      <c r="AY1537" s="6"/>
      <c r="AZ1537" s="6"/>
      <c r="BA1537" s="6"/>
      <c r="BB1537" s="6"/>
      <c r="BC1537" s="6"/>
      <c r="BD1537" s="6"/>
      <c r="BE1537" s="6"/>
      <c r="BF1537" s="6"/>
      <c r="BG1537" s="6"/>
      <c r="BH1537" s="6"/>
      <c r="BI1537" s="6"/>
      <c r="BJ1537" s="6"/>
      <c r="BK1537" s="6"/>
      <c r="BL1537" s="6"/>
      <c r="BM1537" s="6"/>
      <c r="BN1537" s="6"/>
      <c r="BO1537" s="6"/>
      <c r="BP1537" s="6"/>
      <c r="BQ1537" s="6"/>
    </row>
    <row r="1538" spans="2:69" hidden="1" x14ac:dyDescent="0.2">
      <c r="B1538" s="13"/>
      <c r="C1538" s="13"/>
      <c r="D1538" s="13"/>
      <c r="E1538" s="13"/>
      <c r="F1538" s="13"/>
      <c r="G1538" s="13"/>
      <c r="H1538" s="13"/>
      <c r="I1538" s="13"/>
      <c r="J1538" s="13"/>
      <c r="K1538" s="13"/>
      <c r="L1538" s="13"/>
      <c r="M1538" s="13"/>
      <c r="N1538" s="13"/>
      <c r="O1538" s="13"/>
      <c r="P1538" s="13"/>
      <c r="Q1538" s="13"/>
      <c r="R1538" s="13"/>
      <c r="S1538" s="13"/>
      <c r="T1538" s="13"/>
      <c r="U1538" s="13"/>
      <c r="V1538" s="13"/>
      <c r="W1538" s="13"/>
      <c r="X1538" s="13"/>
      <c r="Y1538" s="13"/>
      <c r="Z1538" s="13"/>
      <c r="AA1538" s="13"/>
      <c r="AB1538" s="13"/>
      <c r="AM1538" s="6"/>
      <c r="AN1538" s="6"/>
      <c r="AO1538" s="6"/>
      <c r="AP1538" s="6"/>
      <c r="AQ1538" s="6"/>
      <c r="AR1538" s="6"/>
      <c r="AS1538" s="6"/>
      <c r="AT1538" s="6"/>
      <c r="AU1538" s="6"/>
      <c r="AV1538" s="6"/>
      <c r="AW1538" s="6"/>
      <c r="AX1538" s="6"/>
      <c r="AY1538" s="6"/>
      <c r="AZ1538" s="6"/>
      <c r="BA1538" s="6"/>
      <c r="BB1538" s="6"/>
      <c r="BC1538" s="6"/>
      <c r="BD1538" s="6"/>
      <c r="BE1538" s="6"/>
      <c r="BF1538" s="6"/>
      <c r="BG1538" s="6"/>
      <c r="BH1538" s="6"/>
      <c r="BI1538" s="6"/>
      <c r="BJ1538" s="6"/>
      <c r="BK1538" s="6"/>
      <c r="BL1538" s="6"/>
      <c r="BM1538" s="6"/>
      <c r="BN1538" s="6"/>
      <c r="BO1538" s="6"/>
      <c r="BP1538" s="6"/>
      <c r="BQ1538" s="6"/>
    </row>
    <row r="1539" spans="2:69" hidden="1" x14ac:dyDescent="0.2">
      <c r="B1539" s="13"/>
      <c r="C1539" s="13"/>
      <c r="D1539" s="13"/>
      <c r="E1539" s="13"/>
      <c r="F1539" s="13"/>
      <c r="G1539" s="13"/>
      <c r="H1539" s="13"/>
      <c r="I1539" s="13"/>
      <c r="J1539" s="13"/>
      <c r="K1539" s="13"/>
      <c r="L1539" s="13"/>
      <c r="M1539" s="13"/>
      <c r="N1539" s="13"/>
      <c r="O1539" s="13"/>
      <c r="P1539" s="13"/>
      <c r="Q1539" s="13"/>
      <c r="R1539" s="13"/>
      <c r="S1539" s="13"/>
      <c r="T1539" s="13"/>
      <c r="U1539" s="13"/>
      <c r="V1539" s="13"/>
      <c r="W1539" s="13"/>
      <c r="X1539" s="13"/>
      <c r="Y1539" s="13"/>
      <c r="Z1539" s="13"/>
      <c r="AA1539" s="13"/>
      <c r="AB1539" s="13"/>
      <c r="AM1539" s="6"/>
      <c r="AN1539" s="6"/>
      <c r="AO1539" s="6"/>
      <c r="AP1539" s="6"/>
      <c r="AQ1539" s="6"/>
      <c r="AR1539" s="6"/>
      <c r="AS1539" s="6"/>
      <c r="AT1539" s="6"/>
      <c r="AU1539" s="6"/>
      <c r="AV1539" s="6"/>
      <c r="AW1539" s="6"/>
      <c r="AX1539" s="6"/>
      <c r="AY1539" s="6"/>
      <c r="AZ1539" s="6"/>
      <c r="BA1539" s="6"/>
      <c r="BB1539" s="6"/>
      <c r="BC1539" s="6"/>
      <c r="BD1539" s="6"/>
      <c r="BE1539" s="6"/>
      <c r="BF1539" s="6"/>
      <c r="BG1539" s="6"/>
      <c r="BH1539" s="6"/>
      <c r="BI1539" s="6"/>
      <c r="BJ1539" s="6"/>
      <c r="BK1539" s="6"/>
      <c r="BL1539" s="6"/>
      <c r="BM1539" s="6"/>
      <c r="BN1539" s="6"/>
      <c r="BO1539" s="6"/>
      <c r="BP1539" s="6"/>
      <c r="BQ1539" s="6"/>
    </row>
    <row r="1540" spans="2:69" hidden="1" x14ac:dyDescent="0.2">
      <c r="B1540" s="13"/>
      <c r="C1540" s="13"/>
      <c r="D1540" s="13"/>
      <c r="E1540" s="13"/>
      <c r="F1540" s="13"/>
      <c r="G1540" s="13"/>
      <c r="H1540" s="13"/>
      <c r="I1540" s="13"/>
      <c r="J1540" s="13"/>
      <c r="K1540" s="13"/>
      <c r="L1540" s="13"/>
      <c r="M1540" s="13"/>
      <c r="N1540" s="13"/>
      <c r="O1540" s="13"/>
      <c r="P1540" s="13"/>
      <c r="Q1540" s="13"/>
      <c r="R1540" s="13"/>
      <c r="S1540" s="13"/>
      <c r="T1540" s="13"/>
      <c r="U1540" s="13"/>
      <c r="V1540" s="13"/>
      <c r="W1540" s="13"/>
      <c r="X1540" s="13"/>
      <c r="Y1540" s="13"/>
      <c r="Z1540" s="13"/>
      <c r="AA1540" s="13"/>
      <c r="AB1540" s="13"/>
      <c r="AM1540" s="6"/>
      <c r="AN1540" s="6"/>
      <c r="AO1540" s="6"/>
      <c r="AP1540" s="6"/>
      <c r="AQ1540" s="6"/>
      <c r="AR1540" s="6"/>
      <c r="AS1540" s="6"/>
      <c r="AT1540" s="6"/>
      <c r="AU1540" s="6"/>
      <c r="AV1540" s="6"/>
      <c r="AW1540" s="6"/>
      <c r="AX1540" s="6"/>
      <c r="AY1540" s="6"/>
      <c r="AZ1540" s="6"/>
      <c r="BA1540" s="6"/>
      <c r="BB1540" s="6"/>
      <c r="BC1540" s="6"/>
      <c r="BD1540" s="6"/>
      <c r="BE1540" s="6"/>
      <c r="BF1540" s="6"/>
      <c r="BG1540" s="6"/>
      <c r="BH1540" s="6"/>
      <c r="BI1540" s="6"/>
      <c r="BJ1540" s="6"/>
      <c r="BK1540" s="6"/>
      <c r="BL1540" s="6"/>
      <c r="BM1540" s="6"/>
      <c r="BN1540" s="6"/>
      <c r="BO1540" s="6"/>
      <c r="BP1540" s="6"/>
      <c r="BQ1540" s="6"/>
    </row>
    <row r="1541" spans="2:69" hidden="1" x14ac:dyDescent="0.2">
      <c r="B1541" s="13"/>
      <c r="C1541" s="13"/>
      <c r="D1541" s="13"/>
      <c r="E1541" s="13"/>
      <c r="F1541" s="13"/>
      <c r="G1541" s="13"/>
      <c r="H1541" s="13"/>
      <c r="I1541" s="13"/>
      <c r="J1541" s="13"/>
      <c r="K1541" s="13"/>
      <c r="L1541" s="13"/>
      <c r="M1541" s="13"/>
      <c r="N1541" s="13"/>
      <c r="O1541" s="13"/>
      <c r="P1541" s="13"/>
      <c r="Q1541" s="13"/>
      <c r="R1541" s="13"/>
      <c r="S1541" s="13"/>
      <c r="T1541" s="13"/>
      <c r="U1541" s="13"/>
      <c r="V1541" s="13"/>
      <c r="W1541" s="13"/>
      <c r="X1541" s="13"/>
      <c r="Y1541" s="13"/>
      <c r="Z1541" s="13"/>
      <c r="AA1541" s="13"/>
      <c r="AB1541" s="13"/>
      <c r="AM1541" s="6"/>
      <c r="AN1541" s="6"/>
      <c r="AO1541" s="6"/>
      <c r="AP1541" s="6"/>
      <c r="AQ1541" s="6"/>
      <c r="AR1541" s="6"/>
      <c r="AS1541" s="6"/>
      <c r="AT1541" s="6"/>
      <c r="AU1541" s="6"/>
      <c r="AV1541" s="6"/>
      <c r="AW1541" s="6"/>
      <c r="AX1541" s="6"/>
      <c r="AY1541" s="6"/>
      <c r="AZ1541" s="6"/>
      <c r="BA1541" s="6"/>
      <c r="BB1541" s="6"/>
      <c r="BC1541" s="6"/>
      <c r="BD1541" s="6"/>
      <c r="BE1541" s="6"/>
      <c r="BF1541" s="6"/>
      <c r="BG1541" s="6"/>
      <c r="BH1541" s="6"/>
      <c r="BI1541" s="6"/>
      <c r="BJ1541" s="6"/>
      <c r="BK1541" s="6"/>
      <c r="BL1541" s="6"/>
      <c r="BM1541" s="6"/>
      <c r="BN1541" s="6"/>
      <c r="BO1541" s="6"/>
      <c r="BP1541" s="6"/>
      <c r="BQ1541" s="6"/>
    </row>
    <row r="1542" spans="2:69" hidden="1" x14ac:dyDescent="0.2">
      <c r="B1542" s="13"/>
      <c r="C1542" s="13"/>
      <c r="D1542" s="13"/>
      <c r="E1542" s="13"/>
      <c r="F1542" s="13"/>
      <c r="G1542" s="13"/>
      <c r="H1542" s="13"/>
      <c r="I1542" s="13"/>
      <c r="J1542" s="13"/>
      <c r="K1542" s="13"/>
      <c r="L1542" s="13"/>
      <c r="M1542" s="13"/>
      <c r="N1542" s="13"/>
      <c r="O1542" s="13"/>
      <c r="P1542" s="13"/>
      <c r="Q1542" s="13"/>
      <c r="R1542" s="13"/>
      <c r="S1542" s="13"/>
      <c r="T1542" s="13"/>
      <c r="U1542" s="13"/>
      <c r="V1542" s="13"/>
      <c r="W1542" s="13"/>
      <c r="X1542" s="13"/>
      <c r="Y1542" s="13"/>
      <c r="Z1542" s="13"/>
      <c r="AA1542" s="13"/>
      <c r="AB1542" s="13"/>
      <c r="AM1542" s="6"/>
      <c r="AN1542" s="6"/>
      <c r="AO1542" s="6"/>
      <c r="AP1542" s="6"/>
      <c r="AQ1542" s="6"/>
      <c r="AR1542" s="6"/>
      <c r="AS1542" s="6"/>
      <c r="AT1542" s="6"/>
      <c r="AU1542" s="6"/>
      <c r="AV1542" s="6"/>
      <c r="AW1542" s="6"/>
      <c r="AX1542" s="6"/>
      <c r="AY1542" s="6"/>
      <c r="AZ1542" s="6"/>
      <c r="BA1542" s="6"/>
      <c r="BB1542" s="6"/>
      <c r="BC1542" s="6"/>
      <c r="BD1542" s="6"/>
      <c r="BE1542" s="6"/>
      <c r="BF1542" s="6"/>
      <c r="BG1542" s="6"/>
      <c r="BH1542" s="6"/>
      <c r="BI1542" s="6"/>
      <c r="BJ1542" s="6"/>
      <c r="BK1542" s="6"/>
      <c r="BL1542" s="6"/>
      <c r="BM1542" s="6"/>
      <c r="BN1542" s="6"/>
      <c r="BO1542" s="6"/>
      <c r="BP1542" s="6"/>
      <c r="BQ1542" s="6"/>
    </row>
    <row r="1543" spans="2:69" hidden="1" x14ac:dyDescent="0.2">
      <c r="B1543" s="13"/>
      <c r="C1543" s="13"/>
      <c r="D1543" s="13"/>
      <c r="E1543" s="13"/>
      <c r="F1543" s="13"/>
      <c r="G1543" s="13"/>
      <c r="H1543" s="13"/>
      <c r="I1543" s="13"/>
      <c r="J1543" s="13"/>
      <c r="K1543" s="13"/>
      <c r="L1543" s="13"/>
      <c r="M1543" s="13"/>
      <c r="N1543" s="13"/>
      <c r="O1543" s="13"/>
      <c r="P1543" s="13"/>
      <c r="Q1543" s="13"/>
      <c r="R1543" s="13"/>
      <c r="S1543" s="13"/>
      <c r="T1543" s="13"/>
      <c r="U1543" s="13"/>
      <c r="V1543" s="13"/>
      <c r="W1543" s="13"/>
      <c r="X1543" s="13"/>
      <c r="Y1543" s="13"/>
      <c r="Z1543" s="13"/>
      <c r="AA1543" s="13"/>
      <c r="AB1543" s="13"/>
      <c r="AM1543" s="6"/>
      <c r="AN1543" s="6"/>
      <c r="AO1543" s="6"/>
      <c r="AP1543" s="6"/>
      <c r="AQ1543" s="6"/>
      <c r="AR1543" s="6"/>
      <c r="AS1543" s="6"/>
      <c r="AT1543" s="6"/>
      <c r="AU1543" s="6"/>
      <c r="AV1543" s="6"/>
      <c r="AW1543" s="6"/>
      <c r="AX1543" s="6"/>
      <c r="AY1543" s="6"/>
      <c r="AZ1543" s="6"/>
      <c r="BA1543" s="6"/>
      <c r="BB1543" s="6"/>
      <c r="BC1543" s="6"/>
      <c r="BD1543" s="6"/>
      <c r="BE1543" s="6"/>
      <c r="BF1543" s="6"/>
      <c r="BG1543" s="6"/>
      <c r="BH1543" s="6"/>
      <c r="BI1543" s="6"/>
      <c r="BJ1543" s="6"/>
      <c r="BK1543" s="6"/>
      <c r="BL1543" s="6"/>
      <c r="BM1543" s="6"/>
      <c r="BN1543" s="6"/>
      <c r="BO1543" s="6"/>
      <c r="BP1543" s="6"/>
      <c r="BQ1543" s="6"/>
    </row>
    <row r="1544" spans="2:69" hidden="1" x14ac:dyDescent="0.2">
      <c r="B1544" s="13"/>
      <c r="C1544" s="13"/>
      <c r="D1544" s="13"/>
      <c r="E1544" s="13"/>
      <c r="F1544" s="13"/>
      <c r="G1544" s="13"/>
      <c r="H1544" s="13"/>
      <c r="I1544" s="13"/>
      <c r="J1544" s="13"/>
      <c r="K1544" s="13"/>
      <c r="L1544" s="13"/>
      <c r="M1544" s="13"/>
      <c r="N1544" s="13"/>
      <c r="O1544" s="13"/>
      <c r="P1544" s="13"/>
      <c r="Q1544" s="13"/>
      <c r="R1544" s="13"/>
      <c r="S1544" s="13"/>
      <c r="T1544" s="13"/>
      <c r="U1544" s="13"/>
      <c r="V1544" s="13"/>
      <c r="W1544" s="13"/>
      <c r="X1544" s="13"/>
      <c r="Y1544" s="13"/>
      <c r="Z1544" s="13"/>
      <c r="AA1544" s="13"/>
      <c r="AB1544" s="13"/>
      <c r="AM1544" s="6"/>
      <c r="AN1544" s="6"/>
      <c r="AO1544" s="6"/>
      <c r="AP1544" s="6"/>
      <c r="AQ1544" s="6"/>
      <c r="AR1544" s="6"/>
      <c r="AS1544" s="6"/>
      <c r="AT1544" s="6"/>
      <c r="AU1544" s="6"/>
      <c r="AV1544" s="6"/>
      <c r="AW1544" s="6"/>
      <c r="AX1544" s="6"/>
      <c r="AY1544" s="6"/>
      <c r="AZ1544" s="6"/>
      <c r="BA1544" s="6"/>
      <c r="BB1544" s="6"/>
      <c r="BC1544" s="6"/>
      <c r="BD1544" s="6"/>
      <c r="BE1544" s="6"/>
      <c r="BF1544" s="6"/>
      <c r="BG1544" s="6"/>
      <c r="BH1544" s="6"/>
      <c r="BI1544" s="6"/>
      <c r="BJ1544" s="6"/>
      <c r="BK1544" s="6"/>
      <c r="BL1544" s="6"/>
      <c r="BM1544" s="6"/>
      <c r="BN1544" s="6"/>
      <c r="BO1544" s="6"/>
      <c r="BP1544" s="6"/>
      <c r="BQ1544" s="6"/>
    </row>
    <row r="1545" spans="2:69" hidden="1" x14ac:dyDescent="0.2">
      <c r="B1545" s="13"/>
      <c r="C1545" s="13"/>
      <c r="D1545" s="13"/>
      <c r="E1545" s="13"/>
      <c r="F1545" s="13"/>
      <c r="G1545" s="13"/>
      <c r="H1545" s="13"/>
      <c r="I1545" s="13"/>
      <c r="J1545" s="13"/>
      <c r="K1545" s="13"/>
      <c r="L1545" s="13"/>
      <c r="M1545" s="13"/>
      <c r="N1545" s="13"/>
      <c r="O1545" s="13"/>
      <c r="P1545" s="13"/>
      <c r="Q1545" s="13"/>
      <c r="R1545" s="13"/>
      <c r="S1545" s="13"/>
      <c r="T1545" s="13"/>
      <c r="U1545" s="13"/>
      <c r="V1545" s="13"/>
      <c r="W1545" s="13"/>
      <c r="X1545" s="13"/>
      <c r="Y1545" s="13"/>
      <c r="Z1545" s="13"/>
      <c r="AA1545" s="13"/>
      <c r="AB1545" s="13"/>
      <c r="AM1545" s="6"/>
      <c r="AN1545" s="6"/>
      <c r="AO1545" s="6"/>
      <c r="AP1545" s="6"/>
      <c r="AQ1545" s="6"/>
      <c r="AR1545" s="6"/>
      <c r="AS1545" s="6"/>
      <c r="AT1545" s="6"/>
      <c r="AU1545" s="6"/>
      <c r="AV1545" s="6"/>
      <c r="AW1545" s="6"/>
      <c r="AX1545" s="6"/>
      <c r="AY1545" s="6"/>
      <c r="AZ1545" s="6"/>
      <c r="BA1545" s="6"/>
      <c r="BB1545" s="6"/>
      <c r="BC1545" s="6"/>
      <c r="BD1545" s="6"/>
      <c r="BE1545" s="6"/>
      <c r="BF1545" s="6"/>
      <c r="BG1545" s="6"/>
      <c r="BH1545" s="6"/>
      <c r="BI1545" s="6"/>
      <c r="BJ1545" s="6"/>
      <c r="BK1545" s="6"/>
      <c r="BL1545" s="6"/>
      <c r="BM1545" s="6"/>
      <c r="BN1545" s="6"/>
      <c r="BO1545" s="6"/>
      <c r="BP1545" s="6"/>
      <c r="BQ1545" s="6"/>
    </row>
    <row r="1546" spans="2:69" hidden="1" x14ac:dyDescent="0.2">
      <c r="B1546" s="13"/>
      <c r="C1546" s="13"/>
      <c r="D1546" s="13"/>
      <c r="E1546" s="13"/>
      <c r="F1546" s="13"/>
      <c r="G1546" s="13"/>
      <c r="H1546" s="13"/>
      <c r="I1546" s="13"/>
      <c r="J1546" s="13"/>
      <c r="K1546" s="13"/>
      <c r="L1546" s="13"/>
      <c r="M1546" s="13"/>
      <c r="N1546" s="13"/>
      <c r="O1546" s="13"/>
      <c r="P1546" s="13"/>
      <c r="Q1546" s="13"/>
      <c r="R1546" s="13"/>
      <c r="S1546" s="13"/>
      <c r="T1546" s="13"/>
      <c r="U1546" s="13"/>
      <c r="V1546" s="13"/>
      <c r="W1546" s="13"/>
      <c r="X1546" s="13"/>
      <c r="Y1546" s="13"/>
      <c r="Z1546" s="13"/>
      <c r="AA1546" s="13"/>
      <c r="AB1546" s="13"/>
      <c r="AM1546" s="6"/>
      <c r="AN1546" s="6"/>
      <c r="AO1546" s="6"/>
      <c r="AP1546" s="6"/>
      <c r="AQ1546" s="6"/>
      <c r="AR1546" s="6"/>
      <c r="AS1546" s="6"/>
      <c r="AT1546" s="6"/>
      <c r="AU1546" s="6"/>
      <c r="AV1546" s="6"/>
      <c r="AW1546" s="6"/>
      <c r="AX1546" s="6"/>
      <c r="AY1546" s="6"/>
      <c r="AZ1546" s="6"/>
      <c r="BA1546" s="6"/>
      <c r="BB1546" s="6"/>
      <c r="BC1546" s="6"/>
      <c r="BD1546" s="6"/>
      <c r="BE1546" s="6"/>
      <c r="BF1546" s="6"/>
      <c r="BG1546" s="6"/>
      <c r="BH1546" s="6"/>
      <c r="BI1546" s="6"/>
      <c r="BJ1546" s="6"/>
      <c r="BK1546" s="6"/>
      <c r="BL1546" s="6"/>
      <c r="BM1546" s="6"/>
      <c r="BN1546" s="6"/>
      <c r="BO1546" s="6"/>
      <c r="BP1546" s="6"/>
      <c r="BQ1546" s="6"/>
    </row>
    <row r="1547" spans="2:69" hidden="1" x14ac:dyDescent="0.2">
      <c r="B1547" s="13"/>
      <c r="C1547" s="13"/>
      <c r="D1547" s="13"/>
      <c r="E1547" s="13"/>
      <c r="F1547" s="13"/>
      <c r="G1547" s="13"/>
      <c r="H1547" s="13"/>
      <c r="I1547" s="13"/>
      <c r="J1547" s="13"/>
      <c r="K1547" s="13"/>
      <c r="L1547" s="13"/>
      <c r="M1547" s="13"/>
      <c r="N1547" s="13"/>
      <c r="O1547" s="13"/>
      <c r="P1547" s="13"/>
      <c r="Q1547" s="13"/>
      <c r="R1547" s="13"/>
      <c r="S1547" s="13"/>
      <c r="T1547" s="13"/>
      <c r="U1547" s="13"/>
      <c r="V1547" s="13"/>
      <c r="W1547" s="13"/>
      <c r="X1547" s="13"/>
      <c r="Y1547" s="13"/>
      <c r="Z1547" s="13"/>
      <c r="AA1547" s="13"/>
      <c r="AB1547" s="13"/>
      <c r="AM1547" s="6"/>
      <c r="AN1547" s="6"/>
      <c r="AO1547" s="6"/>
      <c r="AP1547" s="6"/>
      <c r="AQ1547" s="6"/>
      <c r="AR1547" s="6"/>
      <c r="AS1547" s="6"/>
      <c r="AT1547" s="6"/>
      <c r="AU1547" s="6"/>
      <c r="AV1547" s="6"/>
      <c r="AW1547" s="6"/>
      <c r="AX1547" s="6"/>
      <c r="AY1547" s="6"/>
      <c r="AZ1547" s="6"/>
      <c r="BA1547" s="6"/>
      <c r="BB1547" s="6"/>
      <c r="BC1547" s="6"/>
      <c r="BD1547" s="6"/>
      <c r="BE1547" s="6"/>
      <c r="BF1547" s="6"/>
      <c r="BG1547" s="6"/>
      <c r="BH1547" s="6"/>
      <c r="BI1547" s="6"/>
      <c r="BJ1547" s="6"/>
      <c r="BK1547" s="6"/>
      <c r="BL1547" s="6"/>
      <c r="BM1547" s="6"/>
      <c r="BN1547" s="6"/>
      <c r="BO1547" s="6"/>
      <c r="BP1547" s="6"/>
      <c r="BQ1547" s="6"/>
    </row>
    <row r="1548" spans="2:69" hidden="1" x14ac:dyDescent="0.2">
      <c r="B1548" s="13"/>
      <c r="C1548" s="13"/>
      <c r="D1548" s="13"/>
      <c r="E1548" s="13"/>
      <c r="F1548" s="13"/>
      <c r="G1548" s="13"/>
      <c r="H1548" s="13"/>
      <c r="I1548" s="13"/>
      <c r="J1548" s="13"/>
      <c r="K1548" s="13"/>
      <c r="L1548" s="13"/>
      <c r="M1548" s="13"/>
      <c r="N1548" s="13"/>
      <c r="O1548" s="13"/>
      <c r="P1548" s="13"/>
      <c r="Q1548" s="13"/>
      <c r="R1548" s="13"/>
      <c r="S1548" s="13"/>
      <c r="T1548" s="13"/>
      <c r="U1548" s="13"/>
      <c r="V1548" s="13"/>
      <c r="W1548" s="13"/>
      <c r="X1548" s="13"/>
      <c r="Y1548" s="13"/>
      <c r="Z1548" s="13"/>
      <c r="AA1548" s="13"/>
      <c r="AB1548" s="13"/>
      <c r="AM1548" s="6"/>
      <c r="AN1548" s="6"/>
      <c r="AO1548" s="6"/>
      <c r="AP1548" s="6"/>
      <c r="AQ1548" s="6"/>
      <c r="AR1548" s="6"/>
      <c r="AS1548" s="6"/>
      <c r="AT1548" s="6"/>
      <c r="AU1548" s="6"/>
      <c r="AV1548" s="6"/>
      <c r="AW1548" s="6"/>
      <c r="AX1548" s="6"/>
      <c r="AY1548" s="6"/>
      <c r="AZ1548" s="6"/>
      <c r="BA1548" s="6"/>
      <c r="BB1548" s="6"/>
      <c r="BC1548" s="6"/>
      <c r="BD1548" s="6"/>
      <c r="BE1548" s="6"/>
      <c r="BF1548" s="6"/>
      <c r="BG1548" s="6"/>
      <c r="BH1548" s="6"/>
      <c r="BI1548" s="6"/>
      <c r="BJ1548" s="6"/>
      <c r="BK1548" s="6"/>
      <c r="BL1548" s="6"/>
      <c r="BM1548" s="6"/>
      <c r="BN1548" s="6"/>
      <c r="BO1548" s="6"/>
      <c r="BP1548" s="6"/>
      <c r="BQ1548" s="6"/>
    </row>
    <row r="1549" spans="2:69" hidden="1" x14ac:dyDescent="0.2">
      <c r="B1549" s="13"/>
      <c r="C1549" s="13"/>
      <c r="D1549" s="13"/>
      <c r="E1549" s="13"/>
      <c r="F1549" s="13"/>
      <c r="G1549" s="13"/>
      <c r="H1549" s="13"/>
      <c r="I1549" s="13"/>
      <c r="J1549" s="13"/>
      <c r="K1549" s="13"/>
      <c r="L1549" s="13"/>
      <c r="M1549" s="13"/>
      <c r="N1549" s="13"/>
      <c r="O1549" s="13"/>
      <c r="P1549" s="13"/>
      <c r="Q1549" s="13"/>
      <c r="R1549" s="13"/>
      <c r="S1549" s="13"/>
      <c r="T1549" s="13"/>
      <c r="U1549" s="13"/>
      <c r="V1549" s="13"/>
      <c r="W1549" s="13"/>
      <c r="X1549" s="13"/>
      <c r="Y1549" s="13"/>
      <c r="Z1549" s="13"/>
      <c r="AA1549" s="13"/>
      <c r="AB1549" s="13"/>
      <c r="AM1549" s="6"/>
      <c r="AN1549" s="6"/>
      <c r="AO1549" s="6"/>
      <c r="AP1549" s="6"/>
      <c r="AQ1549" s="6"/>
      <c r="AR1549" s="6"/>
      <c r="AS1549" s="6"/>
      <c r="AT1549" s="6"/>
      <c r="AU1549" s="6"/>
      <c r="AV1549" s="6"/>
      <c r="AW1549" s="6"/>
      <c r="AX1549" s="6"/>
      <c r="AY1549" s="6"/>
      <c r="AZ1549" s="6"/>
      <c r="BA1549" s="6"/>
      <c r="BB1549" s="6"/>
      <c r="BC1549" s="6"/>
      <c r="BD1549" s="6"/>
      <c r="BE1549" s="6"/>
      <c r="BF1549" s="6"/>
      <c r="BG1549" s="6"/>
      <c r="BH1549" s="6"/>
      <c r="BI1549" s="6"/>
      <c r="BJ1549" s="6"/>
      <c r="BK1549" s="6"/>
      <c r="BL1549" s="6"/>
      <c r="BM1549" s="6"/>
      <c r="BN1549" s="6"/>
      <c r="BO1549" s="6"/>
      <c r="BP1549" s="6"/>
      <c r="BQ1549" s="6"/>
    </row>
    <row r="1550" spans="2:69" hidden="1" x14ac:dyDescent="0.2">
      <c r="B1550" s="13"/>
      <c r="C1550" s="13"/>
      <c r="D1550" s="13"/>
      <c r="E1550" s="13"/>
      <c r="F1550" s="13"/>
      <c r="G1550" s="13"/>
      <c r="H1550" s="13"/>
      <c r="I1550" s="13"/>
      <c r="J1550" s="13"/>
      <c r="K1550" s="13"/>
      <c r="L1550" s="13"/>
      <c r="M1550" s="13"/>
      <c r="N1550" s="13"/>
      <c r="O1550" s="13"/>
      <c r="P1550" s="13"/>
      <c r="Q1550" s="13"/>
      <c r="R1550" s="13"/>
      <c r="S1550" s="13"/>
      <c r="T1550" s="13"/>
      <c r="U1550" s="13"/>
      <c r="V1550" s="13"/>
      <c r="W1550" s="13"/>
      <c r="X1550" s="13"/>
      <c r="Y1550" s="13"/>
      <c r="Z1550" s="13"/>
      <c r="AA1550" s="13"/>
      <c r="AB1550" s="13"/>
      <c r="AM1550" s="6"/>
      <c r="AN1550" s="6"/>
      <c r="AO1550" s="6"/>
      <c r="AP1550" s="6"/>
      <c r="AQ1550" s="6"/>
      <c r="AR1550" s="6"/>
      <c r="AS1550" s="6"/>
      <c r="AT1550" s="6"/>
      <c r="AU1550" s="6"/>
      <c r="AV1550" s="6"/>
      <c r="AW1550" s="6"/>
      <c r="AX1550" s="6"/>
      <c r="AY1550" s="6"/>
      <c r="AZ1550" s="6"/>
      <c r="BA1550" s="6"/>
      <c r="BB1550" s="6"/>
      <c r="BC1550" s="6"/>
      <c r="BD1550" s="6"/>
      <c r="BE1550" s="6"/>
      <c r="BF1550" s="6"/>
      <c r="BG1550" s="6"/>
      <c r="BH1550" s="6"/>
      <c r="BI1550" s="6"/>
      <c r="BJ1550" s="6"/>
      <c r="BK1550" s="6"/>
      <c r="BL1550" s="6"/>
      <c r="BM1550" s="6"/>
      <c r="BN1550" s="6"/>
      <c r="BO1550" s="6"/>
      <c r="BP1550" s="6"/>
      <c r="BQ1550" s="6"/>
    </row>
    <row r="1551" spans="2:69" hidden="1" x14ac:dyDescent="0.2">
      <c r="B1551" s="13"/>
      <c r="C1551" s="13"/>
      <c r="D1551" s="13"/>
      <c r="E1551" s="13"/>
      <c r="F1551" s="13"/>
      <c r="G1551" s="13"/>
      <c r="H1551" s="13"/>
      <c r="I1551" s="13"/>
      <c r="J1551" s="13"/>
      <c r="K1551" s="13"/>
      <c r="L1551" s="13"/>
      <c r="M1551" s="13"/>
      <c r="N1551" s="13"/>
      <c r="O1551" s="13"/>
      <c r="P1551" s="13"/>
      <c r="Q1551" s="13"/>
      <c r="R1551" s="13"/>
      <c r="S1551" s="13"/>
      <c r="T1551" s="13"/>
      <c r="U1551" s="13"/>
      <c r="V1551" s="13"/>
      <c r="W1551" s="13"/>
      <c r="X1551" s="13"/>
      <c r="Y1551" s="13"/>
      <c r="Z1551" s="13"/>
      <c r="AA1551" s="13"/>
      <c r="AB1551" s="13"/>
      <c r="AM1551" s="6"/>
      <c r="AN1551" s="6"/>
      <c r="AO1551" s="6"/>
      <c r="AP1551" s="6"/>
      <c r="AQ1551" s="6"/>
      <c r="AR1551" s="6"/>
      <c r="AS1551" s="6"/>
      <c r="AT1551" s="6"/>
      <c r="AU1551" s="6"/>
      <c r="AV1551" s="6"/>
      <c r="AW1551" s="6"/>
      <c r="AX1551" s="6"/>
      <c r="AY1551" s="6"/>
      <c r="AZ1551" s="6"/>
      <c r="BA1551" s="6"/>
      <c r="BB1551" s="6"/>
      <c r="BC1551" s="6"/>
      <c r="BD1551" s="6"/>
      <c r="BE1551" s="6"/>
      <c r="BF1551" s="6"/>
      <c r="BG1551" s="6"/>
      <c r="BH1551" s="6"/>
      <c r="BI1551" s="6"/>
      <c r="BJ1551" s="6"/>
      <c r="BK1551" s="6"/>
      <c r="BL1551" s="6"/>
      <c r="BM1551" s="6"/>
      <c r="BN1551" s="6"/>
      <c r="BO1551" s="6"/>
      <c r="BP1551" s="6"/>
      <c r="BQ1551" s="6"/>
    </row>
    <row r="1552" spans="2:69" hidden="1" x14ac:dyDescent="0.2">
      <c r="B1552" s="13"/>
      <c r="C1552" s="13"/>
      <c r="D1552" s="13"/>
      <c r="E1552" s="13"/>
      <c r="F1552" s="13"/>
      <c r="G1552" s="13"/>
      <c r="H1552" s="13"/>
      <c r="I1552" s="13"/>
      <c r="J1552" s="13"/>
      <c r="K1552" s="13"/>
      <c r="L1552" s="13"/>
      <c r="M1552" s="13"/>
      <c r="N1552" s="13"/>
      <c r="O1552" s="13"/>
      <c r="P1552" s="13"/>
      <c r="Q1552" s="13"/>
      <c r="R1552" s="13"/>
      <c r="S1552" s="13"/>
      <c r="T1552" s="13"/>
      <c r="U1552" s="13"/>
      <c r="V1552" s="13"/>
      <c r="W1552" s="13"/>
      <c r="X1552" s="13"/>
      <c r="Y1552" s="13"/>
      <c r="Z1552" s="13"/>
      <c r="AA1552" s="13"/>
      <c r="AB1552" s="13"/>
      <c r="AM1552" s="6"/>
      <c r="AN1552" s="6"/>
      <c r="AO1552" s="6"/>
      <c r="AP1552" s="6"/>
      <c r="AQ1552" s="6"/>
      <c r="AR1552" s="6"/>
      <c r="AS1552" s="6"/>
      <c r="AT1552" s="6"/>
      <c r="AU1552" s="6"/>
      <c r="AV1552" s="6"/>
      <c r="AW1552" s="6"/>
      <c r="AX1552" s="6"/>
      <c r="AY1552" s="6"/>
      <c r="AZ1552" s="6"/>
      <c r="BA1552" s="6"/>
      <c r="BB1552" s="6"/>
      <c r="BC1552" s="6"/>
      <c r="BD1552" s="6"/>
      <c r="BE1552" s="6"/>
      <c r="BF1552" s="6"/>
      <c r="BG1552" s="6"/>
      <c r="BH1552" s="6"/>
      <c r="BI1552" s="6"/>
      <c r="BJ1552" s="6"/>
      <c r="BK1552" s="6"/>
      <c r="BL1552" s="6"/>
      <c r="BM1552" s="6"/>
      <c r="BN1552" s="6"/>
      <c r="BO1552" s="6"/>
      <c r="BP1552" s="6"/>
      <c r="BQ1552" s="6"/>
    </row>
    <row r="1553" spans="2:69" hidden="1" x14ac:dyDescent="0.2">
      <c r="B1553" s="13"/>
      <c r="C1553" s="13"/>
      <c r="D1553" s="13"/>
      <c r="E1553" s="13"/>
      <c r="F1553" s="13"/>
      <c r="G1553" s="13"/>
      <c r="H1553" s="13"/>
      <c r="I1553" s="13"/>
      <c r="J1553" s="13"/>
      <c r="K1553" s="13"/>
      <c r="L1553" s="13"/>
      <c r="M1553" s="13"/>
      <c r="N1553" s="13"/>
      <c r="O1553" s="13"/>
      <c r="P1553" s="13"/>
      <c r="Q1553" s="13"/>
      <c r="R1553" s="13"/>
      <c r="S1553" s="13"/>
      <c r="T1553" s="13"/>
      <c r="U1553" s="13"/>
      <c r="V1553" s="13"/>
      <c r="W1553" s="13"/>
      <c r="X1553" s="13"/>
      <c r="Y1553" s="13"/>
      <c r="Z1553" s="13"/>
      <c r="AA1553" s="13"/>
      <c r="AB1553" s="13"/>
      <c r="AM1553" s="6"/>
      <c r="AN1553" s="6"/>
      <c r="AO1553" s="6"/>
      <c r="AP1553" s="6"/>
      <c r="AQ1553" s="6"/>
      <c r="AR1553" s="6"/>
      <c r="AS1553" s="6"/>
      <c r="AT1553" s="6"/>
      <c r="AU1553" s="6"/>
      <c r="AV1553" s="6"/>
      <c r="AW1553" s="6"/>
      <c r="AX1553" s="6"/>
      <c r="AY1553" s="6"/>
      <c r="AZ1553" s="6"/>
      <c r="BA1553" s="6"/>
      <c r="BB1553" s="6"/>
      <c r="BC1553" s="6"/>
      <c r="BD1553" s="6"/>
      <c r="BE1553" s="6"/>
      <c r="BF1553" s="6"/>
      <c r="BG1553" s="6"/>
      <c r="BH1553" s="6"/>
      <c r="BI1553" s="6"/>
      <c r="BJ1553" s="6"/>
      <c r="BK1553" s="6"/>
      <c r="BL1553" s="6"/>
      <c r="BM1553" s="6"/>
      <c r="BN1553" s="6"/>
      <c r="BO1553" s="6"/>
      <c r="BP1553" s="6"/>
      <c r="BQ1553" s="6"/>
    </row>
    <row r="1554" spans="2:69" hidden="1" x14ac:dyDescent="0.2">
      <c r="B1554" s="13"/>
      <c r="C1554" s="13"/>
      <c r="D1554" s="13"/>
      <c r="E1554" s="13"/>
      <c r="F1554" s="13"/>
      <c r="G1554" s="13"/>
      <c r="H1554" s="13"/>
      <c r="I1554" s="13"/>
      <c r="J1554" s="13"/>
      <c r="K1554" s="13"/>
      <c r="L1554" s="13"/>
      <c r="M1554" s="13"/>
      <c r="N1554" s="13"/>
      <c r="O1554" s="13"/>
      <c r="P1554" s="13"/>
      <c r="Q1554" s="13"/>
      <c r="R1554" s="13"/>
      <c r="S1554" s="13"/>
      <c r="T1554" s="13"/>
      <c r="U1554" s="13"/>
      <c r="V1554" s="13"/>
      <c r="W1554" s="13"/>
      <c r="X1554" s="13"/>
      <c r="Y1554" s="13"/>
      <c r="Z1554" s="13"/>
      <c r="AA1554" s="13"/>
      <c r="AB1554" s="13"/>
      <c r="AM1554" s="6"/>
      <c r="AN1554" s="6"/>
      <c r="AO1554" s="6"/>
      <c r="AP1554" s="6"/>
      <c r="AQ1554" s="6"/>
      <c r="AR1554" s="6"/>
      <c r="AS1554" s="6"/>
      <c r="AT1554" s="6"/>
      <c r="AU1554" s="6"/>
      <c r="AV1554" s="6"/>
      <c r="AW1554" s="6"/>
      <c r="AX1554" s="6"/>
      <c r="AY1554" s="6"/>
      <c r="AZ1554" s="6"/>
      <c r="BA1554" s="6"/>
      <c r="BB1554" s="6"/>
      <c r="BC1554" s="6"/>
      <c r="BD1554" s="6"/>
      <c r="BE1554" s="6"/>
      <c r="BF1554" s="6"/>
      <c r="BG1554" s="6"/>
      <c r="BH1554" s="6"/>
      <c r="BI1554" s="6"/>
      <c r="BJ1554" s="6"/>
      <c r="BK1554" s="6"/>
      <c r="BL1554" s="6"/>
      <c r="BM1554" s="6"/>
      <c r="BN1554" s="6"/>
      <c r="BO1554" s="6"/>
      <c r="BP1554" s="6"/>
      <c r="BQ1554" s="6"/>
    </row>
    <row r="1555" spans="2:69" hidden="1" x14ac:dyDescent="0.2">
      <c r="B1555" s="13"/>
      <c r="C1555" s="13"/>
      <c r="D1555" s="13"/>
      <c r="E1555" s="13"/>
      <c r="F1555" s="13"/>
      <c r="G1555" s="13"/>
      <c r="H1555" s="13"/>
      <c r="I1555" s="13"/>
      <c r="J1555" s="13"/>
      <c r="K1555" s="13"/>
      <c r="L1555" s="13"/>
      <c r="M1555" s="13"/>
      <c r="N1555" s="13"/>
      <c r="O1555" s="13"/>
      <c r="P1555" s="13"/>
      <c r="Q1555" s="13"/>
      <c r="R1555" s="13"/>
      <c r="S1555" s="13"/>
      <c r="T1555" s="13"/>
      <c r="U1555" s="13"/>
      <c r="V1555" s="13"/>
      <c r="W1555" s="13"/>
      <c r="X1555" s="13"/>
      <c r="Y1555" s="13"/>
      <c r="Z1555" s="13"/>
      <c r="AA1555" s="13"/>
      <c r="AB1555" s="13"/>
      <c r="AM1555" s="6"/>
      <c r="AN1555" s="6"/>
      <c r="AO1555" s="6"/>
      <c r="AP1555" s="6"/>
      <c r="AQ1555" s="6"/>
      <c r="AR1555" s="6"/>
      <c r="AS1555" s="6"/>
      <c r="AT1555" s="6"/>
      <c r="AU1555" s="6"/>
      <c r="AV1555" s="6"/>
      <c r="AW1555" s="6"/>
      <c r="AX1555" s="6"/>
      <c r="AY1555" s="6"/>
      <c r="AZ1555" s="6"/>
      <c r="BA1555" s="6"/>
      <c r="BB1555" s="6"/>
      <c r="BC1555" s="6"/>
      <c r="BD1555" s="6"/>
      <c r="BE1555" s="6"/>
      <c r="BF1555" s="6"/>
      <c r="BG1555" s="6"/>
      <c r="BH1555" s="6"/>
      <c r="BI1555" s="6"/>
      <c r="BJ1555" s="6"/>
      <c r="BK1555" s="6"/>
      <c r="BL1555" s="6"/>
      <c r="BM1555" s="6"/>
      <c r="BN1555" s="6"/>
      <c r="BO1555" s="6"/>
      <c r="BP1555" s="6"/>
      <c r="BQ1555" s="6"/>
    </row>
    <row r="1556" spans="2:69" hidden="1" x14ac:dyDescent="0.2">
      <c r="B1556" s="13"/>
      <c r="C1556" s="13"/>
      <c r="D1556" s="13"/>
      <c r="E1556" s="13"/>
      <c r="F1556" s="13"/>
      <c r="G1556" s="13"/>
      <c r="H1556" s="13"/>
      <c r="I1556" s="13"/>
      <c r="J1556" s="13"/>
      <c r="K1556" s="13"/>
      <c r="L1556" s="13"/>
      <c r="M1556" s="13"/>
      <c r="N1556" s="13"/>
      <c r="O1556" s="13"/>
      <c r="P1556" s="13"/>
      <c r="Q1556" s="13"/>
      <c r="R1556" s="13"/>
      <c r="S1556" s="13"/>
      <c r="T1556" s="13"/>
      <c r="U1556" s="13"/>
      <c r="V1556" s="13"/>
      <c r="W1556" s="13"/>
      <c r="X1556" s="13"/>
      <c r="Y1556" s="13"/>
      <c r="Z1556" s="13"/>
      <c r="AA1556" s="13"/>
      <c r="AB1556" s="13"/>
      <c r="AM1556" s="6"/>
      <c r="AN1556" s="6"/>
      <c r="AO1556" s="6"/>
      <c r="AP1556" s="6"/>
      <c r="AQ1556" s="6"/>
      <c r="AR1556" s="6"/>
      <c r="AS1556" s="6"/>
      <c r="AT1556" s="6"/>
      <c r="AU1556" s="6"/>
      <c r="AV1556" s="6"/>
      <c r="AW1556" s="6"/>
      <c r="AX1556" s="6"/>
      <c r="AY1556" s="6"/>
      <c r="AZ1556" s="6"/>
      <c r="BA1556" s="6"/>
      <c r="BB1556" s="6"/>
      <c r="BC1556" s="6"/>
      <c r="BD1556" s="6"/>
      <c r="BE1556" s="6"/>
      <c r="BF1556" s="6"/>
      <c r="BG1556" s="6"/>
      <c r="BH1556" s="6"/>
      <c r="BI1556" s="6"/>
      <c r="BJ1556" s="6"/>
      <c r="BK1556" s="6"/>
      <c r="BL1556" s="6"/>
      <c r="BM1556" s="6"/>
      <c r="BN1556" s="6"/>
      <c r="BO1556" s="6"/>
      <c r="BP1556" s="6"/>
      <c r="BQ1556" s="6"/>
    </row>
    <row r="1557" spans="2:69" hidden="1" x14ac:dyDescent="0.2">
      <c r="B1557" s="13"/>
      <c r="C1557" s="13"/>
      <c r="D1557" s="13"/>
      <c r="E1557" s="13"/>
      <c r="F1557" s="13"/>
      <c r="G1557" s="13"/>
      <c r="H1557" s="13"/>
      <c r="I1557" s="13"/>
      <c r="J1557" s="13"/>
      <c r="K1557" s="13"/>
      <c r="L1557" s="13"/>
      <c r="M1557" s="13"/>
      <c r="N1557" s="13"/>
      <c r="O1557" s="13"/>
      <c r="P1557" s="13"/>
      <c r="Q1557" s="13"/>
      <c r="R1557" s="13"/>
      <c r="S1557" s="13"/>
      <c r="T1557" s="13"/>
      <c r="U1557" s="13"/>
      <c r="V1557" s="13"/>
      <c r="W1557" s="13"/>
      <c r="X1557" s="13"/>
      <c r="Y1557" s="13"/>
      <c r="Z1557" s="13"/>
      <c r="AA1557" s="13"/>
      <c r="AB1557" s="13"/>
      <c r="AM1557" s="6"/>
      <c r="AN1557" s="6"/>
      <c r="AO1557" s="6"/>
      <c r="AP1557" s="6"/>
      <c r="AQ1557" s="6"/>
      <c r="AR1557" s="6"/>
      <c r="AS1557" s="6"/>
      <c r="AT1557" s="6"/>
      <c r="AU1557" s="6"/>
      <c r="AV1557" s="6"/>
      <c r="AW1557" s="6"/>
      <c r="AX1557" s="6"/>
      <c r="AY1557" s="6"/>
      <c r="AZ1557" s="6"/>
      <c r="BA1557" s="6"/>
      <c r="BB1557" s="6"/>
      <c r="BC1557" s="6"/>
      <c r="BD1557" s="6"/>
      <c r="BE1557" s="6"/>
      <c r="BF1557" s="6"/>
      <c r="BG1557" s="6"/>
      <c r="BH1557" s="6"/>
      <c r="BI1557" s="6"/>
      <c r="BJ1557" s="6"/>
      <c r="BK1557" s="6"/>
      <c r="BL1557" s="6"/>
      <c r="BM1557" s="6"/>
      <c r="BN1557" s="6"/>
      <c r="BO1557" s="6"/>
      <c r="BP1557" s="6"/>
      <c r="BQ1557" s="6"/>
    </row>
    <row r="1558" spans="2:69" hidden="1" x14ac:dyDescent="0.2">
      <c r="B1558" s="13"/>
      <c r="C1558" s="13"/>
      <c r="D1558" s="13"/>
      <c r="E1558" s="13"/>
      <c r="F1558" s="13"/>
      <c r="G1558" s="13"/>
      <c r="H1558" s="13"/>
      <c r="I1558" s="13"/>
      <c r="J1558" s="13"/>
      <c r="K1558" s="13"/>
      <c r="L1558" s="13"/>
      <c r="M1558" s="13"/>
      <c r="N1558" s="13"/>
      <c r="O1558" s="13"/>
      <c r="P1558" s="13"/>
      <c r="Q1558" s="13"/>
      <c r="R1558" s="13"/>
      <c r="S1558" s="13"/>
      <c r="T1558" s="13"/>
      <c r="U1558" s="13"/>
      <c r="V1558" s="13"/>
      <c r="W1558" s="13"/>
      <c r="X1558" s="13"/>
      <c r="Y1558" s="13"/>
      <c r="Z1558" s="13"/>
      <c r="AA1558" s="13"/>
      <c r="AB1558" s="13"/>
      <c r="AM1558" s="6"/>
      <c r="AN1558" s="6"/>
      <c r="AO1558" s="6"/>
      <c r="AP1558" s="6"/>
      <c r="AQ1558" s="6"/>
      <c r="AR1558" s="6"/>
      <c r="AS1558" s="6"/>
      <c r="AT1558" s="6"/>
      <c r="AU1558" s="6"/>
      <c r="AV1558" s="6"/>
      <c r="AW1558" s="6"/>
      <c r="AX1558" s="6"/>
      <c r="AY1558" s="6"/>
      <c r="AZ1558" s="6"/>
      <c r="BA1558" s="6"/>
      <c r="BB1558" s="6"/>
      <c r="BC1558" s="6"/>
      <c r="BD1558" s="6"/>
      <c r="BE1558" s="6"/>
      <c r="BF1558" s="6"/>
      <c r="BG1558" s="6"/>
      <c r="BH1558" s="6"/>
      <c r="BI1558" s="6"/>
      <c r="BJ1558" s="6"/>
      <c r="BK1558" s="6"/>
      <c r="BL1558" s="6"/>
      <c r="BM1558" s="6"/>
      <c r="BN1558" s="6"/>
      <c r="BO1558" s="6"/>
      <c r="BP1558" s="6"/>
      <c r="BQ1558" s="6"/>
    </row>
    <row r="1559" spans="2:69" hidden="1" x14ac:dyDescent="0.2">
      <c r="B1559" s="13"/>
      <c r="C1559" s="13"/>
      <c r="D1559" s="13"/>
      <c r="E1559" s="13"/>
      <c r="F1559" s="13"/>
      <c r="G1559" s="13"/>
      <c r="H1559" s="13"/>
      <c r="I1559" s="13"/>
      <c r="J1559" s="13"/>
      <c r="K1559" s="13"/>
      <c r="L1559" s="13"/>
      <c r="M1559" s="13"/>
      <c r="N1559" s="13"/>
      <c r="O1559" s="13"/>
      <c r="P1559" s="13"/>
      <c r="Q1559" s="13"/>
      <c r="R1559" s="13"/>
      <c r="S1559" s="13"/>
      <c r="T1559" s="13"/>
      <c r="U1559" s="13"/>
      <c r="V1559" s="13"/>
      <c r="W1559" s="13"/>
      <c r="X1559" s="13"/>
      <c r="Y1559" s="13"/>
      <c r="Z1559" s="13"/>
      <c r="AA1559" s="13"/>
      <c r="AB1559" s="13"/>
      <c r="AM1559" s="6"/>
      <c r="AN1559" s="6"/>
      <c r="AO1559" s="6"/>
      <c r="AP1559" s="6"/>
      <c r="AQ1559" s="6"/>
      <c r="AR1559" s="6"/>
      <c r="AS1559" s="6"/>
      <c r="AT1559" s="6"/>
      <c r="AU1559" s="6"/>
      <c r="AV1559" s="6"/>
      <c r="AW1559" s="6"/>
      <c r="AX1559" s="6"/>
      <c r="AY1559" s="6"/>
      <c r="AZ1559" s="6"/>
      <c r="BA1559" s="6"/>
      <c r="BB1559" s="6"/>
      <c r="BC1559" s="6"/>
      <c r="BD1559" s="6"/>
      <c r="BE1559" s="6"/>
      <c r="BF1559" s="6"/>
      <c r="BG1559" s="6"/>
      <c r="BH1559" s="6"/>
      <c r="BI1559" s="6"/>
      <c r="BJ1559" s="6"/>
      <c r="BK1559" s="6"/>
      <c r="BL1559" s="6"/>
      <c r="BM1559" s="6"/>
      <c r="BN1559" s="6"/>
      <c r="BO1559" s="6"/>
      <c r="BP1559" s="6"/>
      <c r="BQ1559" s="6"/>
    </row>
    <row r="1560" spans="2:69" hidden="1" x14ac:dyDescent="0.2">
      <c r="B1560" s="13"/>
      <c r="C1560" s="13"/>
      <c r="D1560" s="13"/>
      <c r="E1560" s="13"/>
      <c r="F1560" s="13"/>
      <c r="G1560" s="13"/>
      <c r="H1560" s="13"/>
      <c r="I1560" s="13"/>
      <c r="J1560" s="13"/>
      <c r="K1560" s="13"/>
      <c r="L1560" s="13"/>
      <c r="M1560" s="13"/>
      <c r="N1560" s="13"/>
      <c r="O1560" s="13"/>
      <c r="P1560" s="13"/>
      <c r="Q1560" s="13"/>
      <c r="R1560" s="13"/>
      <c r="S1560" s="13"/>
      <c r="T1560" s="13"/>
      <c r="U1560" s="13"/>
      <c r="V1560" s="13"/>
      <c r="W1560" s="13"/>
      <c r="X1560" s="13"/>
      <c r="Y1560" s="13"/>
      <c r="Z1560" s="13"/>
      <c r="AA1560" s="13"/>
      <c r="AB1560" s="13"/>
      <c r="AM1560" s="6"/>
      <c r="AN1560" s="6"/>
      <c r="AO1560" s="6"/>
      <c r="AP1560" s="6"/>
      <c r="AQ1560" s="6"/>
      <c r="AR1560" s="6"/>
      <c r="AS1560" s="6"/>
      <c r="AT1560" s="6"/>
      <c r="AU1560" s="6"/>
      <c r="AV1560" s="6"/>
      <c r="AW1560" s="6"/>
      <c r="AX1560" s="6"/>
      <c r="AY1560" s="6"/>
      <c r="AZ1560" s="6"/>
      <c r="BA1560" s="6"/>
      <c r="BB1560" s="6"/>
      <c r="BC1560" s="6"/>
      <c r="BD1560" s="6"/>
      <c r="BE1560" s="6"/>
      <c r="BF1560" s="6"/>
      <c r="BG1560" s="6"/>
      <c r="BH1560" s="6"/>
      <c r="BI1560" s="6"/>
      <c r="BJ1560" s="6"/>
      <c r="BK1560" s="6"/>
      <c r="BL1560" s="6"/>
      <c r="BM1560" s="6"/>
      <c r="BN1560" s="6"/>
      <c r="BO1560" s="6"/>
      <c r="BP1560" s="6"/>
      <c r="BQ1560" s="6"/>
    </row>
    <row r="1561" spans="2:69" hidden="1" x14ac:dyDescent="0.2">
      <c r="B1561" s="13"/>
      <c r="C1561" s="13"/>
      <c r="D1561" s="13"/>
      <c r="E1561" s="13"/>
      <c r="F1561" s="13"/>
      <c r="G1561" s="13"/>
      <c r="H1561" s="13"/>
      <c r="I1561" s="13"/>
      <c r="J1561" s="13"/>
      <c r="K1561" s="13"/>
      <c r="L1561" s="13"/>
      <c r="M1561" s="13"/>
      <c r="N1561" s="13"/>
      <c r="O1561" s="13"/>
      <c r="P1561" s="13"/>
      <c r="Q1561" s="13"/>
      <c r="R1561" s="13"/>
      <c r="S1561" s="13"/>
      <c r="T1561" s="13"/>
      <c r="U1561" s="13"/>
      <c r="V1561" s="13"/>
      <c r="W1561" s="13"/>
      <c r="X1561" s="13"/>
      <c r="Y1561" s="13"/>
      <c r="Z1561" s="13"/>
      <c r="AA1561" s="13"/>
      <c r="AB1561" s="13"/>
      <c r="AM1561" s="6"/>
      <c r="AN1561" s="6"/>
      <c r="AO1561" s="6"/>
      <c r="AP1561" s="6"/>
      <c r="AQ1561" s="6"/>
      <c r="AR1561" s="6"/>
      <c r="AS1561" s="6"/>
      <c r="AT1561" s="6"/>
      <c r="AU1561" s="6"/>
      <c r="AV1561" s="6"/>
      <c r="AW1561" s="6"/>
      <c r="AX1561" s="6"/>
      <c r="AY1561" s="6"/>
      <c r="AZ1561" s="6"/>
      <c r="BA1561" s="6"/>
      <c r="BB1561" s="6"/>
      <c r="BC1561" s="6"/>
      <c r="BD1561" s="6"/>
      <c r="BE1561" s="6"/>
      <c r="BF1561" s="6"/>
      <c r="BG1561" s="6"/>
      <c r="BH1561" s="6"/>
      <c r="BI1561" s="6"/>
      <c r="BJ1561" s="6"/>
      <c r="BK1561" s="6"/>
      <c r="BL1561" s="6"/>
      <c r="BM1561" s="6"/>
      <c r="BN1561" s="6"/>
      <c r="BO1561" s="6"/>
      <c r="BP1561" s="6"/>
      <c r="BQ1561" s="6"/>
    </row>
    <row r="1562" spans="2:69" hidden="1" x14ac:dyDescent="0.2">
      <c r="B1562" s="13"/>
      <c r="C1562" s="13"/>
      <c r="D1562" s="13"/>
      <c r="E1562" s="13"/>
      <c r="F1562" s="13"/>
      <c r="G1562" s="13"/>
      <c r="H1562" s="13"/>
      <c r="I1562" s="13"/>
      <c r="J1562" s="13"/>
      <c r="K1562" s="13"/>
      <c r="L1562" s="13"/>
      <c r="M1562" s="13"/>
      <c r="N1562" s="13"/>
      <c r="O1562" s="13"/>
      <c r="P1562" s="13"/>
      <c r="Q1562" s="13"/>
      <c r="R1562" s="13"/>
      <c r="S1562" s="13"/>
      <c r="T1562" s="13"/>
      <c r="U1562" s="13"/>
      <c r="V1562" s="13"/>
      <c r="W1562" s="13"/>
      <c r="X1562" s="13"/>
      <c r="Y1562" s="13"/>
      <c r="Z1562" s="13"/>
      <c r="AA1562" s="13"/>
      <c r="AB1562" s="13"/>
      <c r="AM1562" s="6"/>
      <c r="AN1562" s="6"/>
      <c r="AO1562" s="6"/>
      <c r="AP1562" s="6"/>
      <c r="AQ1562" s="6"/>
      <c r="AR1562" s="6"/>
      <c r="AS1562" s="6"/>
      <c r="AT1562" s="6"/>
      <c r="AU1562" s="6"/>
      <c r="AV1562" s="6"/>
      <c r="AW1562" s="6"/>
      <c r="AX1562" s="6"/>
      <c r="AY1562" s="6"/>
      <c r="AZ1562" s="6"/>
      <c r="BA1562" s="6"/>
      <c r="BB1562" s="6"/>
      <c r="BC1562" s="6"/>
      <c r="BD1562" s="6"/>
      <c r="BE1562" s="6"/>
      <c r="BF1562" s="6"/>
      <c r="BG1562" s="6"/>
      <c r="BH1562" s="6"/>
      <c r="BI1562" s="6"/>
      <c r="BJ1562" s="6"/>
      <c r="BK1562" s="6"/>
      <c r="BL1562" s="6"/>
      <c r="BM1562" s="6"/>
      <c r="BN1562" s="6"/>
      <c r="BO1562" s="6"/>
      <c r="BP1562" s="6"/>
      <c r="BQ1562" s="6"/>
    </row>
    <row r="1563" spans="2:69" hidden="1" x14ac:dyDescent="0.2">
      <c r="B1563" s="13"/>
      <c r="C1563" s="13"/>
      <c r="D1563" s="13"/>
      <c r="E1563" s="13"/>
      <c r="F1563" s="13"/>
      <c r="G1563" s="13"/>
      <c r="H1563" s="13"/>
      <c r="I1563" s="13"/>
      <c r="J1563" s="13"/>
      <c r="K1563" s="13"/>
      <c r="L1563" s="13"/>
      <c r="M1563" s="13"/>
      <c r="N1563" s="13"/>
      <c r="O1563" s="13"/>
      <c r="P1563" s="13"/>
      <c r="Q1563" s="13"/>
      <c r="R1563" s="13"/>
      <c r="S1563" s="13"/>
      <c r="T1563" s="13"/>
      <c r="U1563" s="13"/>
      <c r="V1563" s="13"/>
      <c r="W1563" s="13"/>
      <c r="X1563" s="13"/>
      <c r="Y1563" s="13"/>
      <c r="Z1563" s="13"/>
      <c r="AA1563" s="13"/>
      <c r="AB1563" s="13"/>
      <c r="AM1563" s="6"/>
      <c r="AN1563" s="6"/>
      <c r="AO1563" s="6"/>
      <c r="AP1563" s="6"/>
      <c r="AQ1563" s="6"/>
      <c r="AR1563" s="6"/>
      <c r="AS1563" s="6"/>
      <c r="AT1563" s="6"/>
      <c r="AU1563" s="6"/>
      <c r="AV1563" s="6"/>
      <c r="AW1563" s="6"/>
      <c r="AX1563" s="6"/>
      <c r="AY1563" s="6"/>
      <c r="AZ1563" s="6"/>
      <c r="BA1563" s="6"/>
      <c r="BB1563" s="6"/>
      <c r="BC1563" s="6"/>
      <c r="BD1563" s="6"/>
      <c r="BE1563" s="6"/>
      <c r="BF1563" s="6"/>
      <c r="BG1563" s="6"/>
      <c r="BH1563" s="6"/>
      <c r="BI1563" s="6"/>
      <c r="BJ1563" s="6"/>
      <c r="BK1563" s="6"/>
      <c r="BL1563" s="6"/>
      <c r="BM1563" s="6"/>
      <c r="BN1563" s="6"/>
      <c r="BO1563" s="6"/>
      <c r="BP1563" s="6"/>
      <c r="BQ1563" s="6"/>
    </row>
    <row r="1564" spans="2:69" hidden="1" x14ac:dyDescent="0.2">
      <c r="B1564" s="13"/>
      <c r="C1564" s="13"/>
      <c r="D1564" s="13"/>
      <c r="E1564" s="13"/>
      <c r="F1564" s="13"/>
      <c r="G1564" s="13"/>
      <c r="H1564" s="13"/>
      <c r="I1564" s="13"/>
      <c r="J1564" s="13"/>
      <c r="K1564" s="13"/>
      <c r="L1564" s="13"/>
      <c r="M1564" s="13"/>
      <c r="N1564" s="13"/>
      <c r="O1564" s="13"/>
      <c r="P1564" s="13"/>
      <c r="Q1564" s="13"/>
      <c r="R1564" s="13"/>
      <c r="S1564" s="13"/>
      <c r="T1564" s="13"/>
      <c r="U1564" s="13"/>
      <c r="V1564" s="13"/>
      <c r="W1564" s="13"/>
      <c r="X1564" s="13"/>
      <c r="Y1564" s="13"/>
      <c r="Z1564" s="13"/>
      <c r="AA1564" s="13"/>
      <c r="AB1564" s="13"/>
      <c r="AM1564" s="6"/>
      <c r="AN1564" s="6"/>
      <c r="AO1564" s="6"/>
      <c r="AP1564" s="6"/>
      <c r="AQ1564" s="6"/>
      <c r="AR1564" s="6"/>
      <c r="AS1564" s="6"/>
      <c r="AT1564" s="6"/>
      <c r="AU1564" s="6"/>
      <c r="AV1564" s="6"/>
      <c r="AW1564" s="6"/>
      <c r="AX1564" s="6"/>
      <c r="AY1564" s="6"/>
      <c r="AZ1564" s="6"/>
      <c r="BA1564" s="6"/>
      <c r="BB1564" s="6"/>
      <c r="BC1564" s="6"/>
      <c r="BD1564" s="6"/>
      <c r="BE1564" s="6"/>
      <c r="BF1564" s="6"/>
      <c r="BG1564" s="6"/>
      <c r="BH1564" s="6"/>
      <c r="BI1564" s="6"/>
      <c r="BJ1564" s="6"/>
      <c r="BK1564" s="6"/>
      <c r="BL1564" s="6"/>
      <c r="BM1564" s="6"/>
      <c r="BN1564" s="6"/>
      <c r="BO1564" s="6"/>
      <c r="BP1564" s="6"/>
      <c r="BQ1564" s="6"/>
    </row>
    <row r="1565" spans="2:69" hidden="1" x14ac:dyDescent="0.2">
      <c r="B1565" s="13"/>
      <c r="C1565" s="13"/>
      <c r="D1565" s="13"/>
      <c r="E1565" s="13"/>
      <c r="F1565" s="13"/>
      <c r="G1565" s="13"/>
      <c r="H1565" s="13"/>
      <c r="I1565" s="13"/>
      <c r="J1565" s="13"/>
      <c r="K1565" s="13"/>
      <c r="L1565" s="13"/>
      <c r="M1565" s="13"/>
      <c r="N1565" s="13"/>
      <c r="O1565" s="13"/>
      <c r="P1565" s="13"/>
      <c r="Q1565" s="13"/>
      <c r="R1565" s="13"/>
      <c r="S1565" s="13"/>
      <c r="T1565" s="13"/>
      <c r="U1565" s="13"/>
      <c r="V1565" s="13"/>
      <c r="W1565" s="13"/>
      <c r="X1565" s="13"/>
      <c r="Y1565" s="13"/>
      <c r="Z1565" s="13"/>
      <c r="AA1565" s="13"/>
      <c r="AB1565" s="13"/>
      <c r="AM1565" s="6"/>
      <c r="AN1565" s="6"/>
      <c r="AO1565" s="6"/>
      <c r="AP1565" s="6"/>
      <c r="AQ1565" s="6"/>
      <c r="AR1565" s="6"/>
      <c r="AS1565" s="6"/>
      <c r="AT1565" s="6"/>
      <c r="AU1565" s="6"/>
      <c r="AV1565" s="6"/>
      <c r="AW1565" s="6"/>
      <c r="AX1565" s="6"/>
      <c r="AY1565" s="6"/>
      <c r="AZ1565" s="6"/>
      <c r="BA1565" s="6"/>
      <c r="BB1565" s="6"/>
      <c r="BC1565" s="6"/>
      <c r="BD1565" s="6"/>
      <c r="BE1565" s="6"/>
      <c r="BF1565" s="6"/>
      <c r="BG1565" s="6"/>
      <c r="BH1565" s="6"/>
      <c r="BI1565" s="6"/>
      <c r="BJ1565" s="6"/>
      <c r="BK1565" s="6"/>
      <c r="BL1565" s="6"/>
      <c r="BM1565" s="6"/>
      <c r="BN1565" s="6"/>
      <c r="BO1565" s="6"/>
      <c r="BP1565" s="6"/>
      <c r="BQ1565" s="6"/>
    </row>
    <row r="1566" spans="2:69" hidden="1" x14ac:dyDescent="0.2">
      <c r="B1566" s="13"/>
      <c r="C1566" s="13"/>
      <c r="D1566" s="13"/>
      <c r="E1566" s="13"/>
      <c r="F1566" s="13"/>
      <c r="G1566" s="13"/>
      <c r="H1566" s="13"/>
      <c r="I1566" s="13"/>
      <c r="J1566" s="13"/>
      <c r="K1566" s="13"/>
      <c r="L1566" s="13"/>
      <c r="M1566" s="13"/>
      <c r="N1566" s="13"/>
      <c r="O1566" s="13"/>
      <c r="P1566" s="13"/>
      <c r="Q1566" s="13"/>
      <c r="R1566" s="13"/>
      <c r="S1566" s="13"/>
      <c r="T1566" s="13"/>
      <c r="U1566" s="13"/>
      <c r="V1566" s="13"/>
      <c r="W1566" s="13"/>
      <c r="X1566" s="13"/>
      <c r="Y1566" s="13"/>
      <c r="Z1566" s="13"/>
      <c r="AA1566" s="13"/>
      <c r="AB1566" s="13"/>
      <c r="AM1566" s="6"/>
      <c r="AN1566" s="6"/>
      <c r="AO1566" s="6"/>
      <c r="AP1566" s="6"/>
      <c r="AQ1566" s="6"/>
      <c r="AR1566" s="6"/>
      <c r="AS1566" s="6"/>
      <c r="AT1566" s="6"/>
      <c r="AU1566" s="6"/>
      <c r="AV1566" s="6"/>
      <c r="AW1566" s="6"/>
      <c r="AX1566" s="6"/>
      <c r="AY1566" s="6"/>
      <c r="AZ1566" s="6"/>
      <c r="BA1566" s="6"/>
      <c r="BB1566" s="6"/>
      <c r="BC1566" s="6"/>
      <c r="BD1566" s="6"/>
      <c r="BE1566" s="6"/>
      <c r="BF1566" s="6"/>
      <c r="BG1566" s="6"/>
      <c r="BH1566" s="6"/>
      <c r="BI1566" s="6"/>
      <c r="BJ1566" s="6"/>
      <c r="BK1566" s="6"/>
      <c r="BL1566" s="6"/>
      <c r="BM1566" s="6"/>
      <c r="BN1566" s="6"/>
      <c r="BO1566" s="6"/>
      <c r="BP1566" s="6"/>
      <c r="BQ1566" s="6"/>
    </row>
    <row r="1567" spans="2:69" hidden="1" x14ac:dyDescent="0.2">
      <c r="B1567" s="13"/>
      <c r="C1567" s="13"/>
      <c r="D1567" s="13"/>
      <c r="E1567" s="13"/>
      <c r="F1567" s="13"/>
      <c r="G1567" s="13"/>
      <c r="H1567" s="13"/>
      <c r="I1567" s="13"/>
      <c r="J1567" s="13"/>
      <c r="K1567" s="13"/>
      <c r="L1567" s="13"/>
      <c r="M1567" s="13"/>
      <c r="N1567" s="13"/>
      <c r="O1567" s="13"/>
      <c r="P1567" s="13"/>
      <c r="Q1567" s="13"/>
      <c r="R1567" s="13"/>
      <c r="S1567" s="13"/>
      <c r="T1567" s="13"/>
      <c r="U1567" s="13"/>
      <c r="V1567" s="13"/>
      <c r="W1567" s="13"/>
      <c r="X1567" s="13"/>
      <c r="Y1567" s="13"/>
      <c r="Z1567" s="13"/>
      <c r="AA1567" s="13"/>
      <c r="AB1567" s="13"/>
      <c r="AM1567" s="6"/>
      <c r="AN1567" s="6"/>
      <c r="AO1567" s="6"/>
      <c r="AP1567" s="6"/>
      <c r="AQ1567" s="6"/>
      <c r="AR1567" s="6"/>
      <c r="AS1567" s="6"/>
      <c r="AT1567" s="6"/>
      <c r="AU1567" s="6"/>
      <c r="AV1567" s="6"/>
      <c r="AW1567" s="6"/>
      <c r="AX1567" s="6"/>
      <c r="AY1567" s="6"/>
      <c r="AZ1567" s="6"/>
      <c r="BA1567" s="6"/>
      <c r="BB1567" s="6"/>
      <c r="BC1567" s="6"/>
      <c r="BD1567" s="6"/>
      <c r="BE1567" s="6"/>
      <c r="BF1567" s="6"/>
      <c r="BG1567" s="6"/>
      <c r="BH1567" s="6"/>
      <c r="BI1567" s="6"/>
      <c r="BJ1567" s="6"/>
      <c r="BK1567" s="6"/>
      <c r="BL1567" s="6"/>
      <c r="BM1567" s="6"/>
      <c r="BN1567" s="6"/>
      <c r="BO1567" s="6"/>
      <c r="BP1567" s="6"/>
      <c r="BQ1567" s="6"/>
    </row>
    <row r="1568" spans="2:69" hidden="1" x14ac:dyDescent="0.2">
      <c r="B1568" s="13"/>
      <c r="C1568" s="13"/>
      <c r="D1568" s="13"/>
      <c r="E1568" s="13"/>
      <c r="F1568" s="13"/>
      <c r="G1568" s="13"/>
      <c r="H1568" s="13"/>
      <c r="I1568" s="13"/>
      <c r="J1568" s="13"/>
      <c r="K1568" s="13"/>
      <c r="L1568" s="13"/>
      <c r="M1568" s="13"/>
      <c r="N1568" s="13"/>
      <c r="O1568" s="13"/>
      <c r="P1568" s="13"/>
      <c r="Q1568" s="13"/>
      <c r="R1568" s="13"/>
      <c r="S1568" s="13"/>
      <c r="T1568" s="13"/>
      <c r="U1568" s="13"/>
      <c r="V1568" s="13"/>
      <c r="W1568" s="13"/>
      <c r="X1568" s="13"/>
      <c r="Y1568" s="13"/>
      <c r="Z1568" s="13"/>
      <c r="AA1568" s="13"/>
      <c r="AB1568" s="13"/>
      <c r="AM1568" s="6"/>
      <c r="AN1568" s="6"/>
      <c r="AO1568" s="6"/>
      <c r="AP1568" s="6"/>
      <c r="AQ1568" s="6"/>
      <c r="AR1568" s="6"/>
      <c r="AS1568" s="6"/>
      <c r="AT1568" s="6"/>
      <c r="AU1568" s="6"/>
      <c r="AV1568" s="6"/>
      <c r="AW1568" s="6"/>
      <c r="AX1568" s="6"/>
      <c r="AY1568" s="6"/>
      <c r="AZ1568" s="6"/>
      <c r="BA1568" s="6"/>
      <c r="BB1568" s="6"/>
      <c r="BC1568" s="6"/>
      <c r="BD1568" s="6"/>
      <c r="BE1568" s="6"/>
      <c r="BF1568" s="6"/>
      <c r="BG1568" s="6"/>
      <c r="BH1568" s="6"/>
      <c r="BI1568" s="6"/>
      <c r="BJ1568" s="6"/>
      <c r="BK1568" s="6"/>
      <c r="BL1568" s="6"/>
      <c r="BM1568" s="6"/>
      <c r="BN1568" s="6"/>
      <c r="BO1568" s="6"/>
      <c r="BP1568" s="6"/>
      <c r="BQ1568" s="6"/>
    </row>
    <row r="1569" spans="2:69" hidden="1" x14ac:dyDescent="0.2">
      <c r="B1569" s="13"/>
      <c r="C1569" s="13"/>
      <c r="D1569" s="13"/>
      <c r="E1569" s="13"/>
      <c r="F1569" s="13"/>
      <c r="G1569" s="13"/>
      <c r="H1569" s="13"/>
      <c r="I1569" s="13"/>
      <c r="J1569" s="13"/>
      <c r="K1569" s="13"/>
      <c r="L1569" s="13"/>
      <c r="M1569" s="13"/>
      <c r="N1569" s="13"/>
      <c r="O1569" s="13"/>
      <c r="P1569" s="13"/>
      <c r="Q1569" s="13"/>
      <c r="R1569" s="13"/>
      <c r="S1569" s="13"/>
      <c r="T1569" s="13"/>
      <c r="U1569" s="13"/>
      <c r="V1569" s="13"/>
      <c r="W1569" s="13"/>
      <c r="X1569" s="13"/>
      <c r="Y1569" s="13"/>
      <c r="Z1569" s="13"/>
      <c r="AA1569" s="13"/>
      <c r="AB1569" s="13"/>
      <c r="AM1569" s="6"/>
      <c r="AN1569" s="6"/>
      <c r="AO1569" s="6"/>
      <c r="AP1569" s="6"/>
      <c r="AQ1569" s="6"/>
      <c r="AR1569" s="6"/>
      <c r="AS1569" s="6"/>
      <c r="AT1569" s="6"/>
      <c r="AU1569" s="6"/>
      <c r="AV1569" s="6"/>
      <c r="AW1569" s="6"/>
      <c r="AX1569" s="6"/>
      <c r="AY1569" s="6"/>
      <c r="AZ1569" s="6"/>
      <c r="BA1569" s="6"/>
      <c r="BB1569" s="6"/>
      <c r="BC1569" s="6"/>
      <c r="BD1569" s="6"/>
      <c r="BE1569" s="6"/>
      <c r="BF1569" s="6"/>
      <c r="BG1569" s="6"/>
      <c r="BH1569" s="6"/>
      <c r="BI1569" s="6"/>
      <c r="BJ1569" s="6"/>
      <c r="BK1569" s="6"/>
      <c r="BL1569" s="6"/>
      <c r="BM1569" s="6"/>
      <c r="BN1569" s="6"/>
      <c r="BO1569" s="6"/>
      <c r="BP1569" s="6"/>
      <c r="BQ1569" s="6"/>
    </row>
    <row r="1570" spans="2:69" hidden="1" x14ac:dyDescent="0.2">
      <c r="B1570" s="13"/>
      <c r="C1570" s="13"/>
      <c r="D1570" s="13"/>
      <c r="E1570" s="13"/>
      <c r="F1570" s="13"/>
      <c r="G1570" s="13"/>
      <c r="H1570" s="13"/>
      <c r="I1570" s="13"/>
      <c r="J1570" s="13"/>
      <c r="K1570" s="13"/>
      <c r="L1570" s="13"/>
      <c r="M1570" s="13"/>
      <c r="N1570" s="13"/>
      <c r="O1570" s="13"/>
      <c r="P1570" s="13"/>
      <c r="Q1570" s="13"/>
      <c r="R1570" s="13"/>
      <c r="S1570" s="13"/>
      <c r="T1570" s="13"/>
      <c r="U1570" s="13"/>
      <c r="V1570" s="13"/>
      <c r="W1570" s="13"/>
      <c r="X1570" s="13"/>
      <c r="Y1570" s="13"/>
      <c r="Z1570" s="13"/>
      <c r="AA1570" s="13"/>
      <c r="AB1570" s="13"/>
      <c r="AM1570" s="6"/>
      <c r="AN1570" s="6"/>
      <c r="AO1570" s="6"/>
      <c r="AP1570" s="6"/>
      <c r="AQ1570" s="6"/>
      <c r="AR1570" s="6"/>
      <c r="AS1570" s="6"/>
      <c r="AT1570" s="6"/>
      <c r="AU1570" s="6"/>
      <c r="AV1570" s="6"/>
      <c r="AW1570" s="6"/>
      <c r="AX1570" s="6"/>
      <c r="AY1570" s="6"/>
      <c r="AZ1570" s="6"/>
      <c r="BA1570" s="6"/>
      <c r="BB1570" s="6"/>
      <c r="BC1570" s="6"/>
      <c r="BD1570" s="6"/>
      <c r="BE1570" s="6"/>
      <c r="BF1570" s="6"/>
      <c r="BG1570" s="6"/>
      <c r="BH1570" s="6"/>
      <c r="BI1570" s="6"/>
      <c r="BJ1570" s="6"/>
      <c r="BK1570" s="6"/>
      <c r="BL1570" s="6"/>
      <c r="BM1570" s="6"/>
      <c r="BN1570" s="6"/>
      <c r="BO1570" s="6"/>
      <c r="BP1570" s="6"/>
      <c r="BQ1570" s="6"/>
    </row>
    <row r="1571" spans="2:69" hidden="1" x14ac:dyDescent="0.2">
      <c r="B1571" s="13"/>
      <c r="C1571" s="13"/>
      <c r="D1571" s="13"/>
      <c r="E1571" s="13"/>
      <c r="F1571" s="13"/>
      <c r="G1571" s="13"/>
      <c r="H1571" s="13"/>
      <c r="I1571" s="13"/>
      <c r="J1571" s="13"/>
      <c r="K1571" s="13"/>
      <c r="L1571" s="13"/>
      <c r="M1571" s="13"/>
      <c r="N1571" s="13"/>
      <c r="O1571" s="13"/>
      <c r="P1571" s="13"/>
      <c r="Q1571" s="13"/>
      <c r="R1571" s="13"/>
      <c r="S1571" s="13"/>
      <c r="T1571" s="13"/>
      <c r="U1571" s="13"/>
      <c r="V1571" s="13"/>
      <c r="W1571" s="13"/>
      <c r="X1571" s="13"/>
      <c r="Y1571" s="13"/>
      <c r="Z1571" s="13"/>
      <c r="AA1571" s="13"/>
      <c r="AB1571" s="13"/>
      <c r="AM1571" s="6"/>
      <c r="AN1571" s="6"/>
      <c r="AO1571" s="6"/>
      <c r="AP1571" s="6"/>
      <c r="AQ1571" s="6"/>
      <c r="AR1571" s="6"/>
      <c r="AS1571" s="6"/>
      <c r="AT1571" s="6"/>
      <c r="AU1571" s="6"/>
      <c r="AV1571" s="6"/>
      <c r="AW1571" s="6"/>
      <c r="AX1571" s="6"/>
      <c r="AY1571" s="6"/>
      <c r="AZ1571" s="6"/>
      <c r="BA1571" s="6"/>
      <c r="BB1571" s="6"/>
      <c r="BC1571" s="6"/>
      <c r="BD1571" s="6"/>
      <c r="BE1571" s="6"/>
      <c r="BF1571" s="6"/>
      <c r="BG1571" s="6"/>
      <c r="BH1571" s="6"/>
      <c r="BI1571" s="6"/>
      <c r="BJ1571" s="6"/>
      <c r="BK1571" s="6"/>
      <c r="BL1571" s="6"/>
      <c r="BM1571" s="6"/>
      <c r="BN1571" s="6"/>
      <c r="BO1571" s="6"/>
      <c r="BP1571" s="6"/>
      <c r="BQ1571" s="6"/>
    </row>
    <row r="1572" spans="2:69" hidden="1" x14ac:dyDescent="0.2">
      <c r="B1572" s="13"/>
      <c r="C1572" s="13"/>
      <c r="D1572" s="13"/>
      <c r="E1572" s="13"/>
      <c r="F1572" s="13"/>
      <c r="G1572" s="13"/>
      <c r="H1572" s="13"/>
      <c r="I1572" s="13"/>
      <c r="J1572" s="13"/>
      <c r="K1572" s="13"/>
      <c r="L1572" s="13"/>
      <c r="M1572" s="13"/>
      <c r="N1572" s="13"/>
      <c r="O1572" s="13"/>
      <c r="P1572" s="13"/>
      <c r="Q1572" s="13"/>
      <c r="R1572" s="13"/>
      <c r="S1572" s="13"/>
      <c r="T1572" s="13"/>
      <c r="U1572" s="13"/>
      <c r="V1572" s="13"/>
      <c r="W1572" s="13"/>
      <c r="X1572" s="13"/>
      <c r="Y1572" s="13"/>
      <c r="Z1572" s="13"/>
      <c r="AA1572" s="13"/>
      <c r="AB1572" s="13"/>
      <c r="AM1572" s="6"/>
      <c r="AN1572" s="6"/>
      <c r="AO1572" s="6"/>
      <c r="AP1572" s="6"/>
      <c r="AQ1572" s="6"/>
      <c r="AR1572" s="6"/>
      <c r="AS1572" s="6"/>
      <c r="AT1572" s="6"/>
      <c r="AU1572" s="6"/>
      <c r="AV1572" s="6"/>
      <c r="AW1572" s="6"/>
      <c r="AX1572" s="6"/>
      <c r="AY1572" s="6"/>
      <c r="AZ1572" s="6"/>
      <c r="BA1572" s="6"/>
      <c r="BB1572" s="6"/>
      <c r="BC1572" s="6"/>
      <c r="BD1572" s="6"/>
      <c r="BE1572" s="6"/>
      <c r="BF1572" s="6"/>
      <c r="BG1572" s="6"/>
      <c r="BH1572" s="6"/>
      <c r="BI1572" s="6"/>
      <c r="BJ1572" s="6"/>
      <c r="BK1572" s="6"/>
      <c r="BL1572" s="6"/>
      <c r="BM1572" s="6"/>
      <c r="BN1572" s="6"/>
      <c r="BO1572" s="6"/>
      <c r="BP1572" s="6"/>
      <c r="BQ1572" s="6"/>
    </row>
    <row r="1573" spans="2:69" hidden="1" x14ac:dyDescent="0.2">
      <c r="B1573" s="13"/>
      <c r="C1573" s="13"/>
      <c r="D1573" s="13"/>
      <c r="E1573" s="13"/>
      <c r="F1573" s="13"/>
      <c r="G1573" s="13"/>
      <c r="H1573" s="13"/>
      <c r="I1573" s="13"/>
      <c r="J1573" s="13"/>
      <c r="K1573" s="13"/>
      <c r="L1573" s="13"/>
      <c r="M1573" s="13"/>
      <c r="N1573" s="13"/>
      <c r="O1573" s="13"/>
      <c r="P1573" s="13"/>
      <c r="Q1573" s="13"/>
      <c r="R1573" s="13"/>
      <c r="S1573" s="13"/>
      <c r="T1573" s="13"/>
      <c r="U1573" s="13"/>
      <c r="V1573" s="13"/>
      <c r="W1573" s="13"/>
      <c r="X1573" s="13"/>
      <c r="Y1573" s="13"/>
      <c r="Z1573" s="13"/>
      <c r="AA1573" s="13"/>
      <c r="AB1573" s="13"/>
      <c r="AM1573" s="6"/>
      <c r="AN1573" s="6"/>
      <c r="AO1573" s="6"/>
      <c r="AP1573" s="6"/>
      <c r="AQ1573" s="6"/>
      <c r="AR1573" s="6"/>
      <c r="AS1573" s="6"/>
      <c r="AT1573" s="6"/>
      <c r="AU1573" s="6"/>
      <c r="AV1573" s="6"/>
      <c r="AW1573" s="6"/>
      <c r="AX1573" s="6"/>
      <c r="AY1573" s="6"/>
      <c r="AZ1573" s="6"/>
      <c r="BA1573" s="6"/>
      <c r="BB1573" s="6"/>
      <c r="BC1573" s="6"/>
      <c r="BD1573" s="6"/>
      <c r="BE1573" s="6"/>
      <c r="BF1573" s="6"/>
      <c r="BG1573" s="6"/>
      <c r="BH1573" s="6"/>
      <c r="BI1573" s="6"/>
      <c r="BJ1573" s="6"/>
      <c r="BK1573" s="6"/>
      <c r="BL1573" s="6"/>
      <c r="BM1573" s="6"/>
      <c r="BN1573" s="6"/>
      <c r="BO1573" s="6"/>
      <c r="BP1573" s="6"/>
      <c r="BQ1573" s="6"/>
    </row>
    <row r="1574" spans="2:69" hidden="1" x14ac:dyDescent="0.2">
      <c r="B1574" s="13"/>
      <c r="C1574" s="13"/>
      <c r="D1574" s="13"/>
      <c r="E1574" s="13"/>
      <c r="F1574" s="13"/>
      <c r="G1574" s="13"/>
      <c r="H1574" s="13"/>
      <c r="I1574" s="13"/>
      <c r="J1574" s="13"/>
      <c r="K1574" s="13"/>
      <c r="L1574" s="13"/>
      <c r="M1574" s="13"/>
      <c r="N1574" s="13"/>
      <c r="O1574" s="13"/>
      <c r="P1574" s="13"/>
      <c r="Q1574" s="13"/>
      <c r="R1574" s="13"/>
      <c r="S1574" s="13"/>
      <c r="T1574" s="13"/>
      <c r="U1574" s="13"/>
      <c r="V1574" s="13"/>
      <c r="W1574" s="13"/>
      <c r="X1574" s="13"/>
      <c r="Y1574" s="13"/>
      <c r="Z1574" s="13"/>
      <c r="AA1574" s="13"/>
      <c r="AB1574" s="13"/>
      <c r="AM1574" s="6"/>
      <c r="AN1574" s="6"/>
      <c r="AO1574" s="6"/>
      <c r="AP1574" s="6"/>
      <c r="AQ1574" s="6"/>
      <c r="AR1574" s="6"/>
      <c r="AS1574" s="6"/>
      <c r="AT1574" s="6"/>
      <c r="AU1574" s="6"/>
      <c r="AV1574" s="6"/>
      <c r="AW1574" s="6"/>
      <c r="AX1574" s="6"/>
      <c r="AY1574" s="6"/>
      <c r="AZ1574" s="6"/>
      <c r="BA1574" s="6"/>
      <c r="BB1574" s="6"/>
      <c r="BC1574" s="6"/>
      <c r="BD1574" s="6"/>
      <c r="BE1574" s="6"/>
      <c r="BF1574" s="6"/>
      <c r="BG1574" s="6"/>
      <c r="BH1574" s="6"/>
      <c r="BI1574" s="6"/>
      <c r="BJ1574" s="6"/>
      <c r="BK1574" s="6"/>
      <c r="BL1574" s="6"/>
      <c r="BM1574" s="6"/>
      <c r="BN1574" s="6"/>
      <c r="BO1574" s="6"/>
      <c r="BP1574" s="6"/>
      <c r="BQ1574" s="6"/>
    </row>
    <row r="1575" spans="2:69" hidden="1" x14ac:dyDescent="0.2">
      <c r="B1575" s="13"/>
      <c r="C1575" s="13"/>
      <c r="D1575" s="13"/>
      <c r="E1575" s="13"/>
      <c r="F1575" s="13"/>
      <c r="G1575" s="13"/>
      <c r="H1575" s="13"/>
      <c r="I1575" s="13"/>
      <c r="J1575" s="13"/>
      <c r="K1575" s="13"/>
      <c r="L1575" s="13"/>
      <c r="M1575" s="13"/>
      <c r="N1575" s="13"/>
      <c r="O1575" s="13"/>
      <c r="P1575" s="13"/>
      <c r="Q1575" s="13"/>
      <c r="R1575" s="13"/>
      <c r="S1575" s="13"/>
      <c r="T1575" s="13"/>
      <c r="U1575" s="13"/>
      <c r="V1575" s="13"/>
      <c r="W1575" s="13"/>
      <c r="X1575" s="13"/>
      <c r="Y1575" s="13"/>
      <c r="Z1575" s="13"/>
      <c r="AA1575" s="13"/>
      <c r="AB1575" s="13"/>
      <c r="AM1575" s="6"/>
      <c r="AN1575" s="6"/>
      <c r="AO1575" s="6"/>
      <c r="AP1575" s="6"/>
      <c r="AQ1575" s="6"/>
      <c r="AR1575" s="6"/>
      <c r="AS1575" s="6"/>
      <c r="AT1575" s="6"/>
      <c r="AU1575" s="6"/>
      <c r="AV1575" s="6"/>
      <c r="AW1575" s="6"/>
      <c r="AX1575" s="6"/>
      <c r="AY1575" s="6"/>
      <c r="AZ1575" s="6"/>
      <c r="BA1575" s="6"/>
      <c r="BB1575" s="6"/>
      <c r="BC1575" s="6"/>
      <c r="BD1575" s="6"/>
      <c r="BE1575" s="6"/>
      <c r="BF1575" s="6"/>
      <c r="BG1575" s="6"/>
      <c r="BH1575" s="6"/>
      <c r="BI1575" s="6"/>
      <c r="BJ1575" s="6"/>
      <c r="BK1575" s="6"/>
      <c r="BL1575" s="6"/>
      <c r="BM1575" s="6"/>
      <c r="BN1575" s="6"/>
      <c r="BO1575" s="6"/>
      <c r="BP1575" s="6"/>
      <c r="BQ1575" s="6"/>
    </row>
    <row r="1576" spans="2:69" hidden="1" x14ac:dyDescent="0.2">
      <c r="B1576" s="13"/>
      <c r="C1576" s="13"/>
      <c r="D1576" s="13"/>
      <c r="E1576" s="13"/>
      <c r="F1576" s="13"/>
      <c r="G1576" s="13"/>
      <c r="H1576" s="13"/>
      <c r="I1576" s="13"/>
      <c r="J1576" s="13"/>
      <c r="K1576" s="13"/>
      <c r="L1576" s="13"/>
      <c r="M1576" s="13"/>
      <c r="N1576" s="13"/>
      <c r="O1576" s="13"/>
      <c r="P1576" s="13"/>
      <c r="Q1576" s="13"/>
      <c r="R1576" s="13"/>
      <c r="S1576" s="13"/>
      <c r="T1576" s="13"/>
      <c r="U1576" s="13"/>
      <c r="V1576" s="13"/>
      <c r="W1576" s="13"/>
      <c r="X1576" s="13"/>
      <c r="Y1576" s="13"/>
      <c r="Z1576" s="13"/>
      <c r="AA1576" s="13"/>
      <c r="AB1576" s="13"/>
      <c r="AM1576" s="6"/>
      <c r="AN1576" s="6"/>
      <c r="AO1576" s="6"/>
      <c r="AP1576" s="6"/>
      <c r="AQ1576" s="6"/>
      <c r="AR1576" s="6"/>
      <c r="AS1576" s="6"/>
      <c r="AT1576" s="6"/>
      <c r="AU1576" s="6"/>
      <c r="AV1576" s="6"/>
      <c r="AW1576" s="6"/>
      <c r="AX1576" s="6"/>
      <c r="AY1576" s="6"/>
      <c r="AZ1576" s="6"/>
      <c r="BA1576" s="6"/>
      <c r="BB1576" s="6"/>
      <c r="BC1576" s="6"/>
      <c r="BD1576" s="6"/>
      <c r="BE1576" s="6"/>
      <c r="BF1576" s="6"/>
      <c r="BG1576" s="6"/>
      <c r="BH1576" s="6"/>
      <c r="BI1576" s="6"/>
      <c r="BJ1576" s="6"/>
      <c r="BK1576" s="6"/>
      <c r="BL1576" s="6"/>
      <c r="BM1576" s="6"/>
      <c r="BN1576" s="6"/>
      <c r="BO1576" s="6"/>
      <c r="BP1576" s="6"/>
      <c r="BQ1576" s="6"/>
    </row>
    <row r="1577" spans="2:69" hidden="1" x14ac:dyDescent="0.2">
      <c r="B1577" s="13"/>
      <c r="C1577" s="13"/>
      <c r="D1577" s="13"/>
      <c r="E1577" s="13"/>
      <c r="F1577" s="13"/>
      <c r="G1577" s="13"/>
      <c r="H1577" s="13"/>
      <c r="I1577" s="13"/>
      <c r="J1577" s="13"/>
      <c r="K1577" s="13"/>
      <c r="L1577" s="13"/>
      <c r="M1577" s="13"/>
      <c r="N1577" s="13"/>
      <c r="O1577" s="13"/>
      <c r="P1577" s="13"/>
      <c r="Q1577" s="13"/>
      <c r="R1577" s="13"/>
      <c r="S1577" s="13"/>
      <c r="T1577" s="13"/>
      <c r="U1577" s="13"/>
      <c r="V1577" s="13"/>
      <c r="W1577" s="13"/>
      <c r="X1577" s="13"/>
      <c r="Y1577" s="13"/>
      <c r="Z1577" s="13"/>
      <c r="AA1577" s="13"/>
      <c r="AB1577" s="13"/>
      <c r="AM1577" s="6"/>
      <c r="AN1577" s="6"/>
      <c r="AO1577" s="6"/>
      <c r="AP1577" s="6"/>
      <c r="AQ1577" s="6"/>
      <c r="AR1577" s="6"/>
      <c r="AS1577" s="6"/>
      <c r="AT1577" s="6"/>
      <c r="AU1577" s="6"/>
      <c r="AV1577" s="6"/>
      <c r="AW1577" s="6"/>
      <c r="AX1577" s="6"/>
      <c r="AY1577" s="6"/>
      <c r="AZ1577" s="6"/>
      <c r="BA1577" s="6"/>
      <c r="BB1577" s="6"/>
      <c r="BC1577" s="6"/>
      <c r="BD1577" s="6"/>
      <c r="BE1577" s="6"/>
      <c r="BF1577" s="6"/>
      <c r="BG1577" s="6"/>
      <c r="BH1577" s="6"/>
      <c r="BI1577" s="6"/>
      <c r="BJ1577" s="6"/>
      <c r="BK1577" s="6"/>
      <c r="BL1577" s="6"/>
      <c r="BM1577" s="6"/>
      <c r="BN1577" s="6"/>
      <c r="BO1577" s="6"/>
      <c r="BP1577" s="6"/>
      <c r="BQ1577" s="6"/>
    </row>
    <row r="1578" spans="2:69" hidden="1" x14ac:dyDescent="0.2">
      <c r="B1578" s="13"/>
      <c r="C1578" s="13"/>
      <c r="D1578" s="13"/>
      <c r="E1578" s="13"/>
      <c r="F1578" s="13"/>
      <c r="G1578" s="13"/>
      <c r="H1578" s="13"/>
      <c r="I1578" s="13"/>
      <c r="J1578" s="13"/>
      <c r="K1578" s="13"/>
      <c r="L1578" s="13"/>
      <c r="M1578" s="13"/>
      <c r="N1578" s="13"/>
      <c r="O1578" s="13"/>
      <c r="P1578" s="13"/>
      <c r="Q1578" s="13"/>
      <c r="R1578" s="13"/>
      <c r="S1578" s="13"/>
      <c r="T1578" s="13"/>
      <c r="U1578" s="13"/>
      <c r="V1578" s="13"/>
      <c r="W1578" s="13"/>
      <c r="X1578" s="13"/>
      <c r="Y1578" s="13"/>
      <c r="Z1578" s="13"/>
      <c r="AA1578" s="13"/>
      <c r="AB1578" s="13"/>
      <c r="AM1578" s="6"/>
      <c r="AN1578" s="6"/>
      <c r="AO1578" s="6"/>
      <c r="AP1578" s="6"/>
      <c r="AQ1578" s="6"/>
      <c r="AR1578" s="6"/>
      <c r="AS1578" s="6"/>
      <c r="AT1578" s="6"/>
      <c r="AU1578" s="6"/>
      <c r="AV1578" s="6"/>
      <c r="AW1578" s="6"/>
      <c r="AX1578" s="6"/>
      <c r="AY1578" s="6"/>
      <c r="AZ1578" s="6"/>
      <c r="BA1578" s="6"/>
      <c r="BB1578" s="6"/>
      <c r="BC1578" s="6"/>
      <c r="BD1578" s="6"/>
      <c r="BE1578" s="6"/>
      <c r="BF1578" s="6"/>
      <c r="BG1578" s="6"/>
      <c r="BH1578" s="6"/>
      <c r="BI1578" s="6"/>
      <c r="BJ1578" s="6"/>
      <c r="BK1578" s="6"/>
      <c r="BL1578" s="6"/>
      <c r="BM1578" s="6"/>
      <c r="BN1578" s="6"/>
      <c r="BO1578" s="6"/>
      <c r="BP1578" s="6"/>
      <c r="BQ1578" s="6"/>
    </row>
    <row r="1579" spans="2:69" hidden="1" x14ac:dyDescent="0.2">
      <c r="B1579" s="13"/>
      <c r="C1579" s="13"/>
      <c r="D1579" s="13"/>
      <c r="E1579" s="13"/>
      <c r="F1579" s="13"/>
      <c r="G1579" s="13"/>
      <c r="H1579" s="13"/>
      <c r="I1579" s="13"/>
      <c r="J1579" s="13"/>
      <c r="K1579" s="13"/>
      <c r="L1579" s="13"/>
      <c r="M1579" s="13"/>
      <c r="N1579" s="13"/>
      <c r="O1579" s="13"/>
      <c r="P1579" s="13"/>
      <c r="Q1579" s="13"/>
      <c r="R1579" s="13"/>
      <c r="S1579" s="13"/>
      <c r="T1579" s="13"/>
      <c r="U1579" s="13"/>
      <c r="V1579" s="13"/>
      <c r="W1579" s="13"/>
      <c r="X1579" s="13"/>
      <c r="Y1579" s="13"/>
      <c r="Z1579" s="13"/>
      <c r="AA1579" s="13"/>
      <c r="AB1579" s="13"/>
      <c r="AM1579" s="6"/>
      <c r="AN1579" s="6"/>
      <c r="AO1579" s="6"/>
      <c r="AP1579" s="6"/>
      <c r="AQ1579" s="6"/>
      <c r="AR1579" s="6"/>
      <c r="AS1579" s="6"/>
      <c r="AT1579" s="6"/>
      <c r="AU1579" s="6"/>
      <c r="AV1579" s="6"/>
      <c r="AW1579" s="6"/>
      <c r="AX1579" s="6"/>
      <c r="AY1579" s="6"/>
      <c r="AZ1579" s="6"/>
      <c r="BA1579" s="6"/>
      <c r="BB1579" s="6"/>
      <c r="BC1579" s="6"/>
      <c r="BD1579" s="6"/>
      <c r="BE1579" s="6"/>
      <c r="BF1579" s="6"/>
      <c r="BG1579" s="6"/>
      <c r="BH1579" s="6"/>
      <c r="BI1579" s="6"/>
      <c r="BJ1579" s="6"/>
      <c r="BK1579" s="6"/>
      <c r="BL1579" s="6"/>
      <c r="BM1579" s="6"/>
      <c r="BN1579" s="6"/>
      <c r="BO1579" s="6"/>
      <c r="BP1579" s="6"/>
      <c r="BQ1579" s="6"/>
    </row>
    <row r="1580" spans="2:69" hidden="1" x14ac:dyDescent="0.2">
      <c r="B1580" s="13"/>
      <c r="C1580" s="13"/>
      <c r="D1580" s="13"/>
      <c r="E1580" s="13"/>
      <c r="F1580" s="13"/>
      <c r="G1580" s="13"/>
      <c r="H1580" s="13"/>
      <c r="I1580" s="13"/>
      <c r="J1580" s="13"/>
      <c r="K1580" s="13"/>
      <c r="L1580" s="13"/>
      <c r="M1580" s="13"/>
      <c r="N1580" s="13"/>
      <c r="O1580" s="13"/>
      <c r="P1580" s="13"/>
      <c r="Q1580" s="13"/>
      <c r="R1580" s="13"/>
      <c r="S1580" s="13"/>
      <c r="T1580" s="13"/>
      <c r="U1580" s="13"/>
      <c r="V1580" s="13"/>
      <c r="W1580" s="13"/>
      <c r="X1580" s="13"/>
      <c r="Y1580" s="13"/>
      <c r="Z1580" s="13"/>
      <c r="AA1580" s="13"/>
      <c r="AB1580" s="13"/>
      <c r="AM1580" s="6"/>
      <c r="AN1580" s="6"/>
      <c r="AO1580" s="6"/>
      <c r="AP1580" s="6"/>
      <c r="AQ1580" s="6"/>
      <c r="AR1580" s="6"/>
      <c r="AS1580" s="6"/>
      <c r="AT1580" s="6"/>
      <c r="AU1580" s="6"/>
      <c r="AV1580" s="6"/>
      <c r="AW1580" s="6"/>
      <c r="AX1580" s="6"/>
      <c r="AY1580" s="6"/>
      <c r="AZ1580" s="6"/>
      <c r="BA1580" s="6"/>
      <c r="BB1580" s="6"/>
      <c r="BC1580" s="6"/>
      <c r="BD1580" s="6"/>
      <c r="BE1580" s="6"/>
      <c r="BF1580" s="6"/>
      <c r="BG1580" s="6"/>
      <c r="BH1580" s="6"/>
      <c r="BI1580" s="6"/>
      <c r="BJ1580" s="6"/>
      <c r="BK1580" s="6"/>
      <c r="BL1580" s="6"/>
      <c r="BM1580" s="6"/>
      <c r="BN1580" s="6"/>
      <c r="BO1580" s="6"/>
      <c r="BP1580" s="6"/>
      <c r="BQ1580" s="6"/>
    </row>
    <row r="1581" spans="2:69" hidden="1" x14ac:dyDescent="0.2">
      <c r="B1581" s="13"/>
      <c r="C1581" s="13"/>
      <c r="D1581" s="13"/>
      <c r="E1581" s="13"/>
      <c r="F1581" s="13"/>
      <c r="G1581" s="13"/>
      <c r="H1581" s="13"/>
      <c r="I1581" s="13"/>
      <c r="J1581" s="13"/>
      <c r="K1581" s="13"/>
      <c r="L1581" s="13"/>
      <c r="M1581" s="13"/>
      <c r="N1581" s="13"/>
      <c r="O1581" s="13"/>
      <c r="P1581" s="13"/>
      <c r="Q1581" s="13"/>
      <c r="R1581" s="13"/>
      <c r="S1581" s="13"/>
      <c r="T1581" s="13"/>
      <c r="U1581" s="13"/>
      <c r="V1581" s="13"/>
      <c r="W1581" s="13"/>
      <c r="X1581" s="13"/>
      <c r="Y1581" s="13"/>
      <c r="Z1581" s="13"/>
      <c r="AA1581" s="13"/>
      <c r="AB1581" s="13"/>
      <c r="AM1581" s="6"/>
      <c r="AN1581" s="6"/>
      <c r="AO1581" s="6"/>
      <c r="AP1581" s="6"/>
      <c r="AQ1581" s="6"/>
      <c r="AR1581" s="6"/>
      <c r="AS1581" s="6"/>
      <c r="AT1581" s="6"/>
      <c r="AU1581" s="6"/>
      <c r="AV1581" s="6"/>
      <c r="AW1581" s="6"/>
      <c r="AX1581" s="6"/>
      <c r="AY1581" s="6"/>
      <c r="AZ1581" s="6"/>
      <c r="BA1581" s="6"/>
      <c r="BB1581" s="6"/>
      <c r="BC1581" s="6"/>
      <c r="BD1581" s="6"/>
      <c r="BE1581" s="6"/>
      <c r="BF1581" s="6"/>
      <c r="BG1581" s="6"/>
      <c r="BH1581" s="6"/>
      <c r="BI1581" s="6"/>
      <c r="BJ1581" s="6"/>
      <c r="BK1581" s="6"/>
      <c r="BL1581" s="6"/>
      <c r="BM1581" s="6"/>
      <c r="BN1581" s="6"/>
      <c r="BO1581" s="6"/>
      <c r="BP1581" s="6"/>
      <c r="BQ1581" s="6"/>
    </row>
    <row r="1582" spans="2:69" hidden="1" x14ac:dyDescent="0.2">
      <c r="B1582" s="13"/>
      <c r="C1582" s="13"/>
      <c r="D1582" s="13"/>
      <c r="E1582" s="13"/>
      <c r="F1582" s="13"/>
      <c r="G1582" s="13"/>
      <c r="H1582" s="13"/>
      <c r="I1582" s="13"/>
      <c r="J1582" s="13"/>
      <c r="K1582" s="13"/>
      <c r="L1582" s="13"/>
      <c r="M1582" s="13"/>
      <c r="N1582" s="13"/>
      <c r="O1582" s="13"/>
      <c r="P1582" s="13"/>
      <c r="Q1582" s="13"/>
      <c r="R1582" s="13"/>
      <c r="S1582" s="13"/>
      <c r="T1582" s="13"/>
      <c r="U1582" s="13"/>
      <c r="V1582" s="13"/>
      <c r="W1582" s="13"/>
      <c r="X1582" s="13"/>
      <c r="Y1582" s="13"/>
      <c r="Z1582" s="13"/>
      <c r="AA1582" s="13"/>
      <c r="AB1582" s="13"/>
      <c r="AM1582" s="6"/>
      <c r="AN1582" s="6"/>
      <c r="AO1582" s="6"/>
      <c r="AP1582" s="6"/>
      <c r="AQ1582" s="6"/>
      <c r="AR1582" s="6"/>
      <c r="AS1582" s="6"/>
      <c r="AT1582" s="6"/>
      <c r="AU1582" s="6"/>
      <c r="AV1582" s="6"/>
      <c r="AW1582" s="6"/>
      <c r="AX1582" s="6"/>
      <c r="AY1582" s="6"/>
      <c r="AZ1582" s="6"/>
      <c r="BA1582" s="6"/>
      <c r="BB1582" s="6"/>
      <c r="BC1582" s="6"/>
      <c r="BD1582" s="6"/>
      <c r="BE1582" s="6"/>
      <c r="BF1582" s="6"/>
      <c r="BG1582" s="6"/>
      <c r="BH1582" s="6"/>
      <c r="BI1582" s="6"/>
      <c r="BJ1582" s="6"/>
      <c r="BK1582" s="6"/>
      <c r="BL1582" s="6"/>
      <c r="BM1582" s="6"/>
      <c r="BN1582" s="6"/>
      <c r="BO1582" s="6"/>
      <c r="BP1582" s="6"/>
      <c r="BQ1582" s="6"/>
    </row>
    <row r="1583" spans="2:69" hidden="1" x14ac:dyDescent="0.2">
      <c r="B1583" s="13"/>
      <c r="C1583" s="13"/>
      <c r="D1583" s="13"/>
      <c r="E1583" s="13"/>
      <c r="F1583" s="13"/>
      <c r="G1583" s="13"/>
      <c r="H1583" s="13"/>
      <c r="I1583" s="13"/>
      <c r="J1583" s="13"/>
      <c r="K1583" s="13"/>
      <c r="L1583" s="13"/>
      <c r="M1583" s="13"/>
      <c r="N1583" s="13"/>
      <c r="O1583" s="13"/>
      <c r="P1583" s="13"/>
      <c r="Q1583" s="13"/>
      <c r="R1583" s="13"/>
      <c r="S1583" s="13"/>
      <c r="T1583" s="13"/>
      <c r="U1583" s="13"/>
      <c r="V1583" s="13"/>
      <c r="W1583" s="13"/>
      <c r="X1583" s="13"/>
      <c r="Y1583" s="13"/>
      <c r="Z1583" s="13"/>
      <c r="AA1583" s="13"/>
      <c r="AB1583" s="13"/>
      <c r="AM1583" s="6"/>
      <c r="AN1583" s="6"/>
      <c r="AO1583" s="6"/>
      <c r="AP1583" s="6"/>
      <c r="AQ1583" s="6"/>
      <c r="AR1583" s="6"/>
      <c r="AS1583" s="6"/>
      <c r="AT1583" s="6"/>
      <c r="AU1583" s="6"/>
      <c r="AV1583" s="6"/>
      <c r="AW1583" s="6"/>
      <c r="AX1583" s="6"/>
      <c r="AY1583" s="6"/>
      <c r="AZ1583" s="6"/>
      <c r="BA1583" s="6"/>
      <c r="BB1583" s="6"/>
      <c r="BC1583" s="6"/>
      <c r="BD1583" s="6"/>
      <c r="BE1583" s="6"/>
      <c r="BF1583" s="6"/>
      <c r="BG1583" s="6"/>
      <c r="BH1583" s="6"/>
      <c r="BI1583" s="6"/>
      <c r="BJ1583" s="6"/>
      <c r="BK1583" s="6"/>
      <c r="BL1583" s="6"/>
      <c r="BM1583" s="6"/>
      <c r="BN1583" s="6"/>
      <c r="BO1583" s="6"/>
      <c r="BP1583" s="6"/>
      <c r="BQ1583" s="6"/>
    </row>
    <row r="1584" spans="2:69" hidden="1" x14ac:dyDescent="0.2">
      <c r="B1584" s="13"/>
      <c r="C1584" s="13"/>
      <c r="D1584" s="13"/>
      <c r="E1584" s="13"/>
      <c r="F1584" s="13"/>
      <c r="G1584" s="13"/>
      <c r="H1584" s="13"/>
      <c r="I1584" s="13"/>
      <c r="J1584" s="13"/>
      <c r="K1584" s="13"/>
      <c r="L1584" s="13"/>
      <c r="M1584" s="13"/>
      <c r="N1584" s="13"/>
      <c r="O1584" s="13"/>
      <c r="P1584" s="13"/>
      <c r="Q1584" s="13"/>
      <c r="R1584" s="13"/>
      <c r="S1584" s="13"/>
      <c r="T1584" s="13"/>
      <c r="U1584" s="13"/>
      <c r="V1584" s="13"/>
      <c r="W1584" s="13"/>
      <c r="X1584" s="13"/>
      <c r="Y1584" s="13"/>
      <c r="Z1584" s="13"/>
      <c r="AA1584" s="13"/>
      <c r="AB1584" s="13"/>
      <c r="AM1584" s="6"/>
      <c r="AN1584" s="6"/>
      <c r="AO1584" s="6"/>
      <c r="AP1584" s="6"/>
      <c r="AQ1584" s="6"/>
      <c r="AR1584" s="6"/>
      <c r="AS1584" s="6"/>
      <c r="AT1584" s="6"/>
      <c r="AU1584" s="6"/>
      <c r="AV1584" s="6"/>
      <c r="AW1584" s="6"/>
      <c r="AX1584" s="6"/>
      <c r="AY1584" s="6"/>
      <c r="AZ1584" s="6"/>
      <c r="BA1584" s="6"/>
      <c r="BB1584" s="6"/>
      <c r="BC1584" s="6"/>
      <c r="BD1584" s="6"/>
      <c r="BE1584" s="6"/>
      <c r="BF1584" s="6"/>
      <c r="BG1584" s="6"/>
      <c r="BH1584" s="6"/>
      <c r="BI1584" s="6"/>
      <c r="BJ1584" s="6"/>
      <c r="BK1584" s="6"/>
      <c r="BL1584" s="6"/>
      <c r="BM1584" s="6"/>
      <c r="BN1584" s="6"/>
      <c r="BO1584" s="6"/>
      <c r="BP1584" s="6"/>
      <c r="BQ1584" s="6"/>
    </row>
    <row r="1585" spans="2:69" hidden="1" x14ac:dyDescent="0.2">
      <c r="B1585" s="13"/>
      <c r="C1585" s="13"/>
      <c r="D1585" s="13"/>
      <c r="E1585" s="13"/>
      <c r="F1585" s="13"/>
      <c r="G1585" s="13"/>
      <c r="H1585" s="13"/>
      <c r="I1585" s="13"/>
      <c r="J1585" s="13"/>
      <c r="AM1585" s="6"/>
      <c r="AN1585" s="6"/>
      <c r="AO1585" s="6"/>
      <c r="AP1585" s="6"/>
      <c r="AQ1585" s="6"/>
      <c r="AR1585" s="6"/>
      <c r="AS1585" s="6"/>
      <c r="AT1585" s="6"/>
      <c r="AU1585" s="6"/>
      <c r="AV1585" s="6"/>
      <c r="AW1585" s="6"/>
      <c r="AX1585" s="6"/>
      <c r="AY1585" s="6"/>
      <c r="AZ1585" s="6"/>
      <c r="BA1585" s="6"/>
      <c r="BB1585" s="6"/>
      <c r="BC1585" s="6"/>
      <c r="BD1585" s="6"/>
      <c r="BE1585" s="6"/>
      <c r="BF1585" s="6"/>
      <c r="BG1585" s="6"/>
      <c r="BH1585" s="6"/>
      <c r="BI1585" s="6"/>
      <c r="BJ1585" s="6"/>
      <c r="BK1585" s="6"/>
      <c r="BL1585" s="6"/>
      <c r="BM1585" s="6"/>
      <c r="BN1585" s="6"/>
      <c r="BO1585" s="6"/>
      <c r="BP1585" s="6"/>
      <c r="BQ1585" s="6"/>
    </row>
    <row r="1586" spans="2:69" hidden="1" x14ac:dyDescent="0.2">
      <c r="B1586" s="13"/>
      <c r="C1586" s="13"/>
      <c r="D1586" s="13"/>
      <c r="E1586" s="13"/>
      <c r="F1586" s="13"/>
      <c r="G1586" s="13"/>
      <c r="H1586" s="13"/>
      <c r="I1586" s="13"/>
      <c r="J1586" s="13"/>
      <c r="AM1586" s="6"/>
      <c r="AN1586" s="6"/>
      <c r="AO1586" s="6"/>
      <c r="AP1586" s="6"/>
      <c r="AQ1586" s="6"/>
      <c r="AR1586" s="6"/>
      <c r="AS1586" s="6"/>
      <c r="AT1586" s="6"/>
      <c r="AU1586" s="6"/>
      <c r="AV1586" s="6"/>
      <c r="AW1586" s="6"/>
      <c r="AX1586" s="6"/>
      <c r="AY1586" s="6"/>
      <c r="AZ1586" s="6"/>
      <c r="BA1586" s="6"/>
      <c r="BB1586" s="6"/>
      <c r="BC1586" s="6"/>
      <c r="BD1586" s="6"/>
      <c r="BE1586" s="6"/>
      <c r="BF1586" s="6"/>
      <c r="BG1586" s="6"/>
      <c r="BH1586" s="6"/>
      <c r="BI1586" s="6"/>
      <c r="BJ1586" s="6"/>
      <c r="BK1586" s="6"/>
      <c r="BL1586" s="6"/>
      <c r="BM1586" s="6"/>
      <c r="BN1586" s="6"/>
      <c r="BO1586" s="6"/>
      <c r="BP1586" s="6"/>
      <c r="BQ1586" s="6"/>
    </row>
    <row r="1822" ht="14.25" hidden="1" customHeight="1" x14ac:dyDescent="0.2"/>
    <row r="1823" ht="14.25" hidden="1" customHeight="1" x14ac:dyDescent="0.2"/>
    <row r="1824" ht="14.25" hidden="1" customHeight="1" x14ac:dyDescent="0.2"/>
    <row r="1825" ht="14.25" hidden="1" customHeight="1" x14ac:dyDescent="0.2"/>
    <row r="1826" ht="14.25" hidden="1" customHeight="1" x14ac:dyDescent="0.2"/>
    <row r="1827" ht="14.25" hidden="1" customHeight="1" x14ac:dyDescent="0.2"/>
    <row r="1828" ht="14.25" hidden="1" customHeight="1" x14ac:dyDescent="0.2"/>
    <row r="1829" ht="14.25" hidden="1" customHeight="1" x14ac:dyDescent="0.2"/>
    <row r="1830" ht="14.25" hidden="1" customHeight="1" x14ac:dyDescent="0.2"/>
    <row r="1831" ht="14.25" hidden="1" customHeight="1" x14ac:dyDescent="0.2"/>
    <row r="1832" ht="14.25" hidden="1" customHeight="1" x14ac:dyDescent="0.2"/>
    <row r="1833" ht="14.25" hidden="1" customHeight="1" x14ac:dyDescent="0.2"/>
    <row r="1834" ht="14.25" hidden="1" customHeight="1" x14ac:dyDescent="0.2"/>
  </sheetData>
  <sortState xmlns:xlrd2="http://schemas.microsoft.com/office/spreadsheetml/2017/richdata2" ref="U474:U484">
    <sortCondition ref="U474:U484"/>
  </sortState>
  <dataConsolidate/>
  <mergeCells count="262">
    <mergeCell ref="B1:B2"/>
    <mergeCell ref="C1:C2"/>
    <mergeCell ref="F256:G256"/>
    <mergeCell ref="F261:G261"/>
    <mergeCell ref="B3:C3"/>
    <mergeCell ref="B32:D32"/>
    <mergeCell ref="E113:G113"/>
    <mergeCell ref="B96:D96"/>
    <mergeCell ref="B145:E145"/>
    <mergeCell ref="B66:C66"/>
    <mergeCell ref="F58:F59"/>
    <mergeCell ref="G58:G59"/>
    <mergeCell ref="B39:E39"/>
    <mergeCell ref="C35:E35"/>
    <mergeCell ref="C37:E37"/>
    <mergeCell ref="D27:E27"/>
    <mergeCell ref="G31:G32"/>
    <mergeCell ref="B23:E23"/>
    <mergeCell ref="B31:D31"/>
    <mergeCell ref="C34:E34"/>
    <mergeCell ref="B58:C59"/>
    <mergeCell ref="B72:C74"/>
    <mergeCell ref="B45:C46"/>
    <mergeCell ref="F31:F32"/>
    <mergeCell ref="E418:G418"/>
    <mergeCell ref="B419:F419"/>
    <mergeCell ref="D45:D46"/>
    <mergeCell ref="E45:E46"/>
    <mergeCell ref="D57:G57"/>
    <mergeCell ref="D72:G72"/>
    <mergeCell ref="G178:H178"/>
    <mergeCell ref="B180:E180"/>
    <mergeCell ref="C139:E139"/>
    <mergeCell ref="B150:E150"/>
    <mergeCell ref="F144:F145"/>
    <mergeCell ref="B136:D136"/>
    <mergeCell ref="G158:G159"/>
    <mergeCell ref="B161:D161"/>
    <mergeCell ref="B138:D138"/>
    <mergeCell ref="C137:E137"/>
    <mergeCell ref="B147:E147"/>
    <mergeCell ref="H58:H59"/>
    <mergeCell ref="H73:H74"/>
    <mergeCell ref="D73:D74"/>
    <mergeCell ref="B67:C67"/>
    <mergeCell ref="G85:G86"/>
    <mergeCell ref="F412:G412"/>
    <mergeCell ref="B411:H411"/>
    <mergeCell ref="B90:C90"/>
    <mergeCell ref="B88:C88"/>
    <mergeCell ref="B10:C10"/>
    <mergeCell ref="B11:C11"/>
    <mergeCell ref="B12:C12"/>
    <mergeCell ref="B13:C13"/>
    <mergeCell ref="H10:H11"/>
    <mergeCell ref="B6:C6"/>
    <mergeCell ref="B9:C9"/>
    <mergeCell ref="B7:C7"/>
    <mergeCell ref="B8:C8"/>
    <mergeCell ref="G6:H7"/>
    <mergeCell ref="G10:G11"/>
    <mergeCell ref="B38:E38"/>
    <mergeCell ref="C33:E33"/>
    <mergeCell ref="F25:F26"/>
    <mergeCell ref="F19:F20"/>
    <mergeCell ref="G19:G20"/>
    <mergeCell ref="B24:E24"/>
    <mergeCell ref="B25:E26"/>
    <mergeCell ref="B21:E21"/>
    <mergeCell ref="B22:E22"/>
    <mergeCell ref="C36:E36"/>
    <mergeCell ref="B34:B37"/>
    <mergeCell ref="H85:H86"/>
    <mergeCell ref="B77:C77"/>
    <mergeCell ref="D58:D59"/>
    <mergeCell ref="E58:E59"/>
    <mergeCell ref="E73:E74"/>
    <mergeCell ref="B75:C75"/>
    <mergeCell ref="B63:C63"/>
    <mergeCell ref="D85:D86"/>
    <mergeCell ref="E85:E86"/>
    <mergeCell ref="G73:G74"/>
    <mergeCell ref="B60:C60"/>
    <mergeCell ref="B65:C65"/>
    <mergeCell ref="B69:C69"/>
    <mergeCell ref="D69:H69"/>
    <mergeCell ref="B68:C68"/>
    <mergeCell ref="B64:C64"/>
    <mergeCell ref="B76:C76"/>
    <mergeCell ref="F73:F74"/>
    <mergeCell ref="B62:C62"/>
    <mergeCell ref="B61:C61"/>
    <mergeCell ref="F85:F86"/>
    <mergeCell ref="B47:B52"/>
    <mergeCell ref="B153:E153"/>
    <mergeCell ref="D152:F152"/>
    <mergeCell ref="B176:C176"/>
    <mergeCell ref="E171:G171"/>
    <mergeCell ref="B160:D160"/>
    <mergeCell ref="E194:E195"/>
    <mergeCell ref="B113:C113"/>
    <mergeCell ref="B109:D109"/>
    <mergeCell ref="B110:D110"/>
    <mergeCell ref="E118:E119"/>
    <mergeCell ref="B134:D134"/>
    <mergeCell ref="F118:F119"/>
    <mergeCell ref="B140:H140"/>
    <mergeCell ref="H144:H145"/>
    <mergeCell ref="B144:E144"/>
    <mergeCell ref="C121:D121"/>
    <mergeCell ref="C127:D127"/>
    <mergeCell ref="C125:D125"/>
    <mergeCell ref="C126:D126"/>
    <mergeCell ref="B122:D122"/>
    <mergeCell ref="B123:D123"/>
    <mergeCell ref="B124:D124"/>
    <mergeCell ref="E132:E133"/>
    <mergeCell ref="C169:H169"/>
    <mergeCell ref="B162:E162"/>
    <mergeCell ref="B163:E163"/>
    <mergeCell ref="B188:E188"/>
    <mergeCell ref="E176:F176"/>
    <mergeCell ref="E174:F174"/>
    <mergeCell ref="E208:E209"/>
    <mergeCell ref="B164:C164"/>
    <mergeCell ref="E173:F173"/>
    <mergeCell ref="E172:G172"/>
    <mergeCell ref="AB405:AC405"/>
    <mergeCell ref="B293:C293"/>
    <mergeCell ref="G346:G347"/>
    <mergeCell ref="R314:S314"/>
    <mergeCell ref="B318:B320"/>
    <mergeCell ref="F316:F317"/>
    <mergeCell ref="T314:U314"/>
    <mergeCell ref="C350:D350"/>
    <mergeCell ref="C351:D351"/>
    <mergeCell ref="C354:D354"/>
    <mergeCell ref="B369:H369"/>
    <mergeCell ref="H380:H381"/>
    <mergeCell ref="B393:C393"/>
    <mergeCell ref="B362:B364"/>
    <mergeCell ref="B372:D372"/>
    <mergeCell ref="C356:D356"/>
    <mergeCell ref="C348:D348"/>
    <mergeCell ref="B296:C296"/>
    <mergeCell ref="C269:H269"/>
    <mergeCell ref="B291:C291"/>
    <mergeCell ref="B289:C289"/>
    <mergeCell ref="G393:G394"/>
    <mergeCell ref="B399:D399"/>
    <mergeCell ref="G366:G367"/>
    <mergeCell ref="B355:D355"/>
    <mergeCell ref="F336:G336"/>
    <mergeCell ref="B249:C249"/>
    <mergeCell ref="E336:E337"/>
    <mergeCell ref="B288:C288"/>
    <mergeCell ref="B107:D107"/>
    <mergeCell ref="B108:D108"/>
    <mergeCell ref="B111:D111"/>
    <mergeCell ref="B112:D112"/>
    <mergeCell ref="B120:B121"/>
    <mergeCell ref="B125:B127"/>
    <mergeCell ref="C120:D120"/>
    <mergeCell ref="G186:H186"/>
    <mergeCell ref="E258:E259"/>
    <mergeCell ref="E201:E202"/>
    <mergeCell ref="C250:H250"/>
    <mergeCell ref="E236:E237"/>
    <mergeCell ref="B146:E146"/>
    <mergeCell ref="B135:D135"/>
    <mergeCell ref="F132:F133"/>
    <mergeCell ref="E175:F175"/>
    <mergeCell ref="B148:E148"/>
    <mergeCell ref="B149:E149"/>
    <mergeCell ref="F160:F161"/>
    <mergeCell ref="E158:E159"/>
    <mergeCell ref="B243:C243"/>
    <mergeCell ref="E215:E216"/>
    <mergeCell ref="E222:E223"/>
    <mergeCell ref="E229:E230"/>
    <mergeCell ref="B93:C93"/>
    <mergeCell ref="B104:D104"/>
    <mergeCell ref="E95:H95"/>
    <mergeCell ref="B102:D102"/>
    <mergeCell ref="B103:D103"/>
    <mergeCell ref="B106:D106"/>
    <mergeCell ref="B105:D105"/>
    <mergeCell ref="E100:E101"/>
    <mergeCell ref="F100:F101"/>
    <mergeCell ref="G100:G101"/>
    <mergeCell ref="B92:C92"/>
    <mergeCell ref="B91:C91"/>
    <mergeCell ref="B89:C89"/>
    <mergeCell ref="B94:C94"/>
    <mergeCell ref="B414:D414"/>
    <mergeCell ref="B407:B409"/>
    <mergeCell ref="B87:C87"/>
    <mergeCell ref="E366:E367"/>
    <mergeCell ref="F365:G365"/>
    <mergeCell ref="F370:F371"/>
    <mergeCell ref="B382:B384"/>
    <mergeCell ref="B308:C308"/>
    <mergeCell ref="D316:D317"/>
    <mergeCell ref="E316:E317"/>
    <mergeCell ref="B309:C309"/>
    <mergeCell ref="B352:B353"/>
    <mergeCell ref="C352:D352"/>
    <mergeCell ref="F366:F367"/>
    <mergeCell ref="B366:B368"/>
    <mergeCell ref="C347:D347"/>
    <mergeCell ref="C383:F383"/>
    <mergeCell ref="C384:F384"/>
    <mergeCell ref="B300:C300"/>
    <mergeCell ref="B301:C301"/>
    <mergeCell ref="B410:G410"/>
    <mergeCell ref="B395:B398"/>
    <mergeCell ref="C405:C406"/>
    <mergeCell ref="B262:B263"/>
    <mergeCell ref="B278:D278"/>
    <mergeCell ref="B375:F375"/>
    <mergeCell ref="E374:G374"/>
    <mergeCell ref="B285:C285"/>
    <mergeCell ref="B287:C287"/>
    <mergeCell ref="F277:G277"/>
    <mergeCell ref="E284:H284"/>
    <mergeCell ref="B348:B350"/>
    <mergeCell ref="B280:D280"/>
    <mergeCell ref="B394:C394"/>
    <mergeCell ref="G321:H327"/>
    <mergeCell ref="D299:H299"/>
    <mergeCell ref="C353:D353"/>
    <mergeCell ref="E346:E347"/>
    <mergeCell ref="F346:F347"/>
    <mergeCell ref="B294:C294"/>
    <mergeCell ref="D290:E290"/>
    <mergeCell ref="B265:D266"/>
    <mergeCell ref="B286:C286"/>
    <mergeCell ref="B392:C392"/>
    <mergeCell ref="B415:H415"/>
    <mergeCell ref="B387:F387"/>
    <mergeCell ref="C382:F382"/>
    <mergeCell ref="G370:G371"/>
    <mergeCell ref="B292:C292"/>
    <mergeCell ref="B295:C295"/>
    <mergeCell ref="B297:C297"/>
    <mergeCell ref="E321:E322"/>
    <mergeCell ref="C349:D349"/>
    <mergeCell ref="B298:C298"/>
    <mergeCell ref="B303:C303"/>
    <mergeCell ref="B305:C305"/>
    <mergeCell ref="B302:C302"/>
    <mergeCell ref="C331:C332"/>
    <mergeCell ref="B333:B335"/>
    <mergeCell ref="B307:C307"/>
    <mergeCell ref="B323:B325"/>
    <mergeCell ref="D321:D322"/>
    <mergeCell ref="B338:B340"/>
    <mergeCell ref="D336:D337"/>
    <mergeCell ref="C395:E395"/>
    <mergeCell ref="C396:E396"/>
    <mergeCell ref="C397:E397"/>
    <mergeCell ref="C398:E398"/>
  </mergeCells>
  <conditionalFormatting sqref="H259:H260 D259:D260 D254:D255 H254:H255 D262:D263 C165 C155 F265:F266 C81 C141 C129 C97 C70 C41 C54 C28 C16">
    <cfRule type="cellIs" dxfId="44" priority="775" operator="lessThan">
      <formula>0.698</formula>
    </cfRule>
    <cfRule type="cellIs" dxfId="43" priority="776" operator="greaterThan">
      <formula>0.699</formula>
    </cfRule>
  </conditionalFormatting>
  <conditionalFormatting sqref="C115 C70 C79">
    <cfRule type="cellIs" dxfId="42" priority="762" operator="lessThan">
      <formula>0.698</formula>
    </cfRule>
    <cfRule type="cellIs" dxfId="41" priority="763" operator="greaterThan">
      <formula>0.699</formula>
    </cfRule>
    <cfRule type="cellIs" dxfId="40" priority="764" operator="greaterThan">
      <formula>0.699</formula>
    </cfRule>
  </conditionalFormatting>
  <conditionalFormatting sqref="D262:D263 H254:H255 H259:H260 D259:D260 D254:D255 F265:F266">
    <cfRule type="cellIs" dxfId="39" priority="749" operator="greaterThan">
      <formula>0.699</formula>
    </cfRule>
  </conditionalFormatting>
  <conditionalFormatting sqref="D262:D263 H254:H255 H259:H260 D259:D260 D254:D255 F265:F266">
    <cfRule type="cellIs" dxfId="38" priority="744" operator="greaterThan">
      <formula>0.695</formula>
    </cfRule>
    <cfRule type="cellIs" dxfId="37" priority="745" operator="greaterThan">
      <formula>0.695</formula>
    </cfRule>
    <cfRule type="cellIs" dxfId="36" priority="746" operator="greaterThan">
      <formula>0.696</formula>
    </cfRule>
  </conditionalFormatting>
  <conditionalFormatting sqref="E278 C421 C401 C416 C327 C311 C165 C155 E280 C81 C141 C129 C115 C97 C79 C70 C41 C54 C28 C16">
    <cfRule type="cellIs" dxfId="35" priority="742" operator="lessThan">
      <formula>0.694</formula>
    </cfRule>
    <cfRule type="cellIs" dxfId="34" priority="743" operator="greaterThan">
      <formula>0.695</formula>
    </cfRule>
  </conditionalFormatting>
  <conditionalFormatting sqref="D262:D263 H254:H255 H259:H260 D259:D260 D254:D255 F265:F266">
    <cfRule type="cellIs" dxfId="33" priority="737" operator="greaterThan">
      <formula>0.695</formula>
    </cfRule>
  </conditionalFormatting>
  <conditionalFormatting sqref="D262:D263 H254:H255 H259:H260 D259:D260 D254:D255 F265:F266">
    <cfRule type="cellIs" dxfId="32" priority="736" operator="lessThan">
      <formula>0.694</formula>
    </cfRule>
  </conditionalFormatting>
  <conditionalFormatting sqref="C412 C416 C357 E368 C342 F372 C377 C389">
    <cfRule type="cellIs" dxfId="31" priority="723" operator="lessThan">
      <formula>0.694</formula>
    </cfRule>
    <cfRule type="cellIs" dxfId="30" priority="724" operator="greaterThan">
      <formula>0.695</formula>
    </cfRule>
    <cfRule type="cellIs" dxfId="29" priority="725" operator="greaterThan">
      <formula>0.56</formula>
    </cfRule>
  </conditionalFormatting>
  <conditionalFormatting sqref="D276 H276 D272 H259:H260 D259:D260 D254:D255 H254:H255 D262:D263">
    <cfRule type="cellIs" dxfId="28" priority="555" operator="greaterThan">
      <formula>0.7</formula>
    </cfRule>
  </conditionalFormatting>
  <conditionalFormatting sqref="D276 H276 D272 H259:H260 D259:D260 D254:D255 H254:H255 D262:D263">
    <cfRule type="cellIs" dxfId="27" priority="554" operator="lessThan">
      <formula>0.7</formula>
    </cfRule>
  </conditionalFormatting>
  <conditionalFormatting sqref="D361:G361">
    <cfRule type="cellIs" dxfId="26" priority="545" stopIfTrue="1" operator="equal">
      <formula>"T. de Morro"</formula>
    </cfRule>
    <cfRule type="cellIs" dxfId="25" priority="546" stopIfTrue="1" operator="equal">
      <formula>"Vertente &gt; 45"</formula>
    </cfRule>
  </conditionalFormatting>
  <conditionalFormatting sqref="D272 H259:H260 D259:D260 D254:D255 H254:H255 D262:D263">
    <cfRule type="cellIs" dxfId="24" priority="442" operator="greaterThan">
      <formula>0.7</formula>
    </cfRule>
    <cfRule type="cellIs" dxfId="23" priority="443" operator="greaterThan">
      <formula>0.7</formula>
    </cfRule>
  </conditionalFormatting>
  <conditionalFormatting sqref="D276 H276 D272 H259:H260 D259:D260 D254:D255 H254:H255 D262:D263">
    <cfRule type="cellIs" dxfId="22" priority="440" operator="greaterThan">
      <formula>0.699</formula>
    </cfRule>
    <cfRule type="cellIs" dxfId="21" priority="441" operator="greaterThan">
      <formula>0.7</formula>
    </cfRule>
  </conditionalFormatting>
  <conditionalFormatting sqref="D204 D197 C192 C184">
    <cfRule type="cellIs" dxfId="20" priority="384" operator="lessThan">
      <formula>0.6956</formula>
    </cfRule>
    <cfRule type="cellIs" dxfId="19" priority="385" operator="greaterThanOrEqual">
      <formula>0.6956</formula>
    </cfRule>
  </conditionalFormatting>
  <conditionalFormatting sqref="H259:H260 D259:D260 D254:D255 H254:H255 D262:D263 C241 D211 D218 D225 D232 D243">
    <cfRule type="cellIs" dxfId="18" priority="382" operator="greaterThan">
      <formula>0.69</formula>
    </cfRule>
    <cfRule type="cellIs" dxfId="17" priority="383" operator="lessThan">
      <formula>0.69</formula>
    </cfRule>
  </conditionalFormatting>
  <conditionalFormatting sqref="B176:C176">
    <cfRule type="cellIs" dxfId="16" priority="1768" operator="equal">
      <formula>0</formula>
    </cfRule>
    <cfRule type="cellIs" dxfId="15" priority="1769" operator="equal">
      <formula>#REF!</formula>
    </cfRule>
    <cfRule type="cellIs" dxfId="14" priority="1770" operator="equal">
      <formula>#REF!</formula>
    </cfRule>
    <cfRule type="cellIs" dxfId="13" priority="1771" operator="equal">
      <formula>#REF!</formula>
    </cfRule>
    <cfRule type="cellIs" dxfId="12" priority="1772" operator="equal">
      <formula>#REF!</formula>
    </cfRule>
  </conditionalFormatting>
  <conditionalFormatting sqref="H259:H260 D259:D260 D254:D255 H254:H255 D262:D263">
    <cfRule type="cellIs" dxfId="11" priority="367" operator="between">
      <formula>0.7</formula>
      <formula>1</formula>
    </cfRule>
    <cfRule type="cellIs" dxfId="10" priority="368" operator="greaterThan">
      <formula>0.7</formula>
    </cfRule>
  </conditionalFormatting>
  <conditionalFormatting sqref="H259:H260 D259:D260 D254:D255 H254:H255 D262:D263">
    <cfRule type="cellIs" dxfId="9" priority="265" operator="greaterThan">
      <formula>0.69999</formula>
    </cfRule>
  </conditionalFormatting>
  <conditionalFormatting sqref="H412 F399 H365 H336 F27">
    <cfRule type="cellIs" dxfId="8" priority="87" operator="notEqual">
      <formula>1</formula>
    </cfRule>
  </conditionalFormatting>
  <dataValidations count="1">
    <dataValidation type="list" allowBlank="1" showInputMessage="1" showErrorMessage="1" sqref="D361:G361" xr:uid="{00000000-0002-0000-0200-000000000000}">
      <formula1>Floresta_estacional_semidecidual</formula1>
    </dataValidation>
  </dataValidations>
  <hyperlinks>
    <hyperlink ref="L274:M274" location="INDICADORES!AB448" display="Fator de Ponderação" xr:uid="{00000000-0004-0000-0200-000000000000}"/>
    <hyperlink ref="L275:M275" location="INDICADORES!AL448" display="Fórmulas" xr:uid="{00000000-0004-0000-0200-000001000000}"/>
    <hyperlink ref="L271:M271" location="INDICADORES!AG418" display="Fórmulas" xr:uid="{00000000-0004-0000-0200-000002000000}"/>
    <hyperlink ref="BJ178:BN197" location="INDICADORES!materia" display="13.1 - Referências" xr:uid="{00000000-0004-0000-0200-000003000000}"/>
    <hyperlink ref="Y174:AC174" location="INDICADORES!materia" display="13.1 - Fator Ponderação" xr:uid="{00000000-0004-0000-0200-000004000000}"/>
    <hyperlink ref="E284" location="Fórmulas!D485" display="Para incluir mais produtos clique aqui" xr:uid="{00000000-0004-0000-0200-000005000000}"/>
    <hyperlink ref="E284:H284" location="'GUIA DE APLICAÇÃO'!D1030" display="Para incluir mais produtos =&gt; inserir na aba GUIA DE APLICAÇÃO Linha 915" xr:uid="{00000000-0004-0000-0200-000006000000}"/>
  </hyperlinks>
  <pageMargins left="0.70866141732283472" right="0.70866141732283472" top="0.74803149606299213" bottom="0.74803149606299213" header="0.31496062992125984" footer="0.31496062992125984"/>
  <pageSetup paperSize="9" scale="97" fitToHeight="0" orientation="landscape" verticalDpi="300" r:id="rId1"/>
  <ignoredErrors>
    <ignoredError sqref="F37:F39 C41 C97 C412 E414 C416 D393 F399" evalError="1"/>
    <ignoredError sqref="D297:H297 D298:H298 D305:H305 G383 D303:H303" unlockedFormula="1"/>
  </ignoredErrors>
  <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FF66"/>
  </sheetPr>
  <dimension ref="A1:CJ121"/>
  <sheetViews>
    <sheetView showGridLines="0" topLeftCell="A101" zoomScale="150" zoomScaleNormal="150" zoomScalePageLayoutView="150" workbookViewId="0">
      <selection activeCell="I117" sqref="I117"/>
    </sheetView>
  </sheetViews>
  <sheetFormatPr defaultColWidth="0" defaultRowHeight="15" zeroHeight="1" x14ac:dyDescent="0.25"/>
  <cols>
    <col min="1" max="1" width="3.7109375" style="429" customWidth="1"/>
    <col min="2" max="2" width="11.140625" style="429" customWidth="1"/>
    <col min="3" max="3" width="10.85546875" style="429" customWidth="1"/>
    <col min="4" max="4" width="9.28515625" style="429" customWidth="1"/>
    <col min="5" max="5" width="2.28515625" style="429" customWidth="1"/>
    <col min="6" max="6" width="2.42578125" style="429" customWidth="1"/>
    <col min="7" max="7" width="18.140625" style="429" customWidth="1"/>
    <col min="8" max="8" width="5.140625" style="429" customWidth="1"/>
    <col min="9" max="9" width="6.7109375" style="429" customWidth="1"/>
    <col min="10" max="10" width="2.85546875" style="429" customWidth="1"/>
    <col min="11" max="11" width="9.42578125" style="429" customWidth="1"/>
    <col min="12" max="12" width="7.7109375" style="429" customWidth="1"/>
    <col min="13" max="13" width="9.28515625" style="429" customWidth="1"/>
    <col min="14" max="17" width="9.140625" style="429" customWidth="1"/>
    <col min="18" max="28" width="9.140625" style="4" hidden="1" customWidth="1"/>
    <col min="29" max="29" width="10.140625" style="4" hidden="1" customWidth="1"/>
    <col min="30" max="30" width="8.42578125" style="4" hidden="1" customWidth="1"/>
    <col min="31" max="31" width="9" style="4" hidden="1" customWidth="1"/>
    <col min="32" max="32" width="8.28515625" style="4" hidden="1" customWidth="1"/>
    <col min="33" max="88" width="0" style="4" hidden="1" customWidth="1"/>
    <col min="89" max="16384" width="9.140625" style="4" hidden="1"/>
  </cols>
  <sheetData>
    <row r="1" spans="1:88" ht="24.75" customHeight="1" x14ac:dyDescent="0.35">
      <c r="A1" s="427"/>
      <c r="B1" s="1921" t="s">
        <v>0</v>
      </c>
      <c r="C1" s="1949" t="s">
        <v>581</v>
      </c>
      <c r="D1" s="1949"/>
      <c r="E1" s="1949"/>
      <c r="F1" s="1949"/>
      <c r="G1" s="780"/>
      <c r="H1" s="427"/>
      <c r="I1" s="428"/>
      <c r="J1" s="427"/>
      <c r="K1" s="427"/>
      <c r="L1" s="427"/>
      <c r="M1" s="427"/>
      <c r="N1" s="427"/>
      <c r="O1" s="427"/>
      <c r="P1" s="427"/>
      <c r="Q1" s="427"/>
      <c r="R1" s="378"/>
      <c r="S1" s="378"/>
      <c r="T1" s="378"/>
      <c r="U1" s="378"/>
      <c r="V1" s="378"/>
      <c r="W1" s="378"/>
      <c r="X1" s="378"/>
      <c r="Y1" s="378"/>
      <c r="Z1" s="378"/>
      <c r="AA1" s="378"/>
      <c r="AB1" s="378"/>
      <c r="AC1" s="378"/>
      <c r="AD1" s="378"/>
      <c r="AE1" s="378"/>
      <c r="AF1" s="378"/>
      <c r="AG1" s="378"/>
      <c r="AH1" s="378"/>
      <c r="AI1" s="378"/>
      <c r="AJ1" s="378"/>
      <c r="AK1" s="378"/>
      <c r="AL1" s="378"/>
      <c r="AM1" s="378"/>
      <c r="AN1" s="378"/>
      <c r="AO1" s="378"/>
      <c r="AP1" s="378"/>
      <c r="AQ1" s="378"/>
      <c r="AR1" s="378"/>
      <c r="AS1" s="378"/>
      <c r="AT1" s="378"/>
      <c r="AU1" s="378"/>
      <c r="AV1" s="378"/>
      <c r="AW1" s="378"/>
      <c r="AX1" s="378"/>
      <c r="AY1" s="378"/>
      <c r="AZ1" s="378"/>
      <c r="BA1" s="378"/>
      <c r="BB1" s="378"/>
      <c r="BC1" s="378"/>
      <c r="BD1" s="378"/>
      <c r="BE1" s="378"/>
      <c r="BF1" s="378"/>
      <c r="BG1" s="378"/>
      <c r="BH1" s="378"/>
      <c r="BI1" s="378"/>
      <c r="BJ1" s="378"/>
      <c r="BK1" s="378"/>
      <c r="BL1" s="378"/>
      <c r="BM1" s="378"/>
      <c r="BN1" s="378"/>
      <c r="BO1" s="378"/>
      <c r="BP1" s="378"/>
      <c r="BQ1" s="378"/>
      <c r="BR1" s="378"/>
      <c r="BS1" s="378"/>
      <c r="BT1" s="378"/>
      <c r="BU1" s="378"/>
      <c r="BV1" s="378"/>
      <c r="BW1" s="378"/>
      <c r="BX1" s="378"/>
      <c r="BY1" s="378"/>
      <c r="BZ1" s="378"/>
      <c r="CA1" s="378"/>
      <c r="CB1" s="378"/>
      <c r="CC1" s="378"/>
      <c r="CD1" s="378"/>
      <c r="CE1" s="378"/>
      <c r="CF1" s="378"/>
      <c r="CG1" s="378"/>
      <c r="CH1" s="378"/>
      <c r="CI1" s="378"/>
      <c r="CJ1" s="378"/>
    </row>
    <row r="2" spans="1:88" ht="15" customHeight="1" x14ac:dyDescent="0.35">
      <c r="A2" s="427"/>
      <c r="B2" s="1921"/>
      <c r="C2" s="1949"/>
      <c r="D2" s="1949"/>
      <c r="E2" s="1949"/>
      <c r="F2" s="1949"/>
      <c r="G2" s="780"/>
      <c r="H2" s="427"/>
      <c r="I2" s="427"/>
      <c r="J2" s="427"/>
      <c r="K2" s="427"/>
      <c r="L2" s="427"/>
      <c r="M2" s="427"/>
      <c r="N2" s="427"/>
      <c r="O2" s="427"/>
      <c r="P2" s="427"/>
      <c r="Q2" s="427"/>
      <c r="R2" s="378"/>
      <c r="S2" s="378"/>
      <c r="T2" s="378"/>
      <c r="U2" s="378"/>
      <c r="V2" s="378"/>
      <c r="W2" s="378"/>
      <c r="X2" s="378"/>
      <c r="Y2" s="378"/>
      <c r="Z2" s="378"/>
      <c r="AA2" s="378"/>
      <c r="AB2" s="378"/>
      <c r="AC2" s="378"/>
      <c r="AD2" s="378"/>
      <c r="AE2" s="378"/>
      <c r="AF2" s="378"/>
      <c r="AG2" s="378"/>
      <c r="AH2" s="378"/>
      <c r="AI2" s="378"/>
      <c r="AJ2" s="378"/>
      <c r="AK2" s="378"/>
      <c r="AL2" s="378"/>
      <c r="AM2" s="378"/>
      <c r="AN2" s="378"/>
      <c r="AO2" s="378"/>
      <c r="AP2" s="378"/>
      <c r="AQ2" s="378"/>
      <c r="AR2" s="378"/>
      <c r="AS2" s="378"/>
      <c r="AT2" s="378"/>
      <c r="AU2" s="378"/>
      <c r="AV2" s="378"/>
      <c r="AW2" s="378"/>
      <c r="AX2" s="378"/>
      <c r="AY2" s="378"/>
      <c r="AZ2" s="378"/>
      <c r="BA2" s="378"/>
      <c r="BB2" s="378"/>
      <c r="BC2" s="378"/>
      <c r="BD2" s="378"/>
      <c r="BE2" s="378"/>
      <c r="BF2" s="378"/>
      <c r="BG2" s="378"/>
      <c r="BH2" s="378"/>
      <c r="BI2" s="378"/>
      <c r="BJ2" s="378"/>
      <c r="BK2" s="378"/>
      <c r="BL2" s="378"/>
      <c r="BM2" s="378"/>
      <c r="BN2" s="378"/>
      <c r="BO2" s="378"/>
      <c r="BP2" s="378"/>
      <c r="BQ2" s="378"/>
      <c r="BR2" s="378"/>
      <c r="BS2" s="378"/>
      <c r="BT2" s="378"/>
      <c r="BU2" s="378"/>
      <c r="BV2" s="378"/>
      <c r="BW2" s="378"/>
      <c r="BX2" s="378"/>
      <c r="BY2" s="378"/>
      <c r="BZ2" s="378"/>
      <c r="CA2" s="378"/>
      <c r="CB2" s="378"/>
      <c r="CC2" s="378"/>
      <c r="CD2" s="378"/>
      <c r="CE2" s="378"/>
      <c r="CF2" s="378"/>
      <c r="CG2" s="378"/>
      <c r="CH2" s="378"/>
      <c r="CI2" s="378"/>
      <c r="CJ2" s="378"/>
    </row>
    <row r="3" spans="1:88" ht="14.25" customHeight="1" x14ac:dyDescent="0.25">
      <c r="A3" s="427"/>
      <c r="B3" s="1921"/>
      <c r="P3" s="427"/>
      <c r="Q3" s="427"/>
      <c r="R3" s="378"/>
      <c r="S3" s="378"/>
      <c r="T3" s="378"/>
      <c r="U3" s="378"/>
      <c r="V3" s="378"/>
      <c r="W3" s="378"/>
      <c r="X3" s="378"/>
      <c r="Y3" s="378"/>
      <c r="Z3" s="378"/>
      <c r="AA3" s="378"/>
      <c r="AB3" s="378"/>
      <c r="AC3" s="378"/>
      <c r="AD3" s="378"/>
      <c r="AE3" s="378"/>
      <c r="AF3" s="378"/>
      <c r="AG3" s="378"/>
      <c r="AH3" s="378"/>
      <c r="AI3" s="378"/>
      <c r="AJ3" s="378"/>
      <c r="AK3" s="378"/>
      <c r="AL3" s="378"/>
      <c r="AM3" s="378"/>
      <c r="AN3" s="378"/>
      <c r="AO3" s="378"/>
      <c r="AP3" s="378"/>
      <c r="AQ3" s="378"/>
      <c r="AR3" s="378"/>
      <c r="AS3" s="378"/>
      <c r="AT3" s="378"/>
      <c r="AU3" s="378"/>
      <c r="AV3" s="378"/>
      <c r="AW3" s="378"/>
      <c r="AX3" s="378"/>
      <c r="AY3" s="378"/>
      <c r="AZ3" s="378"/>
      <c r="BA3" s="378"/>
      <c r="BB3" s="378"/>
      <c r="BC3" s="378"/>
      <c r="BD3" s="378"/>
      <c r="BE3" s="378"/>
      <c r="BF3" s="378"/>
      <c r="BG3" s="378"/>
      <c r="BH3" s="378"/>
      <c r="BI3" s="378"/>
      <c r="BJ3" s="378"/>
      <c r="BK3" s="378"/>
      <c r="BL3" s="378"/>
      <c r="BM3" s="378"/>
      <c r="BN3" s="378"/>
      <c r="BO3" s="378"/>
      <c r="BP3" s="378"/>
      <c r="BQ3" s="378"/>
      <c r="BR3" s="378"/>
      <c r="BS3" s="378"/>
      <c r="BT3" s="378"/>
      <c r="BU3" s="378"/>
      <c r="BV3" s="378"/>
      <c r="BW3" s="378"/>
      <c r="BX3" s="378"/>
      <c r="BY3" s="378"/>
      <c r="BZ3" s="378"/>
      <c r="CA3" s="378"/>
      <c r="CB3" s="378"/>
      <c r="CC3" s="378"/>
      <c r="CD3" s="378"/>
      <c r="CE3" s="378"/>
      <c r="CF3" s="378"/>
      <c r="CG3" s="378"/>
      <c r="CH3" s="378"/>
      <c r="CI3" s="378"/>
      <c r="CJ3" s="378"/>
    </row>
    <row r="4" spans="1:88" ht="15.75" customHeight="1" x14ac:dyDescent="0.25">
      <c r="A4" s="427"/>
      <c r="I4" s="781"/>
      <c r="P4" s="427"/>
      <c r="Q4" s="427"/>
      <c r="R4" s="378"/>
      <c r="S4" s="378"/>
      <c r="T4" s="378"/>
      <c r="U4" s="378"/>
      <c r="V4" s="378"/>
      <c r="W4" s="378"/>
      <c r="X4" s="378"/>
      <c r="Y4" s="378"/>
      <c r="Z4" s="378"/>
      <c r="AA4" s="378"/>
      <c r="AB4" s="378"/>
      <c r="AC4" s="378"/>
      <c r="AD4" s="378"/>
      <c r="AE4" s="378"/>
      <c r="AF4" s="378"/>
      <c r="AG4" s="378"/>
      <c r="AH4" s="378"/>
      <c r="AI4" s="378"/>
      <c r="AJ4" s="378"/>
      <c r="AK4" s="378"/>
      <c r="AL4" s="378"/>
      <c r="AM4" s="378"/>
      <c r="AN4" s="378"/>
      <c r="AO4" s="378"/>
      <c r="AP4" s="378"/>
      <c r="AQ4" s="378"/>
      <c r="AR4" s="378"/>
      <c r="AS4" s="378"/>
      <c r="AT4" s="378"/>
      <c r="AU4" s="378"/>
      <c r="AV4" s="378"/>
      <c r="AW4" s="378"/>
      <c r="AX4" s="378"/>
      <c r="AY4" s="378"/>
      <c r="AZ4" s="378"/>
      <c r="BA4" s="378"/>
      <c r="BB4" s="378"/>
      <c r="BC4" s="378"/>
      <c r="BD4" s="378"/>
      <c r="BE4" s="378"/>
      <c r="BF4" s="378"/>
      <c r="BG4" s="378"/>
      <c r="BH4" s="378"/>
      <c r="BI4" s="378"/>
      <c r="BJ4" s="378"/>
      <c r="BK4" s="378"/>
      <c r="BL4" s="378"/>
      <c r="BM4" s="378"/>
      <c r="BN4" s="378"/>
      <c r="BO4" s="378"/>
      <c r="BP4" s="378"/>
      <c r="BQ4" s="378"/>
      <c r="BR4" s="378"/>
      <c r="BS4" s="378"/>
      <c r="BT4" s="378"/>
      <c r="BU4" s="378"/>
      <c r="BV4" s="378"/>
      <c r="BW4" s="378"/>
      <c r="BX4" s="378"/>
      <c r="BY4" s="378"/>
      <c r="BZ4" s="378"/>
      <c r="CA4" s="378"/>
      <c r="CB4" s="378"/>
      <c r="CC4" s="378"/>
      <c r="CD4" s="378"/>
      <c r="CE4" s="378"/>
      <c r="CF4" s="378"/>
      <c r="CG4" s="378"/>
      <c r="CH4" s="378"/>
      <c r="CI4" s="378"/>
      <c r="CJ4" s="378"/>
    </row>
    <row r="5" spans="1:88" ht="17.25" customHeight="1" x14ac:dyDescent="0.25">
      <c r="A5" s="427"/>
      <c r="B5" s="846" t="s">
        <v>582</v>
      </c>
      <c r="C5" s="833"/>
      <c r="D5" s="833"/>
      <c r="E5" s="833"/>
      <c r="F5" s="833"/>
      <c r="G5" s="1436" t="str">
        <f>IF('1 QUESTIONÁRIO'!E8="","",'1 QUESTIONÁRIO'!E8)</f>
        <v/>
      </c>
      <c r="H5" s="834"/>
      <c r="I5" s="834"/>
      <c r="J5" s="835"/>
      <c r="Q5" s="427"/>
      <c r="R5" s="378"/>
      <c r="S5" s="378"/>
      <c r="T5" s="378"/>
      <c r="U5" s="378"/>
      <c r="V5" s="378"/>
      <c r="W5" s="378"/>
      <c r="X5" s="378"/>
      <c r="Y5" s="378"/>
      <c r="Z5" s="378"/>
      <c r="AA5" s="378"/>
      <c r="AB5" s="378"/>
      <c r="AC5" s="378"/>
      <c r="AD5" s="378"/>
      <c r="AE5" s="378"/>
      <c r="AF5" s="378"/>
      <c r="AG5" s="378"/>
      <c r="AH5" s="378"/>
      <c r="AI5" s="378"/>
      <c r="AJ5" s="378"/>
      <c r="AK5" s="378"/>
      <c r="AL5" s="378"/>
      <c r="AM5" s="378"/>
      <c r="AN5" s="378"/>
      <c r="AO5" s="378"/>
      <c r="AP5" s="378"/>
      <c r="AQ5" s="378"/>
      <c r="AR5" s="378"/>
      <c r="AS5" s="378"/>
      <c r="AT5" s="378"/>
      <c r="AU5" s="378"/>
      <c r="AV5" s="378"/>
      <c r="AW5" s="378"/>
      <c r="AX5" s="378"/>
      <c r="AY5" s="378"/>
      <c r="AZ5" s="378"/>
      <c r="BA5" s="378"/>
      <c r="BB5" s="378"/>
      <c r="BC5" s="378"/>
      <c r="BD5" s="378"/>
      <c r="BE5" s="378"/>
      <c r="BF5" s="378"/>
      <c r="BG5" s="378"/>
      <c r="BH5" s="378"/>
      <c r="BI5" s="378"/>
      <c r="BJ5" s="378"/>
      <c r="BK5" s="378"/>
      <c r="BL5" s="378"/>
      <c r="BM5" s="378"/>
      <c r="BN5" s="378"/>
      <c r="BO5" s="378"/>
      <c r="BP5" s="378"/>
      <c r="BQ5" s="378"/>
      <c r="BR5" s="378"/>
      <c r="BS5" s="378"/>
      <c r="BT5" s="378"/>
      <c r="BU5" s="378"/>
      <c r="BV5" s="378"/>
      <c r="BW5" s="378"/>
      <c r="BX5" s="378"/>
      <c r="BY5" s="378"/>
      <c r="BZ5" s="378"/>
      <c r="CA5" s="378"/>
      <c r="CB5" s="378"/>
      <c r="CC5" s="378"/>
      <c r="CD5" s="378"/>
      <c r="CE5" s="378"/>
      <c r="CF5" s="378"/>
      <c r="CG5" s="378"/>
      <c r="CH5" s="378"/>
      <c r="CI5" s="378"/>
      <c r="CJ5" s="378"/>
    </row>
    <row r="6" spans="1:88" ht="12" customHeight="1" x14ac:dyDescent="0.25">
      <c r="A6" s="427"/>
      <c r="B6" s="847" t="s">
        <v>583</v>
      </c>
      <c r="C6" s="831"/>
      <c r="D6" s="831"/>
      <c r="E6" s="831"/>
      <c r="F6" s="831"/>
      <c r="G6" s="1437" t="str">
        <f>IF('1 QUESTIONÁRIO'!C11="","",'1 QUESTIONÁRIO'!C11)</f>
        <v/>
      </c>
      <c r="H6" s="837"/>
      <c r="I6" s="837"/>
      <c r="J6" s="838"/>
      <c r="P6" s="427"/>
      <c r="Q6" s="427"/>
      <c r="R6" s="378"/>
      <c r="S6" s="378"/>
      <c r="T6" s="378"/>
      <c r="U6" s="378"/>
      <c r="V6" s="378"/>
      <c r="W6" s="378"/>
      <c r="X6" s="378"/>
      <c r="Y6" s="378"/>
      <c r="Z6" s="378"/>
      <c r="AA6" s="378"/>
      <c r="AB6" s="378"/>
      <c r="AC6" s="378"/>
      <c r="AD6" s="378"/>
      <c r="AE6" s="378"/>
      <c r="AF6" s="378"/>
      <c r="AG6" s="378"/>
      <c r="AH6" s="378"/>
      <c r="AI6" s="378"/>
      <c r="AJ6" s="378"/>
      <c r="AK6" s="378"/>
      <c r="AL6" s="378"/>
      <c r="AM6" s="378"/>
      <c r="AN6" s="378"/>
      <c r="AO6" s="378"/>
      <c r="AP6" s="378"/>
      <c r="AQ6" s="378"/>
      <c r="AR6" s="378"/>
      <c r="AS6" s="378"/>
      <c r="AT6" s="378"/>
      <c r="AU6" s="378"/>
      <c r="AV6" s="378"/>
      <c r="AW6" s="378"/>
      <c r="AX6" s="378"/>
      <c r="AY6" s="378"/>
      <c r="AZ6" s="378"/>
      <c r="BA6" s="378"/>
      <c r="BB6" s="378"/>
      <c r="BC6" s="378"/>
      <c r="BD6" s="378"/>
      <c r="BE6" s="378"/>
      <c r="BF6" s="378"/>
      <c r="BG6" s="378"/>
      <c r="BH6" s="378"/>
      <c r="BI6" s="378"/>
      <c r="BJ6" s="378"/>
      <c r="BK6" s="378"/>
      <c r="BL6" s="378"/>
      <c r="BM6" s="378"/>
      <c r="BN6" s="378"/>
      <c r="BO6" s="378"/>
      <c r="BP6" s="378"/>
      <c r="BQ6" s="378"/>
      <c r="BR6" s="378"/>
      <c r="BS6" s="378"/>
      <c r="BT6" s="378"/>
      <c r="BU6" s="378"/>
      <c r="BV6" s="378"/>
      <c r="BW6" s="378"/>
      <c r="BX6" s="378"/>
      <c r="BY6" s="378"/>
      <c r="BZ6" s="378"/>
      <c r="CA6" s="378"/>
      <c r="CB6" s="378"/>
      <c r="CC6" s="378"/>
      <c r="CD6" s="378"/>
      <c r="CE6" s="378"/>
      <c r="CF6" s="378"/>
      <c r="CG6" s="378"/>
      <c r="CH6" s="378"/>
      <c r="CI6" s="378"/>
      <c r="CJ6" s="378"/>
    </row>
    <row r="7" spans="1:88" ht="13.5" customHeight="1" x14ac:dyDescent="0.25">
      <c r="A7" s="427"/>
      <c r="B7" s="847" t="s">
        <v>584</v>
      </c>
      <c r="C7" s="831"/>
      <c r="D7" s="831"/>
      <c r="E7" s="831"/>
      <c r="F7" s="831"/>
      <c r="G7" s="1437" t="str">
        <f>IF('1 QUESTIONÁRIO'!H21="","",'1 QUESTIONÁRIO'!H21)</f>
        <v/>
      </c>
      <c r="H7" s="832"/>
      <c r="I7" s="832"/>
      <c r="J7" s="836"/>
      <c r="P7" s="427"/>
      <c r="Q7" s="427"/>
      <c r="R7" s="378"/>
      <c r="S7" s="378"/>
      <c r="T7" s="378"/>
      <c r="U7" s="378"/>
      <c r="V7" s="378"/>
      <c r="W7" s="378"/>
      <c r="X7" s="378"/>
      <c r="Y7" s="378"/>
      <c r="Z7" s="378"/>
      <c r="AA7" s="378"/>
      <c r="AB7" s="378"/>
      <c r="AC7" s="378"/>
      <c r="AD7" s="378"/>
      <c r="AE7" s="378"/>
      <c r="AF7" s="378"/>
      <c r="AG7" s="378"/>
      <c r="AH7" s="378"/>
      <c r="AI7" s="378"/>
      <c r="AJ7" s="378"/>
      <c r="AK7" s="378"/>
      <c r="AL7" s="378"/>
      <c r="AM7" s="378"/>
      <c r="AN7" s="378"/>
      <c r="AO7" s="378"/>
      <c r="AP7" s="378"/>
      <c r="AQ7" s="378"/>
      <c r="AR7" s="378"/>
      <c r="AS7" s="378"/>
      <c r="AT7" s="378"/>
      <c r="AU7" s="378"/>
      <c r="AV7" s="378"/>
      <c r="AW7" s="378"/>
      <c r="AX7" s="378"/>
      <c r="AY7" s="378"/>
      <c r="AZ7" s="378"/>
      <c r="BA7" s="378"/>
      <c r="BB7" s="378"/>
      <c r="BC7" s="378"/>
      <c r="BD7" s="378"/>
      <c r="BE7" s="378"/>
      <c r="BF7" s="378"/>
      <c r="BG7" s="378"/>
      <c r="BH7" s="378"/>
      <c r="BI7" s="378"/>
      <c r="BJ7" s="378"/>
      <c r="BK7" s="378"/>
      <c r="BL7" s="378"/>
      <c r="BM7" s="378"/>
      <c r="BN7" s="378"/>
      <c r="BO7" s="378"/>
      <c r="BP7" s="378"/>
      <c r="BQ7" s="378"/>
      <c r="BR7" s="378"/>
      <c r="BS7" s="378"/>
      <c r="BT7" s="378"/>
      <c r="BU7" s="378"/>
      <c r="BV7" s="378"/>
      <c r="BW7" s="378"/>
      <c r="BX7" s="378"/>
      <c r="BY7" s="378"/>
      <c r="BZ7" s="378"/>
      <c r="CA7" s="378"/>
      <c r="CB7" s="378"/>
      <c r="CC7" s="378"/>
      <c r="CD7" s="378"/>
      <c r="CE7" s="378"/>
      <c r="CF7" s="378"/>
      <c r="CG7" s="378"/>
      <c r="CH7" s="378"/>
      <c r="CI7" s="378"/>
      <c r="CJ7" s="378"/>
    </row>
    <row r="8" spans="1:88" ht="14.25" customHeight="1" x14ac:dyDescent="0.25">
      <c r="A8" s="427"/>
      <c r="B8" s="847" t="s">
        <v>585</v>
      </c>
      <c r="C8" s="831"/>
      <c r="D8" s="831"/>
      <c r="E8" s="831"/>
      <c r="F8" s="831"/>
      <c r="G8" s="1437" t="str">
        <f>IF('1 QUESTIONÁRIO'!H22="","",'1 QUESTIONÁRIO'!H22)</f>
        <v/>
      </c>
      <c r="H8" s="837"/>
      <c r="I8" s="837"/>
      <c r="J8" s="838"/>
      <c r="P8" s="427"/>
      <c r="Q8" s="427"/>
      <c r="R8" s="378"/>
      <c r="S8" s="378"/>
      <c r="T8" s="378"/>
      <c r="U8" s="378"/>
      <c r="V8" s="378"/>
      <c r="W8" s="378"/>
      <c r="X8" s="378"/>
      <c r="Y8" s="378"/>
      <c r="Z8" s="378"/>
      <c r="AA8" s="378"/>
      <c r="AB8" s="378"/>
      <c r="AC8" s="378"/>
      <c r="AD8" s="378"/>
      <c r="AE8" s="378"/>
      <c r="AF8" s="378"/>
      <c r="AG8" s="378"/>
      <c r="AH8" s="378"/>
      <c r="AI8" s="378"/>
      <c r="AJ8" s="378"/>
      <c r="AK8" s="378"/>
      <c r="AL8" s="378"/>
      <c r="AM8" s="378"/>
      <c r="AN8" s="378"/>
      <c r="AO8" s="378"/>
      <c r="AP8" s="378"/>
      <c r="AQ8" s="378"/>
      <c r="AR8" s="378"/>
      <c r="AS8" s="378"/>
      <c r="AT8" s="378"/>
      <c r="AU8" s="378"/>
      <c r="AV8" s="378"/>
      <c r="AW8" s="378"/>
      <c r="AX8" s="378"/>
      <c r="AY8" s="378"/>
      <c r="AZ8" s="378"/>
      <c r="BA8" s="378"/>
      <c r="BB8" s="378"/>
      <c r="BC8" s="378"/>
      <c r="BD8" s="378"/>
      <c r="BE8" s="378"/>
      <c r="BF8" s="378"/>
      <c r="BG8" s="378"/>
      <c r="BH8" s="378"/>
      <c r="BI8" s="378"/>
      <c r="BJ8" s="378"/>
      <c r="BK8" s="378"/>
      <c r="BL8" s="378"/>
      <c r="BM8" s="378"/>
      <c r="BN8" s="378"/>
      <c r="BO8" s="378"/>
      <c r="BP8" s="378"/>
      <c r="BQ8" s="378"/>
      <c r="BR8" s="378"/>
      <c r="BS8" s="378"/>
      <c r="BT8" s="378"/>
      <c r="BU8" s="378"/>
      <c r="BV8" s="378"/>
      <c r="BW8" s="378"/>
      <c r="BX8" s="378"/>
      <c r="BY8" s="378"/>
      <c r="BZ8" s="378"/>
      <c r="CA8" s="378"/>
      <c r="CB8" s="378"/>
      <c r="CC8" s="378"/>
      <c r="CD8" s="378"/>
      <c r="CE8" s="378"/>
      <c r="CF8" s="378"/>
      <c r="CG8" s="378"/>
      <c r="CH8" s="378"/>
      <c r="CI8" s="378"/>
      <c r="CJ8" s="378"/>
    </row>
    <row r="9" spans="1:88" ht="14.25" customHeight="1" x14ac:dyDescent="0.25">
      <c r="A9" s="427"/>
      <c r="B9" s="847" t="s">
        <v>586</v>
      </c>
      <c r="C9" s="831"/>
      <c r="D9" s="831"/>
      <c r="E9" s="831"/>
      <c r="F9" s="831"/>
      <c r="G9" s="1437" t="str">
        <f>IF('1 QUESTIONÁRIO'!C27="","",'1 QUESTIONÁRIO'!C27)</f>
        <v/>
      </c>
      <c r="H9" s="832"/>
      <c r="I9" s="832"/>
      <c r="J9" s="836"/>
      <c r="P9" s="427"/>
      <c r="Q9" s="427"/>
      <c r="R9" s="378"/>
      <c r="S9" s="378"/>
      <c r="T9" s="378"/>
      <c r="U9" s="378"/>
      <c r="V9" s="378"/>
      <c r="W9" s="378"/>
      <c r="X9" s="378"/>
      <c r="Y9" s="378"/>
      <c r="Z9" s="378"/>
      <c r="AA9" s="378"/>
      <c r="AB9" s="378"/>
      <c r="AC9" s="378"/>
      <c r="AD9" s="378"/>
      <c r="AE9" s="378"/>
      <c r="AF9" s="378"/>
      <c r="AG9" s="378"/>
      <c r="AH9" s="378"/>
      <c r="AI9" s="378"/>
      <c r="AJ9" s="378"/>
      <c r="AK9" s="378"/>
      <c r="AL9" s="378"/>
      <c r="AM9" s="378"/>
      <c r="AN9" s="378"/>
      <c r="AO9" s="378"/>
      <c r="AP9" s="378"/>
      <c r="AQ9" s="378"/>
      <c r="AR9" s="378"/>
      <c r="AS9" s="378"/>
      <c r="AT9" s="378"/>
      <c r="AU9" s="378"/>
      <c r="AV9" s="378"/>
      <c r="AW9" s="378"/>
      <c r="AX9" s="378"/>
      <c r="AY9" s="378"/>
      <c r="AZ9" s="378"/>
      <c r="BA9" s="378"/>
      <c r="BB9" s="378"/>
      <c r="BC9" s="378"/>
      <c r="BD9" s="378"/>
      <c r="BE9" s="378"/>
      <c r="BF9" s="378"/>
      <c r="BG9" s="378"/>
      <c r="BH9" s="378"/>
      <c r="BI9" s="378"/>
      <c r="BJ9" s="378"/>
      <c r="BK9" s="378"/>
      <c r="BL9" s="378"/>
      <c r="BM9" s="378"/>
      <c r="BN9" s="378"/>
      <c r="BO9" s="378"/>
      <c r="BP9" s="378"/>
      <c r="BQ9" s="378"/>
      <c r="BR9" s="378"/>
      <c r="BS9" s="378"/>
      <c r="BT9" s="378"/>
      <c r="BU9" s="378"/>
      <c r="BV9" s="378"/>
      <c r="BW9" s="378"/>
      <c r="BX9" s="378"/>
      <c r="BY9" s="378"/>
      <c r="BZ9" s="378"/>
      <c r="CA9" s="378"/>
      <c r="CB9" s="378"/>
      <c r="CC9" s="378"/>
      <c r="CD9" s="378"/>
      <c r="CE9" s="378"/>
      <c r="CF9" s="378"/>
      <c r="CG9" s="378"/>
      <c r="CH9" s="378"/>
      <c r="CI9" s="378"/>
      <c r="CJ9" s="378"/>
    </row>
    <row r="10" spans="1:88" ht="14.25" customHeight="1" x14ac:dyDescent="0.25">
      <c r="A10" s="427"/>
      <c r="B10" s="847" t="s">
        <v>587</v>
      </c>
      <c r="C10" s="831"/>
      <c r="D10" s="831"/>
      <c r="E10" s="831"/>
      <c r="F10" s="831"/>
      <c r="G10" s="1438" t="str">
        <f>IF('1 QUESTIONÁRIO'!H23="","",'1 QUESTIONÁRIO'!H23)</f>
        <v/>
      </c>
      <c r="H10" s="839"/>
      <c r="I10" s="837"/>
      <c r="J10" s="838"/>
      <c r="P10" s="427"/>
      <c r="Q10" s="427"/>
      <c r="R10" s="378"/>
      <c r="S10" s="378"/>
      <c r="T10" s="378"/>
      <c r="U10" s="378"/>
      <c r="V10" s="378"/>
      <c r="W10" s="378"/>
      <c r="X10" s="378"/>
      <c r="Y10" s="378"/>
      <c r="Z10" s="378"/>
      <c r="AA10" s="378"/>
      <c r="AB10" s="378"/>
      <c r="AC10" s="378"/>
      <c r="AD10" s="378"/>
      <c r="AE10" s="378"/>
      <c r="AF10" s="378"/>
      <c r="AG10" s="378"/>
      <c r="AH10" s="378"/>
      <c r="AI10" s="378"/>
      <c r="AJ10" s="378"/>
      <c r="AK10" s="378"/>
      <c r="AL10" s="378"/>
      <c r="AM10" s="378"/>
      <c r="AN10" s="378"/>
      <c r="AO10" s="378"/>
      <c r="AP10" s="378"/>
      <c r="AQ10" s="378"/>
      <c r="AR10" s="378"/>
      <c r="AS10" s="378"/>
      <c r="AT10" s="378"/>
      <c r="AU10" s="378"/>
      <c r="AV10" s="378"/>
      <c r="AW10" s="378"/>
      <c r="AX10" s="378"/>
      <c r="AY10" s="378"/>
      <c r="AZ10" s="378"/>
      <c r="BA10" s="378"/>
      <c r="BB10" s="378"/>
      <c r="BC10" s="378"/>
      <c r="BD10" s="378"/>
      <c r="BE10" s="378"/>
      <c r="BF10" s="378"/>
      <c r="BG10" s="378"/>
      <c r="BH10" s="378"/>
      <c r="BI10" s="378"/>
      <c r="BJ10" s="378"/>
      <c r="BK10" s="378"/>
      <c r="BL10" s="378"/>
      <c r="BM10" s="378"/>
      <c r="BN10" s="378"/>
      <c r="BO10" s="378"/>
      <c r="BP10" s="378"/>
      <c r="BQ10" s="378"/>
      <c r="BR10" s="378"/>
      <c r="BS10" s="378"/>
      <c r="BT10" s="378"/>
      <c r="BU10" s="378"/>
      <c r="BV10" s="378"/>
      <c r="BW10" s="378"/>
      <c r="BX10" s="378"/>
      <c r="BY10" s="378"/>
      <c r="BZ10" s="378"/>
      <c r="CA10" s="378"/>
      <c r="CB10" s="378"/>
      <c r="CC10" s="378"/>
      <c r="CD10" s="378"/>
      <c r="CE10" s="378"/>
      <c r="CF10" s="378"/>
      <c r="CG10" s="378"/>
      <c r="CH10" s="378"/>
      <c r="CI10" s="378"/>
      <c r="CJ10" s="378"/>
    </row>
    <row r="11" spans="1:88" ht="14.25" customHeight="1" x14ac:dyDescent="0.25">
      <c r="A11" s="427"/>
      <c r="B11" s="847" t="s">
        <v>588</v>
      </c>
      <c r="C11" s="831"/>
      <c r="D11" s="831"/>
      <c r="E11" s="831"/>
      <c r="F11" s="831"/>
      <c r="G11" s="1439">
        <f>SUM('1 QUESTIONÁRIO'!F43:F45)</f>
        <v>0</v>
      </c>
      <c r="H11" s="1027"/>
      <c r="I11" s="1027"/>
      <c r="J11" s="1028"/>
      <c r="P11" s="427"/>
      <c r="Q11" s="427"/>
      <c r="R11" s="378"/>
      <c r="S11" s="378"/>
      <c r="T11" s="378"/>
      <c r="U11" s="378"/>
      <c r="V11" s="378"/>
      <c r="W11" s="378"/>
      <c r="X11" s="378"/>
      <c r="Y11" s="378"/>
      <c r="Z11" s="378"/>
      <c r="AA11" s="378"/>
      <c r="AB11" s="378"/>
      <c r="AC11" s="378"/>
      <c r="AD11" s="378"/>
      <c r="AE11" s="378"/>
      <c r="AF11" s="378"/>
      <c r="AG11" s="378"/>
      <c r="AH11" s="378"/>
      <c r="AI11" s="378"/>
      <c r="AJ11" s="378"/>
      <c r="AK11" s="378"/>
      <c r="AL11" s="378"/>
      <c r="AM11" s="378"/>
      <c r="AN11" s="378"/>
      <c r="AO11" s="378"/>
      <c r="AP11" s="378"/>
      <c r="AQ11" s="378"/>
      <c r="AR11" s="378"/>
      <c r="AS11" s="378"/>
      <c r="AT11" s="378"/>
      <c r="AU11" s="378"/>
      <c r="AV11" s="378"/>
      <c r="AW11" s="378"/>
      <c r="AX11" s="378"/>
      <c r="AY11" s="378"/>
      <c r="AZ11" s="378"/>
      <c r="BA11" s="378"/>
      <c r="BB11" s="378"/>
      <c r="BC11" s="378"/>
      <c r="BD11" s="378"/>
      <c r="BE11" s="378"/>
      <c r="BF11" s="378"/>
      <c r="BG11" s="378"/>
      <c r="BH11" s="378"/>
      <c r="BI11" s="378"/>
      <c r="BJ11" s="378"/>
      <c r="BK11" s="378"/>
      <c r="BL11" s="378"/>
      <c r="BM11" s="378"/>
      <c r="BN11" s="378"/>
      <c r="BO11" s="378"/>
      <c r="BP11" s="378"/>
      <c r="BQ11" s="378"/>
      <c r="BR11" s="378"/>
      <c r="BS11" s="378"/>
      <c r="BT11" s="378"/>
      <c r="BU11" s="378"/>
      <c r="BV11" s="378"/>
      <c r="BW11" s="378"/>
      <c r="BX11" s="378"/>
      <c r="BY11" s="378"/>
      <c r="BZ11" s="378"/>
      <c r="CA11" s="378"/>
      <c r="CB11" s="378"/>
      <c r="CC11" s="378"/>
      <c r="CD11" s="378"/>
      <c r="CE11" s="378"/>
      <c r="CF11" s="378"/>
      <c r="CG11" s="378"/>
      <c r="CH11" s="378"/>
      <c r="CI11" s="378"/>
      <c r="CJ11" s="378"/>
    </row>
    <row r="12" spans="1:88" x14ac:dyDescent="0.25">
      <c r="A12" s="427"/>
      <c r="B12" s="847" t="s">
        <v>589</v>
      </c>
      <c r="C12" s="831"/>
      <c r="D12" s="831"/>
      <c r="E12" s="831"/>
      <c r="F12" s="831"/>
      <c r="G12" s="1439" t="str">
        <f>IF(G11&gt;0,('4 RELATÓRIO'!G11/'1 QUESTIONÁRIO'!F48),"")</f>
        <v/>
      </c>
      <c r="H12" s="1027"/>
      <c r="I12" s="1027"/>
      <c r="J12" s="1028"/>
      <c r="K12" s="782"/>
      <c r="M12" s="427"/>
      <c r="N12" s="427"/>
      <c r="O12" s="427"/>
      <c r="P12" s="427"/>
      <c r="Q12" s="427"/>
      <c r="R12" s="378"/>
      <c r="S12" s="378"/>
      <c r="T12" s="378"/>
      <c r="U12" s="378"/>
      <c r="V12" s="378"/>
      <c r="W12" s="378"/>
      <c r="X12" s="378"/>
      <c r="Y12" s="378"/>
      <c r="Z12" s="378"/>
      <c r="AA12" s="378"/>
      <c r="AB12" s="378"/>
      <c r="AC12" s="378"/>
      <c r="AD12" s="378"/>
      <c r="AE12" s="378"/>
      <c r="AF12" s="378"/>
      <c r="AG12" s="378"/>
      <c r="AH12" s="378"/>
      <c r="AI12" s="378"/>
      <c r="AJ12" s="378"/>
      <c r="AK12" s="378"/>
      <c r="AL12" s="378"/>
      <c r="AM12" s="378"/>
      <c r="AN12" s="378"/>
      <c r="AO12" s="378"/>
      <c r="AP12" s="378"/>
      <c r="AQ12" s="378"/>
      <c r="AR12" s="378"/>
      <c r="AS12" s="378"/>
      <c r="AT12" s="378"/>
      <c r="AU12" s="378"/>
      <c r="AV12" s="378"/>
      <c r="AW12" s="378"/>
      <c r="AX12" s="378"/>
      <c r="AY12" s="378"/>
      <c r="AZ12" s="378"/>
      <c r="BA12" s="378"/>
      <c r="BB12" s="378"/>
      <c r="BC12" s="378"/>
      <c r="BD12" s="378"/>
      <c r="BE12" s="378"/>
      <c r="BF12" s="378"/>
      <c r="BG12" s="378"/>
      <c r="BH12" s="378"/>
      <c r="BI12" s="378"/>
      <c r="BJ12" s="378"/>
      <c r="BK12" s="378"/>
      <c r="BL12" s="378"/>
      <c r="BM12" s="378"/>
      <c r="BN12" s="378"/>
      <c r="BO12" s="378"/>
      <c r="BP12" s="378"/>
      <c r="BQ12" s="378"/>
      <c r="BR12" s="378"/>
      <c r="BS12" s="378"/>
      <c r="BT12" s="378"/>
      <c r="BU12" s="378"/>
      <c r="BV12" s="378"/>
      <c r="BW12" s="378"/>
      <c r="BX12" s="378"/>
      <c r="BY12" s="378"/>
      <c r="BZ12" s="378"/>
      <c r="CA12" s="378"/>
      <c r="CB12" s="378"/>
      <c r="CC12" s="378"/>
      <c r="CD12" s="378"/>
      <c r="CE12" s="378"/>
      <c r="CF12" s="378"/>
      <c r="CG12" s="378"/>
      <c r="CH12" s="378"/>
      <c r="CI12" s="378"/>
      <c r="CJ12" s="378"/>
    </row>
    <row r="13" spans="1:88" ht="14.25" customHeight="1" x14ac:dyDescent="0.25">
      <c r="A13" s="427"/>
      <c r="B13" s="1029" t="s">
        <v>590</v>
      </c>
      <c r="C13" s="1030"/>
      <c r="D13" s="1030"/>
      <c r="E13" s="1030"/>
      <c r="F13" s="1030"/>
      <c r="G13" s="1440">
        <f>'1 QUESTIONÁRIO'!F54+'1 QUESTIONÁRIO'!F55+'1 QUESTIONÁRIO'!F56</f>
        <v>0</v>
      </c>
      <c r="H13" s="1031"/>
      <c r="I13" s="502"/>
      <c r="J13" s="503"/>
      <c r="K13" s="427" t="s">
        <v>591</v>
      </c>
      <c r="L13" s="427"/>
      <c r="M13" s="427"/>
      <c r="N13" s="427"/>
      <c r="O13" s="427"/>
      <c r="P13" s="427"/>
      <c r="Q13" s="427"/>
      <c r="R13" s="378"/>
      <c r="S13" s="378"/>
      <c r="T13" s="378"/>
      <c r="U13" s="378"/>
      <c r="V13" s="378"/>
      <c r="W13" s="378"/>
      <c r="X13" s="378"/>
      <c r="Y13" s="378"/>
      <c r="Z13" s="378"/>
      <c r="AA13" s="378"/>
      <c r="AB13" s="378"/>
      <c r="AC13" s="378"/>
      <c r="AD13" s="378"/>
      <c r="AE13" s="378"/>
      <c r="AF13" s="378"/>
      <c r="AG13" s="378"/>
      <c r="AH13" s="378"/>
      <c r="AI13" s="378"/>
      <c r="AJ13" s="378"/>
      <c r="AK13" s="378"/>
      <c r="AL13" s="378"/>
      <c r="AM13" s="378"/>
      <c r="AN13" s="378"/>
      <c r="AO13" s="378"/>
      <c r="AP13" s="378"/>
      <c r="AQ13" s="378"/>
      <c r="AR13" s="378"/>
      <c r="AS13" s="378"/>
      <c r="AT13" s="378"/>
      <c r="AU13" s="378"/>
      <c r="AV13" s="378"/>
      <c r="AW13" s="378"/>
      <c r="AX13" s="378"/>
      <c r="AY13" s="378"/>
      <c r="AZ13" s="378"/>
      <c r="BA13" s="378"/>
      <c r="BB13" s="378"/>
      <c r="BC13" s="378"/>
      <c r="BD13" s="378"/>
      <c r="BE13" s="378"/>
      <c r="BF13" s="378"/>
      <c r="BG13" s="378"/>
      <c r="BH13" s="378"/>
      <c r="BI13" s="378"/>
      <c r="BJ13" s="378"/>
      <c r="BK13" s="378"/>
      <c r="BL13" s="378"/>
      <c r="BM13" s="378"/>
      <c r="BN13" s="378"/>
      <c r="BO13" s="378"/>
      <c r="BP13" s="378"/>
      <c r="BQ13" s="378"/>
      <c r="BR13" s="378"/>
      <c r="BS13" s="378"/>
      <c r="BT13" s="378"/>
      <c r="BU13" s="378"/>
      <c r="BV13" s="378"/>
      <c r="BW13" s="378"/>
      <c r="BX13" s="378"/>
      <c r="BY13" s="378"/>
      <c r="BZ13" s="378"/>
      <c r="CA13" s="378"/>
      <c r="CB13" s="378"/>
      <c r="CC13" s="378"/>
      <c r="CD13" s="378"/>
      <c r="CE13" s="378"/>
      <c r="CF13" s="378"/>
      <c r="CG13" s="378"/>
      <c r="CH13" s="378"/>
      <c r="CI13" s="378"/>
      <c r="CJ13" s="378"/>
    </row>
    <row r="14" spans="1:88" ht="14.25" customHeight="1" x14ac:dyDescent="0.25">
      <c r="A14" s="427"/>
      <c r="G14" s="1441"/>
      <c r="I14" s="4"/>
      <c r="J14" s="4"/>
      <c r="L14" s="427"/>
      <c r="M14" s="427"/>
      <c r="N14" s="427"/>
      <c r="O14" s="427"/>
      <c r="P14" s="427"/>
      <c r="Q14" s="427"/>
      <c r="R14" s="378"/>
      <c r="S14" s="378"/>
      <c r="T14" s="378"/>
      <c r="U14" s="378"/>
      <c r="V14" s="378"/>
      <c r="W14" s="378"/>
      <c r="X14" s="378"/>
      <c r="Y14" s="378"/>
      <c r="Z14" s="378"/>
      <c r="AA14" s="378"/>
      <c r="AB14" s="378"/>
      <c r="AC14" s="378"/>
      <c r="AD14" s="378"/>
      <c r="AE14" s="378"/>
      <c r="AF14" s="378"/>
      <c r="AG14" s="378"/>
      <c r="AH14" s="378"/>
      <c r="AI14" s="378"/>
      <c r="AJ14" s="378"/>
      <c r="AK14" s="378"/>
      <c r="AL14" s="378"/>
      <c r="AM14" s="378"/>
      <c r="AN14" s="378"/>
      <c r="AO14" s="378"/>
      <c r="AP14" s="378"/>
      <c r="AQ14" s="378"/>
      <c r="AR14" s="378"/>
      <c r="AS14" s="378"/>
      <c r="AT14" s="378"/>
      <c r="AU14" s="378"/>
      <c r="AV14" s="378"/>
      <c r="AW14" s="378"/>
      <c r="AX14" s="378"/>
      <c r="AY14" s="378"/>
      <c r="AZ14" s="378"/>
      <c r="BA14" s="378"/>
      <c r="BB14" s="378"/>
      <c r="BC14" s="378"/>
      <c r="BD14" s="378"/>
      <c r="BE14" s="378"/>
      <c r="BF14" s="378"/>
      <c r="BG14" s="378"/>
      <c r="BH14" s="378"/>
      <c r="BI14" s="378"/>
      <c r="BJ14" s="378"/>
      <c r="BK14" s="378"/>
      <c r="BL14" s="378"/>
      <c r="BM14" s="378"/>
      <c r="BN14" s="378"/>
      <c r="BO14" s="378"/>
      <c r="BP14" s="378"/>
      <c r="BQ14" s="378"/>
      <c r="BR14" s="378"/>
      <c r="BS14" s="378"/>
      <c r="BT14" s="378"/>
      <c r="BU14" s="378"/>
      <c r="BV14" s="378"/>
      <c r="BW14" s="378"/>
      <c r="BX14" s="378"/>
      <c r="BY14" s="378"/>
      <c r="BZ14" s="378"/>
      <c r="CA14" s="378"/>
      <c r="CB14" s="378"/>
      <c r="CC14" s="378"/>
      <c r="CD14" s="378"/>
      <c r="CE14" s="378"/>
      <c r="CF14" s="378"/>
      <c r="CG14" s="378"/>
      <c r="CH14" s="378"/>
      <c r="CI14" s="378"/>
      <c r="CJ14" s="378"/>
    </row>
    <row r="15" spans="1:88" x14ac:dyDescent="0.25">
      <c r="A15" s="427"/>
      <c r="G15" s="1441"/>
      <c r="I15" s="4"/>
      <c r="J15" s="4"/>
      <c r="L15" s="427"/>
      <c r="M15" s="427"/>
      <c r="N15" s="427"/>
      <c r="O15" s="427"/>
      <c r="P15" s="427"/>
      <c r="Q15" s="427"/>
      <c r="R15" s="378"/>
      <c r="S15" s="378"/>
      <c r="T15" s="378"/>
      <c r="U15" s="378"/>
      <c r="V15" s="378"/>
      <c r="W15" s="378"/>
      <c r="X15" s="378"/>
      <c r="Y15" s="378"/>
      <c r="Z15" s="378"/>
      <c r="AA15" s="378"/>
      <c r="AB15" s="378"/>
      <c r="AC15" s="378"/>
      <c r="AD15" s="378"/>
      <c r="AE15" s="378"/>
      <c r="AF15" s="378"/>
      <c r="AG15" s="378"/>
      <c r="AH15" s="378"/>
      <c r="AI15" s="378"/>
      <c r="AJ15" s="378"/>
      <c r="AK15" s="378"/>
      <c r="AL15" s="378"/>
      <c r="AM15" s="378"/>
      <c r="AN15" s="378"/>
      <c r="AO15" s="378"/>
      <c r="AP15" s="378"/>
      <c r="AQ15" s="378"/>
      <c r="AR15" s="378"/>
      <c r="AS15" s="378"/>
      <c r="AT15" s="378"/>
      <c r="AU15" s="378"/>
      <c r="AV15" s="378"/>
      <c r="AW15" s="378"/>
      <c r="AX15" s="378"/>
      <c r="AY15" s="378"/>
      <c r="AZ15" s="378"/>
      <c r="BA15" s="378"/>
      <c r="BB15" s="378"/>
      <c r="BC15" s="378"/>
      <c r="BD15" s="378"/>
      <c r="BE15" s="378"/>
      <c r="BF15" s="378"/>
      <c r="BG15" s="378"/>
      <c r="BH15" s="378"/>
      <c r="BI15" s="378"/>
      <c r="BJ15" s="378"/>
      <c r="BK15" s="378"/>
      <c r="BL15" s="378"/>
      <c r="BM15" s="378"/>
      <c r="BN15" s="378"/>
      <c r="BO15" s="378"/>
      <c r="BP15" s="378"/>
      <c r="BQ15" s="378"/>
      <c r="BR15" s="378"/>
      <c r="BS15" s="378"/>
      <c r="BT15" s="378"/>
      <c r="BU15" s="378"/>
      <c r="BV15" s="378"/>
      <c r="BW15" s="378"/>
      <c r="BX15" s="378"/>
      <c r="BY15" s="378"/>
      <c r="BZ15" s="378"/>
      <c r="CA15" s="378"/>
      <c r="CB15" s="378"/>
      <c r="CC15" s="378"/>
      <c r="CD15" s="378"/>
      <c r="CE15" s="378"/>
      <c r="CF15" s="378"/>
      <c r="CG15" s="378"/>
      <c r="CH15" s="378"/>
      <c r="CI15" s="378"/>
      <c r="CJ15" s="378"/>
    </row>
    <row r="16" spans="1:88" ht="15" customHeight="1" x14ac:dyDescent="0.25">
      <c r="A16" s="427"/>
      <c r="G16" s="1441"/>
      <c r="H16" s="778"/>
      <c r="I16" s="4"/>
      <c r="J16" s="4"/>
      <c r="L16" s="427"/>
      <c r="M16" s="427"/>
      <c r="N16" s="427"/>
      <c r="O16" s="427"/>
      <c r="P16" s="427"/>
      <c r="Q16" s="427"/>
      <c r="R16" s="378"/>
      <c r="S16" s="378"/>
      <c r="T16" s="378"/>
      <c r="U16" s="378"/>
      <c r="V16" s="378"/>
      <c r="W16" s="378"/>
      <c r="X16" s="378"/>
      <c r="Y16" s="378"/>
      <c r="Z16" s="378"/>
      <c r="AA16" s="378"/>
      <c r="AB16" s="378"/>
      <c r="AC16" s="378"/>
      <c r="AD16" s="378"/>
      <c r="AE16" s="378"/>
      <c r="AF16" s="378"/>
      <c r="AG16" s="378"/>
      <c r="AH16" s="378"/>
      <c r="AI16" s="378"/>
      <c r="AJ16" s="378"/>
      <c r="AK16" s="378"/>
      <c r="AL16" s="378"/>
      <c r="AM16" s="378"/>
      <c r="AN16" s="378"/>
      <c r="AO16" s="378"/>
      <c r="AP16" s="378"/>
      <c r="AQ16" s="378"/>
      <c r="AR16" s="378"/>
      <c r="AS16" s="378"/>
      <c r="AT16" s="378"/>
      <c r="AU16" s="378"/>
      <c r="AV16" s="378"/>
      <c r="AW16" s="378"/>
      <c r="AX16" s="378"/>
      <c r="AY16" s="378"/>
      <c r="AZ16" s="378"/>
      <c r="BA16" s="378"/>
      <c r="BB16" s="378"/>
      <c r="BC16" s="378"/>
      <c r="BD16" s="378"/>
      <c r="BE16" s="378"/>
      <c r="BF16" s="378"/>
      <c r="BG16" s="378"/>
      <c r="BH16" s="378"/>
      <c r="BI16" s="378"/>
      <c r="BJ16" s="378"/>
      <c r="BK16" s="378"/>
      <c r="BL16" s="378"/>
      <c r="BM16" s="378"/>
      <c r="BN16" s="378"/>
      <c r="BO16" s="378"/>
      <c r="BP16" s="378"/>
      <c r="BQ16" s="378"/>
      <c r="BR16" s="378"/>
      <c r="BS16" s="378"/>
      <c r="BT16" s="378"/>
      <c r="BU16" s="378"/>
      <c r="BV16" s="378"/>
      <c r="BW16" s="378"/>
      <c r="BX16" s="378"/>
      <c r="BY16" s="378"/>
      <c r="BZ16" s="378"/>
      <c r="CA16" s="378"/>
      <c r="CB16" s="378"/>
      <c r="CC16" s="378"/>
      <c r="CD16" s="378"/>
      <c r="CE16" s="378"/>
      <c r="CF16" s="378"/>
      <c r="CG16" s="378"/>
      <c r="CH16" s="378"/>
      <c r="CI16" s="378"/>
      <c r="CJ16" s="378"/>
    </row>
    <row r="17" spans="1:88" ht="15" customHeight="1" x14ac:dyDescent="0.25">
      <c r="A17" s="427"/>
      <c r="G17" s="1441"/>
      <c r="H17" s="778"/>
      <c r="I17" s="4"/>
      <c r="J17" s="4"/>
      <c r="L17" s="427"/>
      <c r="M17" s="427"/>
      <c r="N17" s="427"/>
      <c r="O17" s="427"/>
      <c r="P17" s="427"/>
      <c r="Q17" s="427"/>
      <c r="R17" s="378"/>
      <c r="S17" s="378"/>
      <c r="T17" s="378"/>
      <c r="U17" s="378"/>
      <c r="V17" s="378"/>
      <c r="W17" s="378"/>
      <c r="X17" s="378"/>
      <c r="Y17" s="378"/>
      <c r="Z17" s="378"/>
      <c r="AA17" s="378"/>
      <c r="AB17" s="378"/>
      <c r="AC17" s="378"/>
      <c r="AD17" s="378"/>
      <c r="AE17" s="378"/>
      <c r="AF17" s="378"/>
      <c r="AG17" s="378"/>
      <c r="AH17" s="378"/>
      <c r="AI17" s="378"/>
      <c r="AJ17" s="378"/>
      <c r="AK17" s="378"/>
      <c r="AL17" s="378"/>
      <c r="AM17" s="378"/>
      <c r="AN17" s="378"/>
      <c r="AO17" s="378"/>
      <c r="AP17" s="378"/>
      <c r="AQ17" s="378"/>
      <c r="AR17" s="378"/>
      <c r="AS17" s="378"/>
      <c r="AT17" s="378"/>
      <c r="AU17" s="378"/>
      <c r="AV17" s="378"/>
      <c r="AW17" s="378"/>
      <c r="AX17" s="378"/>
      <c r="AY17" s="378"/>
      <c r="AZ17" s="378"/>
      <c r="BA17" s="378"/>
      <c r="BB17" s="378"/>
      <c r="BC17" s="378"/>
      <c r="BD17" s="378"/>
      <c r="BE17" s="378"/>
      <c r="BF17" s="378"/>
      <c r="BG17" s="378"/>
      <c r="BH17" s="378"/>
      <c r="BI17" s="378"/>
      <c r="BJ17" s="378"/>
      <c r="BK17" s="378"/>
      <c r="BL17" s="378"/>
      <c r="BM17" s="378"/>
      <c r="BN17" s="378"/>
      <c r="BO17" s="378"/>
      <c r="BP17" s="378"/>
      <c r="BQ17" s="378"/>
      <c r="BR17" s="378"/>
      <c r="BS17" s="378"/>
      <c r="BT17" s="378"/>
      <c r="BU17" s="378"/>
      <c r="BV17" s="378"/>
      <c r="BW17" s="378"/>
      <c r="BX17" s="378"/>
      <c r="BY17" s="378"/>
      <c r="BZ17" s="378"/>
      <c r="CA17" s="378"/>
      <c r="CB17" s="378"/>
      <c r="CC17" s="378"/>
      <c r="CD17" s="378"/>
      <c r="CE17" s="378"/>
      <c r="CF17" s="378"/>
      <c r="CG17" s="378"/>
      <c r="CH17" s="378"/>
      <c r="CI17" s="378"/>
      <c r="CJ17" s="378"/>
    </row>
    <row r="18" spans="1:88" ht="15.75" customHeight="1" x14ac:dyDescent="0.25">
      <c r="A18" s="427"/>
      <c r="B18" s="970" t="s">
        <v>592</v>
      </c>
      <c r="C18" s="805"/>
      <c r="D18" s="805"/>
      <c r="E18" s="805"/>
      <c r="F18" s="805"/>
      <c r="G18" s="1442" t="e">
        <f>G25</f>
        <v>#DIV/0!</v>
      </c>
      <c r="H18" s="778"/>
      <c r="I18" s="4"/>
      <c r="J18" s="4"/>
      <c r="L18" s="427"/>
      <c r="M18" s="427"/>
      <c r="N18" s="427"/>
      <c r="O18" s="427"/>
      <c r="P18" s="427"/>
      <c r="Q18" s="427"/>
      <c r="R18" s="378"/>
      <c r="S18" s="378"/>
      <c r="T18" s="378"/>
      <c r="U18" s="378"/>
      <c r="V18" s="378"/>
      <c r="W18" s="378"/>
      <c r="X18" s="378"/>
      <c r="Y18" s="378"/>
      <c r="Z18" s="378"/>
      <c r="AA18" s="378"/>
      <c r="AB18" s="378"/>
      <c r="AC18" s="378"/>
      <c r="AD18" s="378"/>
      <c r="AE18" s="378"/>
      <c r="AF18" s="378"/>
      <c r="AG18" s="378"/>
      <c r="AH18" s="378"/>
      <c r="AI18" s="378"/>
      <c r="AJ18" s="378"/>
      <c r="AK18" s="378"/>
      <c r="AL18" s="378"/>
      <c r="AM18" s="378"/>
      <c r="AN18" s="378"/>
      <c r="AO18" s="378"/>
      <c r="AP18" s="378"/>
      <c r="AQ18" s="378"/>
      <c r="AR18" s="378"/>
      <c r="AS18" s="378"/>
      <c r="AT18" s="378"/>
      <c r="AU18" s="378"/>
      <c r="AV18" s="378"/>
      <c r="AW18" s="378"/>
      <c r="AX18" s="378"/>
      <c r="AY18" s="378"/>
      <c r="AZ18" s="378"/>
      <c r="BA18" s="378"/>
      <c r="BB18" s="378"/>
      <c r="BC18" s="378"/>
      <c r="BD18" s="378"/>
      <c r="BE18" s="378"/>
      <c r="BF18" s="378"/>
      <c r="BG18" s="378"/>
      <c r="BH18" s="378"/>
      <c r="BI18" s="378"/>
      <c r="BJ18" s="378"/>
      <c r="BK18" s="378"/>
      <c r="BL18" s="378"/>
      <c r="BM18" s="378"/>
      <c r="BN18" s="378"/>
      <c r="BO18" s="378"/>
      <c r="BP18" s="378"/>
      <c r="BQ18" s="378"/>
      <c r="BR18" s="378"/>
      <c r="BS18" s="378"/>
      <c r="BT18" s="378"/>
      <c r="BU18" s="378"/>
      <c r="BV18" s="378"/>
      <c r="BW18" s="378"/>
      <c r="BX18" s="378"/>
      <c r="BY18" s="378"/>
      <c r="BZ18" s="378"/>
      <c r="CA18" s="378"/>
      <c r="CB18" s="378"/>
      <c r="CC18" s="378"/>
      <c r="CD18" s="378"/>
      <c r="CE18" s="378"/>
      <c r="CF18" s="378"/>
      <c r="CG18" s="378"/>
      <c r="CH18" s="378"/>
      <c r="CI18" s="378"/>
      <c r="CJ18" s="378"/>
    </row>
    <row r="19" spans="1:88" ht="15" customHeight="1" x14ac:dyDescent="0.25">
      <c r="A19" s="427"/>
      <c r="G19" s="1441"/>
      <c r="H19" s="778"/>
      <c r="I19" s="4"/>
      <c r="J19" s="4"/>
      <c r="L19" s="427"/>
      <c r="M19" s="427"/>
      <c r="N19" s="427"/>
      <c r="O19" s="427"/>
      <c r="P19" s="427"/>
      <c r="Q19" s="427"/>
      <c r="R19" s="378"/>
      <c r="S19" s="378"/>
      <c r="T19" s="378"/>
      <c r="U19" s="378"/>
      <c r="V19" s="378"/>
      <c r="W19" s="378"/>
      <c r="X19" s="378"/>
      <c r="Y19" s="378"/>
      <c r="Z19" s="378"/>
      <c r="AA19" s="378"/>
      <c r="AB19" s="378"/>
      <c r="AC19" s="378"/>
      <c r="AD19" s="378"/>
      <c r="AE19" s="378"/>
      <c r="AF19" s="378"/>
      <c r="AG19" s="378"/>
      <c r="AH19" s="378"/>
      <c r="AI19" s="378"/>
      <c r="AJ19" s="378"/>
      <c r="AK19" s="378"/>
      <c r="AL19" s="378"/>
      <c r="AM19" s="378"/>
      <c r="AN19" s="378"/>
      <c r="AO19" s="378"/>
      <c r="AP19" s="378"/>
      <c r="AQ19" s="378"/>
      <c r="AR19" s="378"/>
      <c r="AS19" s="378"/>
      <c r="AT19" s="378"/>
      <c r="AU19" s="378"/>
      <c r="AV19" s="378"/>
      <c r="AW19" s="378"/>
      <c r="AX19" s="378"/>
      <c r="AY19" s="378"/>
      <c r="AZ19" s="378"/>
      <c r="BA19" s="378"/>
      <c r="BB19" s="378"/>
      <c r="BC19" s="378"/>
      <c r="BD19" s="378"/>
      <c r="BE19" s="378"/>
      <c r="BF19" s="378"/>
      <c r="BG19" s="378"/>
      <c r="BH19" s="378"/>
      <c r="BI19" s="378"/>
      <c r="BJ19" s="378"/>
      <c r="BK19" s="378"/>
      <c r="BL19" s="378"/>
      <c r="BM19" s="378"/>
      <c r="BN19" s="378"/>
      <c r="BO19" s="378"/>
      <c r="BP19" s="378"/>
      <c r="BQ19" s="378"/>
      <c r="BR19" s="378"/>
      <c r="BS19" s="378"/>
      <c r="BT19" s="378"/>
      <c r="BU19" s="378"/>
      <c r="BV19" s="378"/>
      <c r="BW19" s="378"/>
      <c r="BX19" s="378"/>
      <c r="BY19" s="378"/>
      <c r="BZ19" s="378"/>
      <c r="CA19" s="378"/>
      <c r="CB19" s="378"/>
      <c r="CC19" s="378"/>
      <c r="CD19" s="378"/>
      <c r="CE19" s="378"/>
      <c r="CF19" s="378"/>
      <c r="CG19" s="378"/>
      <c r="CH19" s="378"/>
      <c r="CI19" s="378"/>
      <c r="CJ19" s="378"/>
    </row>
    <row r="20" spans="1:88" x14ac:dyDescent="0.25">
      <c r="A20" s="427"/>
      <c r="G20" s="1441"/>
      <c r="H20" s="777"/>
      <c r="I20" s="4"/>
      <c r="J20" s="4"/>
      <c r="L20" s="427"/>
      <c r="M20" s="427"/>
      <c r="N20" s="427"/>
      <c r="O20" s="427"/>
      <c r="P20" s="427"/>
      <c r="Q20" s="427"/>
      <c r="R20" s="378"/>
      <c r="S20" s="378"/>
      <c r="T20" s="378"/>
      <c r="U20" s="378"/>
      <c r="V20" s="378"/>
      <c r="W20" s="378"/>
      <c r="X20" s="378"/>
      <c r="Y20" s="378"/>
      <c r="Z20" s="378"/>
      <c r="AA20" s="378"/>
      <c r="AB20" s="378"/>
      <c r="AC20" s="378"/>
      <c r="AD20" s="378"/>
      <c r="AE20" s="378"/>
      <c r="AF20" s="378"/>
      <c r="AG20" s="378"/>
      <c r="AH20" s="378"/>
      <c r="AI20" s="378"/>
      <c r="AJ20" s="378"/>
      <c r="AK20" s="378"/>
      <c r="AL20" s="378"/>
      <c r="AM20" s="378"/>
      <c r="AN20" s="378"/>
      <c r="AO20" s="378"/>
      <c r="AP20" s="378"/>
      <c r="AQ20" s="378"/>
      <c r="AR20" s="378"/>
      <c r="AS20" s="378"/>
      <c r="AT20" s="378"/>
      <c r="AU20" s="378"/>
      <c r="AV20" s="378"/>
      <c r="AW20" s="378"/>
      <c r="AX20" s="378"/>
      <c r="AY20" s="378"/>
      <c r="AZ20" s="378"/>
      <c r="BA20" s="378"/>
      <c r="BB20" s="378"/>
      <c r="BC20" s="378"/>
      <c r="BD20" s="378"/>
      <c r="BE20" s="378"/>
      <c r="BF20" s="378"/>
      <c r="BG20" s="378"/>
      <c r="BH20" s="378"/>
      <c r="BI20" s="378"/>
      <c r="BJ20" s="378"/>
      <c r="BK20" s="378"/>
      <c r="BL20" s="378"/>
      <c r="BM20" s="378"/>
      <c r="BN20" s="378"/>
      <c r="BO20" s="378"/>
      <c r="BP20" s="378"/>
      <c r="BQ20" s="378"/>
      <c r="BR20" s="378"/>
      <c r="BS20" s="378"/>
      <c r="BT20" s="378"/>
      <c r="BU20" s="378"/>
      <c r="BV20" s="378"/>
      <c r="BW20" s="378"/>
      <c r="BX20" s="378"/>
      <c r="BY20" s="378"/>
      <c r="BZ20" s="378"/>
      <c r="CA20" s="378"/>
      <c r="CB20" s="378"/>
      <c r="CC20" s="378"/>
      <c r="CD20" s="378"/>
      <c r="CE20" s="378"/>
      <c r="CF20" s="378"/>
      <c r="CG20" s="378"/>
      <c r="CH20" s="378"/>
      <c r="CI20" s="378"/>
      <c r="CJ20" s="378"/>
    </row>
    <row r="21" spans="1:88" x14ac:dyDescent="0.25">
      <c r="A21" s="427"/>
      <c r="G21" s="1441"/>
      <c r="H21" s="777"/>
      <c r="I21" s="4"/>
      <c r="J21" s="4"/>
      <c r="L21" s="427"/>
      <c r="M21" s="427"/>
      <c r="N21" s="427"/>
      <c r="O21" s="427"/>
      <c r="P21" s="427"/>
      <c r="Q21" s="427"/>
      <c r="R21" s="378"/>
      <c r="S21" s="378"/>
      <c r="T21" s="378"/>
      <c r="U21" s="378"/>
      <c r="V21" s="378"/>
      <c r="W21" s="378"/>
      <c r="X21" s="378"/>
      <c r="Y21" s="378"/>
      <c r="Z21" s="378"/>
      <c r="AA21" s="378"/>
      <c r="AB21" s="378"/>
      <c r="AC21" s="378"/>
      <c r="AD21" s="378"/>
      <c r="AE21" s="378"/>
      <c r="AF21" s="378"/>
      <c r="AG21" s="378"/>
      <c r="AH21" s="378"/>
      <c r="AI21" s="378"/>
      <c r="AJ21" s="378"/>
      <c r="AK21" s="378"/>
      <c r="AL21" s="378"/>
      <c r="AM21" s="378"/>
      <c r="AN21" s="378"/>
      <c r="AO21" s="378"/>
      <c r="AP21" s="378"/>
      <c r="AQ21" s="378"/>
      <c r="AR21" s="378"/>
      <c r="AS21" s="378"/>
      <c r="AT21" s="378"/>
      <c r="AU21" s="378"/>
      <c r="AV21" s="378"/>
      <c r="AW21" s="378"/>
      <c r="AX21" s="378"/>
      <c r="AY21" s="378"/>
      <c r="AZ21" s="378"/>
      <c r="BA21" s="378"/>
      <c r="BB21" s="378"/>
      <c r="BC21" s="378"/>
      <c r="BD21" s="378"/>
      <c r="BE21" s="378"/>
      <c r="BF21" s="378"/>
      <c r="BG21" s="378"/>
      <c r="BH21" s="378"/>
      <c r="BI21" s="378"/>
      <c r="BJ21" s="378"/>
      <c r="BK21" s="378"/>
      <c r="BL21" s="378"/>
      <c r="BM21" s="378"/>
      <c r="BN21" s="378"/>
      <c r="BO21" s="378"/>
      <c r="BP21" s="378"/>
      <c r="BQ21" s="378"/>
      <c r="BR21" s="378"/>
      <c r="BS21" s="378"/>
      <c r="BT21" s="378"/>
      <c r="BU21" s="378"/>
      <c r="BV21" s="378"/>
      <c r="BW21" s="378"/>
      <c r="BX21" s="378"/>
      <c r="BY21" s="378"/>
      <c r="BZ21" s="378"/>
      <c r="CA21" s="378"/>
      <c r="CB21" s="378"/>
      <c r="CC21" s="378"/>
      <c r="CD21" s="378"/>
      <c r="CE21" s="378"/>
      <c r="CF21" s="378"/>
      <c r="CG21" s="378"/>
      <c r="CH21" s="378"/>
      <c r="CI21" s="378"/>
      <c r="CJ21" s="378"/>
    </row>
    <row r="22" spans="1:88" ht="16.5" customHeight="1" x14ac:dyDescent="0.25">
      <c r="A22" s="427"/>
      <c r="G22" s="1441"/>
      <c r="H22" s="427"/>
      <c r="I22" s="427"/>
      <c r="J22" s="427"/>
      <c r="K22" s="427"/>
      <c r="L22" s="427"/>
      <c r="M22" s="427"/>
      <c r="N22" s="427"/>
      <c r="O22" s="427"/>
      <c r="P22" s="427"/>
      <c r="Q22" s="427"/>
      <c r="R22" s="378"/>
      <c r="S22" s="378"/>
      <c r="T22" s="378"/>
      <c r="U22" s="378"/>
      <c r="V22" s="378"/>
      <c r="W22" s="378"/>
      <c r="X22" s="378"/>
      <c r="Y22" s="378"/>
      <c r="Z22" s="378"/>
      <c r="AA22" s="378"/>
      <c r="AB22" s="378"/>
      <c r="AC22" s="378"/>
      <c r="AD22" s="378"/>
      <c r="AE22" s="378"/>
      <c r="AF22" s="378"/>
      <c r="AG22" s="378"/>
      <c r="AH22" s="378"/>
      <c r="AI22" s="378"/>
      <c r="AJ22" s="378"/>
      <c r="AK22" s="378"/>
      <c r="AL22" s="378"/>
      <c r="AM22" s="378"/>
      <c r="AN22" s="378"/>
      <c r="AO22" s="378"/>
      <c r="AP22" s="378"/>
      <c r="AQ22" s="378"/>
      <c r="AR22" s="378"/>
      <c r="AS22" s="378"/>
      <c r="AT22" s="378"/>
      <c r="AU22" s="378"/>
      <c r="AV22" s="378"/>
      <c r="AW22" s="378"/>
      <c r="AX22" s="378"/>
      <c r="AY22" s="378"/>
      <c r="AZ22" s="378"/>
      <c r="BA22" s="378"/>
      <c r="BB22" s="378"/>
      <c r="BC22" s="378"/>
      <c r="BD22" s="378"/>
      <c r="BE22" s="378"/>
      <c r="BF22" s="378"/>
      <c r="BG22" s="378"/>
      <c r="BH22" s="378"/>
      <c r="BI22" s="378"/>
      <c r="BJ22" s="378"/>
      <c r="BK22" s="378"/>
      <c r="BL22" s="378"/>
      <c r="BM22" s="378"/>
      <c r="BN22" s="378"/>
      <c r="BO22" s="378"/>
      <c r="BP22" s="378"/>
      <c r="BQ22" s="378"/>
      <c r="BR22" s="378"/>
      <c r="BS22" s="378"/>
      <c r="BT22" s="378"/>
      <c r="BU22" s="378"/>
      <c r="BV22" s="378"/>
      <c r="BW22" s="378"/>
      <c r="BX22" s="378"/>
      <c r="BY22" s="378"/>
      <c r="BZ22" s="378"/>
      <c r="CA22" s="378"/>
      <c r="CB22" s="378"/>
      <c r="CC22" s="378"/>
      <c r="CD22" s="378"/>
      <c r="CE22" s="378"/>
      <c r="CF22" s="378"/>
      <c r="CG22" s="378"/>
      <c r="CH22" s="378"/>
      <c r="CI22" s="378"/>
      <c r="CJ22" s="378"/>
    </row>
    <row r="23" spans="1:88" ht="15.75" x14ac:dyDescent="0.25">
      <c r="A23" s="427"/>
      <c r="B23" s="846" t="s">
        <v>593</v>
      </c>
      <c r="C23" s="833"/>
      <c r="D23" s="833"/>
      <c r="E23" s="833"/>
      <c r="F23" s="833"/>
      <c r="G23" s="1443">
        <f>COUNTA(G33:G53)</f>
        <v>21</v>
      </c>
      <c r="I23" s="427"/>
      <c r="J23" s="427"/>
      <c r="K23" s="427"/>
      <c r="L23" s="427"/>
      <c r="M23" s="427"/>
      <c r="N23" s="427"/>
      <c r="O23" s="427"/>
      <c r="P23" s="427"/>
      <c r="Q23" s="427"/>
      <c r="R23" s="378"/>
      <c r="S23" s="378"/>
      <c r="T23" s="378"/>
      <c r="U23" s="378"/>
      <c r="V23" s="378"/>
      <c r="W23" s="378"/>
      <c r="X23" s="378"/>
      <c r="Y23" s="378"/>
      <c r="Z23" s="378"/>
      <c r="AA23" s="378"/>
      <c r="AB23" s="378"/>
      <c r="AC23" s="378"/>
      <c r="AD23" s="378"/>
      <c r="AE23" s="378"/>
      <c r="AF23" s="378"/>
      <c r="AG23" s="378"/>
      <c r="AH23" s="378"/>
      <c r="AI23" s="378"/>
      <c r="AJ23" s="378"/>
      <c r="AK23" s="378"/>
      <c r="AL23" s="378"/>
      <c r="AM23" s="378"/>
      <c r="AN23" s="378"/>
      <c r="AO23" s="378"/>
      <c r="AP23" s="378"/>
      <c r="AQ23" s="378"/>
      <c r="AR23" s="378"/>
      <c r="AS23" s="378"/>
      <c r="AT23" s="378"/>
      <c r="AU23" s="378"/>
      <c r="AV23" s="378"/>
      <c r="AW23" s="378"/>
      <c r="AX23" s="378"/>
      <c r="AY23" s="378"/>
      <c r="AZ23" s="378"/>
      <c r="BA23" s="378"/>
      <c r="BB23" s="378"/>
      <c r="BC23" s="378"/>
      <c r="BD23" s="378"/>
      <c r="BE23" s="378"/>
      <c r="BF23" s="378"/>
      <c r="BG23" s="378"/>
      <c r="BH23" s="378"/>
      <c r="BI23" s="378"/>
      <c r="BJ23" s="378"/>
      <c r="BK23" s="378"/>
      <c r="BL23" s="378"/>
      <c r="BM23" s="378"/>
      <c r="BN23" s="378"/>
      <c r="BO23" s="378"/>
      <c r="BP23" s="378"/>
      <c r="BQ23" s="378"/>
      <c r="BR23" s="378"/>
      <c r="BS23" s="378"/>
      <c r="BT23" s="378"/>
      <c r="BU23" s="378"/>
      <c r="BV23" s="378"/>
      <c r="BW23" s="378"/>
      <c r="BX23" s="378"/>
      <c r="BY23" s="378"/>
      <c r="BZ23" s="378"/>
      <c r="CA23" s="378"/>
      <c r="CB23" s="378"/>
      <c r="CC23" s="378"/>
      <c r="CD23" s="378"/>
      <c r="CE23" s="378"/>
      <c r="CF23" s="378"/>
      <c r="CG23" s="378"/>
      <c r="CH23" s="378"/>
      <c r="CI23" s="378"/>
      <c r="CJ23" s="378"/>
    </row>
    <row r="24" spans="1:88" ht="15.75" customHeight="1" x14ac:dyDescent="0.25">
      <c r="A24" s="427"/>
      <c r="B24" s="848" t="s">
        <v>594</v>
      </c>
      <c r="C24" s="840"/>
      <c r="D24" s="840"/>
      <c r="E24" s="840"/>
      <c r="F24" s="840"/>
      <c r="G24" s="849" t="e">
        <f>STDEV(G33:G43,G44:G53)</f>
        <v>#DIV/0!</v>
      </c>
      <c r="H24" s="427"/>
      <c r="I24" s="1948" t="s">
        <v>595</v>
      </c>
      <c r="J24" s="1948"/>
      <c r="K24" s="427"/>
      <c r="L24" s="427"/>
      <c r="M24" s="427"/>
      <c r="N24" s="427"/>
      <c r="O24" s="427"/>
      <c r="P24" s="427"/>
      <c r="Q24" s="427"/>
      <c r="R24" s="378"/>
      <c r="S24" s="378"/>
      <c r="T24" s="378"/>
      <c r="U24" s="378"/>
      <c r="V24" s="378"/>
      <c r="W24" s="378"/>
      <c r="X24" s="378"/>
      <c r="Y24" s="378"/>
      <c r="Z24" s="378"/>
      <c r="AA24" s="378"/>
      <c r="AB24" s="378"/>
      <c r="AC24" s="378"/>
      <c r="AD24" s="378"/>
      <c r="AE24" s="378"/>
      <c r="AF24" s="378"/>
      <c r="AG24" s="378"/>
      <c r="AH24" s="378"/>
      <c r="AI24" s="378"/>
      <c r="AJ24" s="378"/>
      <c r="AK24" s="378"/>
      <c r="AL24" s="378"/>
      <c r="AM24" s="378"/>
      <c r="AN24" s="378"/>
      <c r="AO24" s="378"/>
      <c r="AP24" s="378"/>
      <c r="AQ24" s="378"/>
      <c r="AR24" s="378"/>
      <c r="AS24" s="378"/>
      <c r="AT24" s="378"/>
      <c r="AU24" s="378"/>
      <c r="AV24" s="378"/>
      <c r="AW24" s="378"/>
      <c r="AX24" s="378"/>
      <c r="AY24" s="378"/>
      <c r="AZ24" s="378"/>
      <c r="BA24" s="378"/>
      <c r="BB24" s="378"/>
      <c r="BC24" s="378"/>
      <c r="BD24" s="378"/>
      <c r="BE24" s="378"/>
      <c r="BF24" s="378"/>
      <c r="BG24" s="378"/>
      <c r="BH24" s="378"/>
      <c r="BI24" s="378"/>
      <c r="BJ24" s="378"/>
      <c r="BK24" s="378"/>
      <c r="BL24" s="378"/>
      <c r="BM24" s="378"/>
      <c r="BN24" s="378"/>
      <c r="BO24" s="378"/>
      <c r="BP24" s="378"/>
      <c r="BQ24" s="378"/>
      <c r="BR24" s="378"/>
      <c r="BS24" s="378"/>
      <c r="BT24" s="378"/>
      <c r="BU24" s="378"/>
      <c r="BV24" s="378"/>
      <c r="BW24" s="378"/>
      <c r="BX24" s="378"/>
      <c r="BY24" s="378"/>
      <c r="BZ24" s="378"/>
      <c r="CA24" s="378"/>
      <c r="CB24" s="378"/>
      <c r="CC24" s="378"/>
      <c r="CD24" s="378"/>
      <c r="CE24" s="378"/>
      <c r="CF24" s="378"/>
      <c r="CG24" s="378"/>
      <c r="CH24" s="378"/>
      <c r="CI24" s="378"/>
      <c r="CJ24" s="378"/>
    </row>
    <row r="25" spans="1:88" ht="16.5" thickBot="1" x14ac:dyDescent="0.3">
      <c r="A25" s="427"/>
      <c r="B25" s="841" t="s">
        <v>592</v>
      </c>
      <c r="C25" s="842"/>
      <c r="D25" s="842"/>
      <c r="E25" s="842"/>
      <c r="F25" s="843"/>
      <c r="G25" s="844" t="e">
        <f>AVERAGE(G33:G53)</f>
        <v>#DIV/0!</v>
      </c>
      <c r="H25" s="427"/>
      <c r="I25" s="966"/>
      <c r="J25" s="822"/>
      <c r="K25" s="427"/>
      <c r="L25" s="427"/>
      <c r="M25" s="427"/>
      <c r="N25" s="427"/>
      <c r="O25" s="427"/>
      <c r="P25" s="427"/>
      <c r="Q25" s="427"/>
      <c r="R25" s="378"/>
      <c r="S25" s="378"/>
      <c r="T25" s="378"/>
      <c r="U25" s="378"/>
      <c r="V25" s="378"/>
      <c r="W25" s="378"/>
      <c r="X25" s="378"/>
      <c r="Y25" s="378"/>
      <c r="Z25" s="378"/>
      <c r="AA25" s="378"/>
      <c r="AB25" s="378"/>
      <c r="AC25" s="378"/>
      <c r="AD25" s="378"/>
      <c r="AE25" s="378"/>
      <c r="AF25" s="378"/>
      <c r="AG25" s="378"/>
      <c r="AH25" s="378"/>
      <c r="AI25" s="378"/>
      <c r="AJ25" s="378"/>
      <c r="AK25" s="378"/>
      <c r="AL25" s="378"/>
      <c r="AM25" s="378"/>
      <c r="AN25" s="378"/>
      <c r="AO25" s="378"/>
      <c r="AP25" s="378"/>
      <c r="AQ25" s="378"/>
      <c r="AR25" s="378"/>
      <c r="AS25" s="378"/>
      <c r="AT25" s="378"/>
      <c r="AU25" s="378"/>
      <c r="AV25" s="378"/>
      <c r="AW25" s="378"/>
      <c r="AX25" s="378"/>
      <c r="AY25" s="378"/>
      <c r="AZ25" s="378"/>
      <c r="BA25" s="378"/>
      <c r="BB25" s="378"/>
      <c r="BC25" s="378"/>
      <c r="BD25" s="378"/>
      <c r="BE25" s="378"/>
      <c r="BF25" s="378"/>
      <c r="BG25" s="378"/>
      <c r="BH25" s="378"/>
      <c r="BI25" s="378"/>
      <c r="BJ25" s="378"/>
      <c r="BK25" s="378"/>
      <c r="BL25" s="378"/>
      <c r="BM25" s="378"/>
      <c r="BN25" s="378"/>
      <c r="BO25" s="378"/>
      <c r="BP25" s="378"/>
      <c r="BQ25" s="378"/>
      <c r="BR25" s="378"/>
      <c r="BS25" s="378"/>
      <c r="BT25" s="378"/>
      <c r="BU25" s="378"/>
      <c r="BV25" s="378"/>
      <c r="BW25" s="378"/>
      <c r="BX25" s="378"/>
      <c r="BY25" s="378"/>
      <c r="BZ25" s="378"/>
      <c r="CA25" s="378"/>
      <c r="CB25" s="378"/>
      <c r="CC25" s="378"/>
      <c r="CD25" s="378"/>
      <c r="CE25" s="378"/>
      <c r="CF25" s="378"/>
      <c r="CG25" s="378"/>
      <c r="CH25" s="378"/>
      <c r="CI25" s="378"/>
      <c r="CJ25" s="378"/>
    </row>
    <row r="26" spans="1:88" ht="15.75" customHeight="1" x14ac:dyDescent="0.25">
      <c r="A26" s="1950" t="s">
        <v>596</v>
      </c>
      <c r="B26" s="784" t="s">
        <v>597</v>
      </c>
      <c r="C26" s="785"/>
      <c r="D26" s="785"/>
      <c r="E26" s="785"/>
      <c r="F26" s="786"/>
      <c r="G26" s="1444" t="e">
        <f>AVERAGE(G33:G36)</f>
        <v>#DIV/0!</v>
      </c>
      <c r="H26" s="1481">
        <v>0.7</v>
      </c>
      <c r="I26" s="965"/>
      <c r="J26" s="822"/>
      <c r="K26" s="427"/>
      <c r="L26" s="427"/>
      <c r="M26" s="427"/>
      <c r="N26" s="427"/>
      <c r="O26" s="427"/>
      <c r="P26" s="427"/>
      <c r="Q26" s="427"/>
      <c r="R26" s="378"/>
      <c r="S26" s="378"/>
      <c r="T26" s="378"/>
      <c r="U26" s="378"/>
      <c r="V26" s="378"/>
      <c r="W26" s="378"/>
      <c r="X26" s="378"/>
      <c r="Y26" s="378"/>
      <c r="Z26" s="378"/>
      <c r="AA26" s="378"/>
      <c r="AB26" s="378"/>
      <c r="AC26" s="378"/>
      <c r="AD26" s="378"/>
      <c r="AE26" s="378"/>
      <c r="AF26" s="378"/>
      <c r="AG26" s="378"/>
      <c r="AH26" s="378"/>
      <c r="AI26" s="378"/>
      <c r="AJ26" s="378"/>
      <c r="AK26" s="378"/>
      <c r="AL26" s="378"/>
      <c r="AM26" s="378"/>
      <c r="AN26" s="378"/>
      <c r="AO26" s="378"/>
      <c r="AP26" s="378"/>
      <c r="AQ26" s="378"/>
      <c r="AR26" s="378"/>
      <c r="AS26" s="378"/>
      <c r="AT26" s="378"/>
      <c r="AU26" s="378"/>
      <c r="AV26" s="378"/>
      <c r="AW26" s="378"/>
      <c r="AX26" s="378"/>
      <c r="AY26" s="378"/>
      <c r="AZ26" s="378"/>
      <c r="BA26" s="378"/>
      <c r="BB26" s="378"/>
      <c r="BC26" s="378"/>
      <c r="BD26" s="378"/>
      <c r="BE26" s="378"/>
      <c r="BF26" s="378"/>
      <c r="BG26" s="378"/>
      <c r="BH26" s="378"/>
      <c r="BI26" s="378"/>
      <c r="BJ26" s="378"/>
      <c r="BK26" s="378"/>
      <c r="BL26" s="378"/>
      <c r="BM26" s="378"/>
      <c r="BN26" s="378"/>
      <c r="BO26" s="378"/>
      <c r="BP26" s="378"/>
      <c r="BQ26" s="378"/>
      <c r="BR26" s="378"/>
      <c r="BS26" s="378"/>
      <c r="BT26" s="378"/>
      <c r="BU26" s="378"/>
      <c r="BV26" s="378"/>
      <c r="BW26" s="378"/>
      <c r="BX26" s="378"/>
      <c r="BY26" s="378"/>
      <c r="BZ26" s="378"/>
      <c r="CA26" s="378"/>
      <c r="CB26" s="378"/>
      <c r="CC26" s="378"/>
      <c r="CD26" s="378"/>
      <c r="CE26" s="378"/>
      <c r="CF26" s="378"/>
      <c r="CG26" s="378"/>
      <c r="CH26" s="378"/>
      <c r="CI26" s="378"/>
      <c r="CJ26" s="378"/>
    </row>
    <row r="27" spans="1:88" x14ac:dyDescent="0.25">
      <c r="A27" s="1951"/>
      <c r="B27" s="774" t="s">
        <v>598</v>
      </c>
      <c r="C27" s="775"/>
      <c r="D27" s="775"/>
      <c r="E27" s="775"/>
      <c r="F27" s="776"/>
      <c r="G27" s="1445" t="e">
        <f>AVERAGE(G37:G39)</f>
        <v>#DIV/0!</v>
      </c>
      <c r="H27" s="1481">
        <v>0.7</v>
      </c>
      <c r="I27" s="965"/>
      <c r="J27" s="822"/>
      <c r="K27" s="427"/>
      <c r="L27" s="427"/>
      <c r="M27" s="427"/>
      <c r="N27" s="427"/>
      <c r="O27" s="427"/>
      <c r="P27" s="427"/>
      <c r="Q27" s="427"/>
      <c r="R27" s="378"/>
      <c r="S27" s="378"/>
      <c r="T27" s="378"/>
      <c r="U27" s="378"/>
      <c r="V27" s="378"/>
      <c r="W27" s="378"/>
      <c r="X27" s="378"/>
      <c r="Y27" s="378"/>
      <c r="Z27" s="378"/>
      <c r="AA27" s="378"/>
      <c r="AB27" s="378"/>
      <c r="AC27" s="378"/>
      <c r="AD27" s="378"/>
      <c r="AE27" s="378"/>
      <c r="AF27" s="378"/>
      <c r="AG27" s="378"/>
      <c r="AH27" s="378"/>
      <c r="AI27" s="378"/>
      <c r="AJ27" s="378"/>
      <c r="AK27" s="378"/>
      <c r="AL27" s="378"/>
      <c r="AM27" s="378"/>
      <c r="AN27" s="378"/>
      <c r="AO27" s="378"/>
      <c r="AP27" s="378"/>
      <c r="AQ27" s="378"/>
      <c r="AR27" s="378"/>
      <c r="AS27" s="378"/>
      <c r="AT27" s="378"/>
      <c r="AU27" s="378"/>
      <c r="AV27" s="378"/>
      <c r="AW27" s="378"/>
      <c r="AX27" s="378"/>
      <c r="AY27" s="378"/>
      <c r="AZ27" s="378"/>
      <c r="BA27" s="378"/>
      <c r="BB27" s="378"/>
      <c r="BC27" s="378"/>
      <c r="BD27" s="378"/>
      <c r="BE27" s="378"/>
      <c r="BF27" s="378"/>
      <c r="BG27" s="378"/>
      <c r="BH27" s="378"/>
      <c r="BI27" s="378"/>
      <c r="BJ27" s="378"/>
      <c r="BK27" s="378"/>
      <c r="BL27" s="378"/>
      <c r="BM27" s="378"/>
      <c r="BN27" s="378"/>
      <c r="BO27" s="378"/>
      <c r="BP27" s="378"/>
      <c r="BQ27" s="378"/>
      <c r="BR27" s="378"/>
      <c r="BS27" s="378"/>
      <c r="BT27" s="378"/>
      <c r="BU27" s="378"/>
      <c r="BV27" s="378"/>
      <c r="BW27" s="378"/>
      <c r="BX27" s="378"/>
      <c r="BY27" s="378"/>
      <c r="BZ27" s="378"/>
      <c r="CA27" s="378"/>
      <c r="CB27" s="378"/>
      <c r="CC27" s="378"/>
      <c r="CD27" s="378"/>
      <c r="CE27" s="378"/>
      <c r="CF27" s="378"/>
      <c r="CG27" s="378"/>
      <c r="CH27" s="378"/>
      <c r="CI27" s="378"/>
      <c r="CJ27" s="378"/>
    </row>
    <row r="28" spans="1:88" x14ac:dyDescent="0.25">
      <c r="A28" s="1951"/>
      <c r="B28" s="771" t="s">
        <v>599</v>
      </c>
      <c r="C28" s="772"/>
      <c r="D28" s="772"/>
      <c r="E28" s="772"/>
      <c r="F28" s="773"/>
      <c r="G28" s="1446">
        <f>AVERAGE(G40:G43)</f>
        <v>0.17499999999999999</v>
      </c>
      <c r="H28" s="1481">
        <v>0.7</v>
      </c>
      <c r="I28" s="965"/>
      <c r="J28" s="822"/>
      <c r="K28" s="427"/>
      <c r="L28" s="427"/>
      <c r="M28" s="427"/>
      <c r="N28" s="427"/>
      <c r="O28" s="427"/>
      <c r="P28" s="427"/>
      <c r="Q28" s="427"/>
      <c r="R28" s="378"/>
      <c r="S28" s="378"/>
      <c r="T28" s="378"/>
      <c r="U28" s="378"/>
      <c r="V28" s="378"/>
      <c r="W28" s="378"/>
      <c r="X28" s="378"/>
      <c r="Y28" s="378"/>
      <c r="Z28" s="378"/>
      <c r="AA28" s="378"/>
      <c r="AB28" s="378"/>
      <c r="AC28" s="378"/>
      <c r="AD28" s="378"/>
      <c r="AE28" s="378"/>
      <c r="AF28" s="378"/>
      <c r="AG28" s="378"/>
      <c r="AH28" s="378"/>
      <c r="AI28" s="378"/>
      <c r="AJ28" s="378"/>
      <c r="AK28" s="378"/>
      <c r="AL28" s="378"/>
      <c r="AM28" s="378"/>
      <c r="AN28" s="378"/>
      <c r="AO28" s="378"/>
      <c r="AP28" s="378"/>
      <c r="AQ28" s="378"/>
      <c r="AR28" s="378"/>
      <c r="AS28" s="378"/>
      <c r="AT28" s="378"/>
      <c r="AU28" s="378"/>
      <c r="AV28" s="378"/>
      <c r="AW28" s="378"/>
      <c r="AX28" s="378"/>
      <c r="AY28" s="378"/>
      <c r="AZ28" s="378"/>
      <c r="BA28" s="378"/>
      <c r="BB28" s="378"/>
      <c r="BC28" s="378"/>
      <c r="BD28" s="378"/>
      <c r="BE28" s="378"/>
      <c r="BF28" s="378"/>
      <c r="BG28" s="378"/>
      <c r="BH28" s="378"/>
      <c r="BI28" s="378"/>
      <c r="BJ28" s="378"/>
      <c r="BK28" s="378"/>
      <c r="BL28" s="378"/>
      <c r="BM28" s="378"/>
      <c r="BN28" s="378"/>
      <c r="BO28" s="378"/>
      <c r="BP28" s="378"/>
      <c r="BQ28" s="378"/>
      <c r="BR28" s="378"/>
      <c r="BS28" s="378"/>
      <c r="BT28" s="378"/>
      <c r="BU28" s="378"/>
      <c r="BV28" s="378"/>
      <c r="BW28" s="378"/>
      <c r="BX28" s="378"/>
      <c r="BY28" s="378"/>
      <c r="BZ28" s="378"/>
      <c r="CA28" s="378"/>
      <c r="CB28" s="378"/>
      <c r="CC28" s="378"/>
      <c r="CD28" s="378"/>
      <c r="CE28" s="378"/>
      <c r="CF28" s="378"/>
      <c r="CG28" s="378"/>
      <c r="CH28" s="378"/>
      <c r="CI28" s="378"/>
      <c r="CJ28" s="378"/>
    </row>
    <row r="29" spans="1:88" x14ac:dyDescent="0.25">
      <c r="A29" s="1951"/>
      <c r="B29" s="774" t="s">
        <v>600</v>
      </c>
      <c r="C29" s="775"/>
      <c r="D29" s="775"/>
      <c r="E29" s="775"/>
      <c r="F29" s="776"/>
      <c r="G29" s="1445">
        <f>AVERAGE(G44:G44)</f>
        <v>0</v>
      </c>
      <c r="H29" s="1481">
        <v>0.7</v>
      </c>
      <c r="I29" s="965"/>
      <c r="J29" s="822"/>
      <c r="K29" s="427"/>
      <c r="L29" s="427"/>
      <c r="M29" s="427"/>
      <c r="N29" s="427"/>
      <c r="O29" s="427"/>
      <c r="P29" s="427"/>
      <c r="Q29" s="427"/>
      <c r="R29" s="378"/>
      <c r="S29" s="378"/>
      <c r="T29" s="378"/>
      <c r="U29" s="378"/>
      <c r="V29" s="378"/>
      <c r="W29" s="378"/>
      <c r="X29" s="378"/>
      <c r="Y29" s="378"/>
      <c r="Z29" s="378"/>
      <c r="AA29" s="378"/>
      <c r="AB29" s="378"/>
      <c r="AC29" s="378"/>
      <c r="AD29" s="378"/>
      <c r="AE29" s="378"/>
      <c r="AF29" s="378"/>
      <c r="AG29" s="378"/>
      <c r="AH29" s="378"/>
      <c r="AI29" s="378"/>
      <c r="AJ29" s="378"/>
      <c r="AK29" s="378"/>
      <c r="AL29" s="378"/>
      <c r="AM29" s="378"/>
      <c r="AN29" s="378"/>
      <c r="AO29" s="378"/>
      <c r="AP29" s="378"/>
      <c r="AQ29" s="378"/>
      <c r="AR29" s="378"/>
      <c r="AS29" s="378"/>
      <c r="AT29" s="378"/>
      <c r="AU29" s="378"/>
      <c r="AV29" s="378"/>
      <c r="AW29" s="378"/>
      <c r="AX29" s="378"/>
      <c r="AY29" s="378"/>
      <c r="AZ29" s="378"/>
      <c r="BA29" s="378"/>
      <c r="BB29" s="378"/>
      <c r="BC29" s="378"/>
      <c r="BD29" s="378"/>
      <c r="BE29" s="378"/>
      <c r="BF29" s="378"/>
      <c r="BG29" s="378"/>
      <c r="BH29" s="378"/>
      <c r="BI29" s="378"/>
      <c r="BJ29" s="378"/>
      <c r="BK29" s="378"/>
      <c r="BL29" s="378"/>
      <c r="BM29" s="378"/>
      <c r="BN29" s="378"/>
      <c r="BO29" s="378"/>
      <c r="BP29" s="378"/>
      <c r="BQ29" s="378"/>
      <c r="BR29" s="378"/>
      <c r="BS29" s="378"/>
      <c r="BT29" s="378"/>
      <c r="BU29" s="378"/>
      <c r="BV29" s="378"/>
      <c r="BW29" s="378"/>
      <c r="BX29" s="378"/>
      <c r="BY29" s="378"/>
      <c r="BZ29" s="378"/>
      <c r="CA29" s="378"/>
      <c r="CB29" s="378"/>
      <c r="CC29" s="378"/>
      <c r="CD29" s="378"/>
      <c r="CE29" s="378"/>
      <c r="CF29" s="378"/>
      <c r="CG29" s="378"/>
      <c r="CH29" s="378"/>
      <c r="CI29" s="378"/>
      <c r="CJ29" s="378"/>
    </row>
    <row r="30" spans="1:88" x14ac:dyDescent="0.25">
      <c r="A30" s="1951"/>
      <c r="B30" s="771" t="s">
        <v>601</v>
      </c>
      <c r="C30" s="772"/>
      <c r="D30" s="772"/>
      <c r="E30" s="772"/>
      <c r="F30" s="773"/>
      <c r="G30" s="1446">
        <f>AVERAGE(G45:G46)</f>
        <v>0.5</v>
      </c>
      <c r="H30" s="1481">
        <v>0.7</v>
      </c>
      <c r="I30" s="965"/>
      <c r="J30" s="822"/>
      <c r="K30" s="427"/>
      <c r="L30" s="427"/>
      <c r="M30" s="427"/>
      <c r="N30" s="427"/>
      <c r="O30" s="427"/>
      <c r="P30" s="427"/>
      <c r="Q30" s="427"/>
      <c r="R30" s="378"/>
      <c r="S30" s="378"/>
      <c r="T30" s="378"/>
      <c r="U30" s="378"/>
      <c r="V30" s="378"/>
      <c r="W30" s="378"/>
      <c r="X30" s="378"/>
      <c r="Y30" s="378"/>
      <c r="Z30" s="378"/>
      <c r="AA30" s="378"/>
      <c r="AB30" s="378"/>
      <c r="AC30" s="378"/>
      <c r="AD30" s="378"/>
      <c r="AE30" s="378"/>
      <c r="AF30" s="378"/>
      <c r="AG30" s="378"/>
      <c r="AH30" s="378"/>
      <c r="AI30" s="378"/>
      <c r="AJ30" s="378"/>
      <c r="AK30" s="378"/>
      <c r="AL30" s="378"/>
      <c r="AM30" s="378"/>
      <c r="AN30" s="378"/>
      <c r="AO30" s="378"/>
      <c r="AP30" s="378"/>
      <c r="AQ30" s="378"/>
      <c r="AR30" s="378"/>
      <c r="AS30" s="378"/>
      <c r="AT30" s="378"/>
      <c r="AU30" s="378"/>
      <c r="AV30" s="378"/>
      <c r="AW30" s="378"/>
      <c r="AX30" s="378"/>
      <c r="AY30" s="378"/>
      <c r="AZ30" s="378"/>
      <c r="BA30" s="378"/>
      <c r="BB30" s="378"/>
      <c r="BC30" s="378"/>
      <c r="BD30" s="378"/>
      <c r="BE30" s="378"/>
      <c r="BF30" s="378"/>
      <c r="BG30" s="378"/>
      <c r="BH30" s="378"/>
      <c r="BI30" s="378"/>
      <c r="BJ30" s="378"/>
      <c r="BK30" s="378"/>
      <c r="BL30" s="378"/>
      <c r="BM30" s="378"/>
      <c r="BN30" s="378"/>
      <c r="BO30" s="378"/>
      <c r="BP30" s="378"/>
      <c r="BQ30" s="378"/>
      <c r="BR30" s="378"/>
      <c r="BS30" s="378"/>
      <c r="BT30" s="378"/>
      <c r="BU30" s="378"/>
      <c r="BV30" s="378"/>
      <c r="BW30" s="378"/>
      <c r="BX30" s="378"/>
      <c r="BY30" s="378"/>
      <c r="BZ30" s="378"/>
      <c r="CA30" s="378"/>
      <c r="CB30" s="378"/>
      <c r="CC30" s="378"/>
      <c r="CD30" s="378"/>
      <c r="CE30" s="378"/>
      <c r="CF30" s="378"/>
      <c r="CG30" s="378"/>
      <c r="CH30" s="378"/>
      <c r="CI30" s="378"/>
      <c r="CJ30" s="378"/>
    </row>
    <row r="31" spans="1:88" x14ac:dyDescent="0.25">
      <c r="A31" s="1951"/>
      <c r="B31" s="774" t="s">
        <v>602</v>
      </c>
      <c r="C31" s="775"/>
      <c r="D31" s="775"/>
      <c r="E31" s="775"/>
      <c r="F31" s="776"/>
      <c r="G31" s="1445">
        <f>AVERAGE(G47:G49)</f>
        <v>0.7</v>
      </c>
      <c r="H31" s="1481">
        <v>0.7</v>
      </c>
      <c r="I31" s="965"/>
      <c r="J31" s="822"/>
      <c r="K31" s="427"/>
      <c r="L31" s="427"/>
      <c r="M31" s="427"/>
      <c r="N31" s="427"/>
      <c r="O31" s="427"/>
      <c r="P31" s="427"/>
      <c r="Q31" s="427"/>
      <c r="R31" s="378"/>
      <c r="S31" s="378"/>
      <c r="T31" s="378"/>
      <c r="U31" s="378"/>
      <c r="V31" s="378"/>
      <c r="W31" s="378"/>
      <c r="X31" s="378"/>
      <c r="Y31" s="378"/>
      <c r="Z31" s="378"/>
      <c r="AA31" s="378"/>
      <c r="AB31" s="378"/>
      <c r="AC31" s="378"/>
      <c r="AD31" s="378"/>
      <c r="AE31" s="378"/>
      <c r="AF31" s="378"/>
      <c r="AG31" s="378"/>
      <c r="AH31" s="378"/>
      <c r="AI31" s="378"/>
      <c r="AJ31" s="378"/>
      <c r="AK31" s="378"/>
      <c r="AL31" s="378"/>
      <c r="AM31" s="378"/>
      <c r="AN31" s="378"/>
      <c r="AO31" s="378"/>
      <c r="AP31" s="378"/>
      <c r="AQ31" s="378"/>
      <c r="AR31" s="378"/>
      <c r="AS31" s="378"/>
      <c r="AT31" s="378"/>
      <c r="AU31" s="378"/>
      <c r="AV31" s="378"/>
      <c r="AW31" s="378"/>
      <c r="AX31" s="378"/>
      <c r="AY31" s="378"/>
      <c r="AZ31" s="378"/>
      <c r="BA31" s="378"/>
      <c r="BB31" s="378"/>
      <c r="BC31" s="378"/>
      <c r="BD31" s="378"/>
      <c r="BE31" s="378"/>
      <c r="BF31" s="378"/>
      <c r="BG31" s="378"/>
      <c r="BH31" s="378"/>
      <c r="BI31" s="378"/>
      <c r="BJ31" s="378"/>
      <c r="BK31" s="378"/>
      <c r="BL31" s="378"/>
      <c r="BM31" s="378"/>
      <c r="BN31" s="378"/>
      <c r="BO31" s="378"/>
      <c r="BP31" s="378"/>
      <c r="BQ31" s="378"/>
      <c r="BR31" s="378"/>
      <c r="BS31" s="378"/>
      <c r="BT31" s="378"/>
      <c r="BU31" s="378"/>
      <c r="BV31" s="378"/>
      <c r="BW31" s="378"/>
      <c r="BX31" s="378"/>
      <c r="BY31" s="378"/>
      <c r="BZ31" s="378"/>
      <c r="CA31" s="378"/>
      <c r="CB31" s="378"/>
      <c r="CC31" s="378"/>
      <c r="CD31" s="378"/>
      <c r="CE31" s="378"/>
      <c r="CF31" s="378"/>
      <c r="CG31" s="378"/>
      <c r="CH31" s="378"/>
      <c r="CI31" s="378"/>
      <c r="CJ31" s="378"/>
    </row>
    <row r="32" spans="1:88" ht="15.75" thickBot="1" x14ac:dyDescent="0.3">
      <c r="A32" s="1952"/>
      <c r="B32" s="787" t="s">
        <v>603</v>
      </c>
      <c r="C32" s="788"/>
      <c r="D32" s="788"/>
      <c r="E32" s="788"/>
      <c r="F32" s="789"/>
      <c r="G32" s="1447" t="e">
        <f>AVERAGE(G50:G53)</f>
        <v>#VALUE!</v>
      </c>
      <c r="H32" s="1481">
        <v>0.7</v>
      </c>
      <c r="I32" s="965"/>
      <c r="J32" s="822"/>
      <c r="K32" s="427"/>
      <c r="L32" s="427"/>
      <c r="M32" s="427"/>
      <c r="N32" s="427"/>
      <c r="O32" s="427"/>
      <c r="P32" s="427"/>
      <c r="Q32" s="427"/>
      <c r="R32" s="378"/>
      <c r="S32" s="378"/>
      <c r="T32" s="378"/>
      <c r="U32" s="378"/>
      <c r="V32" s="378"/>
      <c r="W32" s="378"/>
      <c r="X32" s="378"/>
      <c r="Y32" s="378"/>
      <c r="Z32" s="378"/>
      <c r="AA32" s="378"/>
      <c r="AB32" s="378"/>
      <c r="AC32" s="378"/>
      <c r="AD32" s="378"/>
      <c r="AE32" s="378"/>
      <c r="AF32" s="378"/>
      <c r="AG32" s="378"/>
      <c r="AH32" s="378"/>
      <c r="AI32" s="378"/>
      <c r="AJ32" s="378"/>
      <c r="AK32" s="378"/>
      <c r="AL32" s="378"/>
      <c r="AM32" s="378"/>
      <c r="AN32" s="378"/>
      <c r="AO32" s="378"/>
      <c r="AP32" s="378"/>
      <c r="AQ32" s="378"/>
      <c r="AR32" s="378"/>
      <c r="AS32" s="378"/>
      <c r="AT32" s="378"/>
      <c r="AU32" s="378"/>
      <c r="AV32" s="378"/>
      <c r="AW32" s="378"/>
      <c r="AX32" s="378"/>
      <c r="AY32" s="378"/>
      <c r="AZ32" s="378"/>
      <c r="BA32" s="378"/>
      <c r="BB32" s="378"/>
      <c r="BC32" s="378"/>
      <c r="BD32" s="378"/>
      <c r="BE32" s="378"/>
      <c r="BF32" s="378"/>
      <c r="BG32" s="378"/>
      <c r="BH32" s="378"/>
      <c r="BI32" s="378"/>
      <c r="BJ32" s="378"/>
      <c r="BK32" s="378"/>
      <c r="BL32" s="378"/>
      <c r="BM32" s="378"/>
      <c r="BN32" s="378"/>
      <c r="BO32" s="378"/>
      <c r="BP32" s="378"/>
      <c r="BQ32" s="378"/>
      <c r="BR32" s="378"/>
      <c r="BS32" s="378"/>
      <c r="BT32" s="378"/>
      <c r="BU32" s="378"/>
      <c r="BV32" s="378"/>
      <c r="BW32" s="378"/>
      <c r="BX32" s="378"/>
      <c r="BY32" s="378"/>
      <c r="BZ32" s="378"/>
      <c r="CA32" s="378"/>
      <c r="CB32" s="378"/>
      <c r="CC32" s="378"/>
      <c r="CD32" s="378"/>
      <c r="CE32" s="378"/>
      <c r="CF32" s="378"/>
      <c r="CG32" s="378"/>
      <c r="CH32" s="378"/>
      <c r="CI32" s="378"/>
      <c r="CJ32" s="378"/>
    </row>
    <row r="33" spans="1:88" ht="16.5" customHeight="1" x14ac:dyDescent="0.25">
      <c r="A33" s="1950" t="s">
        <v>604</v>
      </c>
      <c r="B33" s="790" t="s">
        <v>605</v>
      </c>
      <c r="C33" s="791"/>
      <c r="D33" s="791"/>
      <c r="E33" s="791"/>
      <c r="F33" s="792"/>
      <c r="G33" s="1448" t="str">
        <f>+'3 INDICADORES'!C16</f>
        <v/>
      </c>
      <c r="H33" s="1481">
        <v>0.7</v>
      </c>
      <c r="I33" s="965"/>
      <c r="J33" s="822"/>
      <c r="L33" s="427"/>
      <c r="M33" s="427"/>
      <c r="N33" s="427"/>
      <c r="O33" s="427"/>
      <c r="P33" s="427"/>
      <c r="Q33" s="427"/>
      <c r="R33" s="378"/>
      <c r="S33" s="378"/>
      <c r="T33" s="378"/>
      <c r="U33" s="378"/>
      <c r="V33" s="378"/>
      <c r="W33" s="378"/>
      <c r="X33" s="378"/>
      <c r="Y33" s="378"/>
      <c r="Z33" s="378"/>
      <c r="AA33" s="378"/>
      <c r="AB33" s="378"/>
      <c r="AC33" s="378"/>
      <c r="AD33" s="378"/>
      <c r="AE33" s="378"/>
      <c r="AF33" s="378"/>
      <c r="AG33" s="378"/>
      <c r="AH33" s="378"/>
      <c r="AI33" s="378"/>
      <c r="AJ33" s="378"/>
      <c r="AK33" s="378"/>
      <c r="AL33" s="378"/>
      <c r="AM33" s="378"/>
      <c r="AN33" s="378"/>
      <c r="AO33" s="378"/>
      <c r="AP33" s="378"/>
      <c r="AQ33" s="378"/>
      <c r="AR33" s="378"/>
      <c r="AS33" s="378"/>
      <c r="AT33" s="378"/>
      <c r="AU33" s="378"/>
      <c r="AV33" s="378"/>
      <c r="AW33" s="378"/>
      <c r="AX33" s="378"/>
      <c r="AY33" s="378"/>
      <c r="AZ33" s="378"/>
      <c r="BA33" s="378"/>
      <c r="BB33" s="378"/>
      <c r="BC33" s="378"/>
      <c r="BD33" s="378"/>
      <c r="BE33" s="378"/>
      <c r="BF33" s="378"/>
      <c r="BG33" s="378"/>
      <c r="BH33" s="378"/>
      <c r="BI33" s="378"/>
      <c r="BJ33" s="378"/>
      <c r="BK33" s="378"/>
      <c r="BL33" s="378"/>
      <c r="BM33" s="378"/>
      <c r="BN33" s="378"/>
      <c r="BO33" s="378"/>
      <c r="BP33" s="378"/>
      <c r="BQ33" s="378"/>
      <c r="BR33" s="378"/>
      <c r="BS33" s="378"/>
      <c r="BT33" s="378"/>
      <c r="BU33" s="378"/>
      <c r="BV33" s="378"/>
      <c r="BW33" s="378"/>
      <c r="BX33" s="378"/>
      <c r="BY33" s="378"/>
      <c r="BZ33" s="378"/>
      <c r="CA33" s="378"/>
      <c r="CB33" s="378"/>
      <c r="CC33" s="378"/>
      <c r="CD33" s="378"/>
      <c r="CE33" s="378"/>
      <c r="CF33" s="378"/>
      <c r="CG33" s="378"/>
      <c r="CH33" s="378"/>
      <c r="CI33" s="378"/>
      <c r="CJ33" s="378"/>
    </row>
    <row r="34" spans="1:88" ht="15.75" customHeight="1" x14ac:dyDescent="0.25">
      <c r="A34" s="1951"/>
      <c r="B34" s="793" t="s">
        <v>606</v>
      </c>
      <c r="C34" s="794"/>
      <c r="D34" s="794"/>
      <c r="E34" s="794"/>
      <c r="F34" s="795"/>
      <c r="G34" s="1445" t="str">
        <f>+'3 INDICADORES'!C28</f>
        <v/>
      </c>
      <c r="H34" s="1481">
        <v>0.7</v>
      </c>
      <c r="I34" s="965"/>
      <c r="J34" s="822"/>
      <c r="L34" s="427"/>
      <c r="M34" s="427"/>
      <c r="N34" s="427"/>
      <c r="O34" s="427"/>
      <c r="P34" s="427"/>
      <c r="Q34" s="427"/>
      <c r="R34" s="378"/>
      <c r="S34" s="378"/>
      <c r="T34" s="378"/>
      <c r="U34" s="378"/>
      <c r="V34" s="378"/>
      <c r="W34" s="378"/>
      <c r="X34" s="378"/>
      <c r="Y34" s="378"/>
      <c r="Z34" s="378"/>
      <c r="AA34" s="378"/>
      <c r="AB34" s="378"/>
      <c r="AC34" s="378"/>
      <c r="AD34" s="378"/>
      <c r="AE34" s="378"/>
      <c r="AF34" s="378"/>
      <c r="AG34" s="378"/>
      <c r="AH34" s="378"/>
      <c r="AI34" s="378"/>
      <c r="AJ34" s="378"/>
      <c r="AK34" s="378"/>
      <c r="AL34" s="378"/>
      <c r="AM34" s="378"/>
      <c r="AN34" s="378"/>
      <c r="AO34" s="378"/>
      <c r="AP34" s="378"/>
      <c r="AQ34" s="378"/>
      <c r="AR34" s="378"/>
      <c r="AS34" s="378"/>
      <c r="AT34" s="378"/>
      <c r="AU34" s="378"/>
      <c r="AV34" s="378"/>
      <c r="AW34" s="378"/>
      <c r="AX34" s="378"/>
      <c r="AY34" s="378"/>
      <c r="AZ34" s="378"/>
      <c r="BA34" s="378"/>
      <c r="BB34" s="378"/>
      <c r="BC34" s="378"/>
      <c r="BD34" s="378"/>
      <c r="BE34" s="378"/>
      <c r="BF34" s="378"/>
      <c r="BG34" s="378"/>
      <c r="BH34" s="378"/>
      <c r="BI34" s="378"/>
      <c r="BJ34" s="378"/>
      <c r="BK34" s="378"/>
      <c r="BL34" s="378"/>
      <c r="BM34" s="378"/>
      <c r="BN34" s="378"/>
      <c r="BO34" s="378"/>
      <c r="BP34" s="378"/>
      <c r="BQ34" s="378"/>
      <c r="BR34" s="378"/>
      <c r="BS34" s="378"/>
      <c r="BT34" s="378"/>
      <c r="BU34" s="378"/>
      <c r="BV34" s="378"/>
      <c r="BW34" s="378"/>
      <c r="BX34" s="378"/>
      <c r="BY34" s="378"/>
      <c r="BZ34" s="378"/>
      <c r="CA34" s="378"/>
      <c r="CB34" s="378"/>
      <c r="CC34" s="378"/>
      <c r="CD34" s="378"/>
      <c r="CE34" s="378"/>
      <c r="CF34" s="378"/>
      <c r="CG34" s="378"/>
      <c r="CH34" s="378"/>
      <c r="CI34" s="378"/>
      <c r="CJ34" s="378"/>
    </row>
    <row r="35" spans="1:88" ht="16.5" customHeight="1" x14ac:dyDescent="0.25">
      <c r="A35" s="1951"/>
      <c r="B35" s="774" t="s">
        <v>607</v>
      </c>
      <c r="C35" s="775"/>
      <c r="D35" s="775"/>
      <c r="E35" s="775"/>
      <c r="F35" s="776"/>
      <c r="G35" s="1445" t="e">
        <f>+'3 INDICADORES'!C41</f>
        <v>#DIV/0!</v>
      </c>
      <c r="H35" s="1481">
        <v>0.7</v>
      </c>
      <c r="I35" s="965"/>
      <c r="J35" s="822"/>
      <c r="L35" s="427"/>
      <c r="M35" s="427"/>
      <c r="N35" s="427"/>
      <c r="O35" s="427"/>
      <c r="P35" s="427"/>
      <c r="Q35" s="427"/>
      <c r="R35" s="378"/>
      <c r="S35" s="378"/>
      <c r="T35" s="378"/>
      <c r="U35" s="378"/>
      <c r="V35" s="378"/>
      <c r="W35" s="378"/>
      <c r="X35" s="378"/>
      <c r="Y35" s="378"/>
      <c r="Z35" s="378"/>
      <c r="AA35" s="378"/>
      <c r="AB35" s="378"/>
      <c r="AC35" s="378"/>
      <c r="AD35" s="378"/>
      <c r="AE35" s="378"/>
      <c r="AF35" s="378"/>
      <c r="AG35" s="378"/>
      <c r="AH35" s="378"/>
      <c r="AI35" s="378"/>
      <c r="AJ35" s="378"/>
      <c r="AK35" s="378"/>
      <c r="AL35" s="378"/>
      <c r="AM35" s="378"/>
      <c r="AN35" s="378"/>
      <c r="AO35" s="378"/>
      <c r="AP35" s="378"/>
      <c r="AQ35" s="378"/>
      <c r="AR35" s="378"/>
      <c r="AS35" s="378"/>
      <c r="AT35" s="378"/>
      <c r="AU35" s="378"/>
      <c r="AV35" s="378"/>
      <c r="AW35" s="378"/>
      <c r="AX35" s="378"/>
      <c r="AY35" s="378"/>
      <c r="AZ35" s="378"/>
      <c r="BA35" s="378"/>
      <c r="BB35" s="378"/>
      <c r="BC35" s="378"/>
      <c r="BD35" s="378"/>
      <c r="BE35" s="378"/>
      <c r="BF35" s="378"/>
      <c r="BG35" s="378"/>
      <c r="BH35" s="378"/>
      <c r="BI35" s="378"/>
      <c r="BJ35" s="378"/>
      <c r="BK35" s="378"/>
      <c r="BL35" s="378"/>
      <c r="BM35" s="378"/>
      <c r="BN35" s="378"/>
      <c r="BO35" s="378"/>
      <c r="BP35" s="378"/>
      <c r="BQ35" s="378"/>
      <c r="BR35" s="378"/>
      <c r="BS35" s="378"/>
      <c r="BT35" s="378"/>
      <c r="BU35" s="378"/>
      <c r="BV35" s="378"/>
      <c r="BW35" s="378"/>
      <c r="BX35" s="378"/>
      <c r="BY35" s="378"/>
      <c r="BZ35" s="378"/>
      <c r="CA35" s="378"/>
      <c r="CB35" s="378"/>
      <c r="CC35" s="378"/>
      <c r="CD35" s="378"/>
      <c r="CE35" s="378"/>
      <c r="CF35" s="378"/>
      <c r="CG35" s="378"/>
      <c r="CH35" s="378"/>
      <c r="CI35" s="378"/>
      <c r="CJ35" s="378"/>
    </row>
    <row r="36" spans="1:88" ht="15.75" customHeight="1" x14ac:dyDescent="0.25">
      <c r="A36" s="1951"/>
      <c r="B36" s="793" t="s">
        <v>608</v>
      </c>
      <c r="C36" s="794"/>
      <c r="D36" s="794"/>
      <c r="E36" s="794"/>
      <c r="F36" s="795"/>
      <c r="G36" s="1445">
        <f>+'3 INDICADORES'!C54</f>
        <v>0</v>
      </c>
      <c r="H36" s="1481">
        <v>0.7</v>
      </c>
      <c r="I36" s="965"/>
      <c r="J36" s="822"/>
      <c r="L36" s="427"/>
      <c r="M36" s="427"/>
      <c r="N36" s="427"/>
      <c r="O36" s="427"/>
      <c r="P36" s="427"/>
      <c r="Q36" s="427"/>
      <c r="R36" s="378"/>
      <c r="S36" s="378"/>
      <c r="T36" s="378"/>
      <c r="U36" s="378"/>
      <c r="V36" s="378"/>
      <c r="W36" s="378"/>
      <c r="X36" s="378"/>
      <c r="Y36" s="378"/>
      <c r="Z36" s="378"/>
      <c r="AA36" s="378"/>
      <c r="AB36" s="378"/>
      <c r="AC36" s="378"/>
      <c r="AD36" s="378"/>
      <c r="AE36" s="378"/>
      <c r="AF36" s="378"/>
      <c r="AG36" s="378"/>
      <c r="AH36" s="378"/>
      <c r="AI36" s="378"/>
      <c r="AJ36" s="378"/>
      <c r="AK36" s="378"/>
      <c r="AL36" s="378"/>
      <c r="AM36" s="378"/>
      <c r="AN36" s="378"/>
      <c r="AO36" s="378"/>
      <c r="AP36" s="378"/>
      <c r="AQ36" s="378"/>
      <c r="AR36" s="378"/>
      <c r="AS36" s="378"/>
      <c r="AT36" s="378"/>
      <c r="AU36" s="378"/>
      <c r="AV36" s="378"/>
      <c r="AW36" s="378"/>
      <c r="AX36" s="378"/>
      <c r="AY36" s="378"/>
      <c r="AZ36" s="378"/>
      <c r="BA36" s="378"/>
      <c r="BB36" s="378"/>
      <c r="BC36" s="378"/>
      <c r="BD36" s="378"/>
      <c r="BE36" s="378"/>
      <c r="BF36" s="378"/>
      <c r="BG36" s="378"/>
      <c r="BH36" s="378"/>
      <c r="BI36" s="378"/>
      <c r="BJ36" s="378"/>
      <c r="BK36" s="378"/>
      <c r="BL36" s="378"/>
      <c r="BM36" s="378"/>
      <c r="BN36" s="378"/>
      <c r="BO36" s="378"/>
      <c r="BP36" s="378"/>
      <c r="BQ36" s="378"/>
      <c r="BR36" s="378"/>
      <c r="BS36" s="378"/>
      <c r="BT36" s="378"/>
      <c r="BU36" s="378"/>
      <c r="BV36" s="378"/>
      <c r="BW36" s="378"/>
      <c r="BX36" s="378"/>
      <c r="BY36" s="378"/>
      <c r="BZ36" s="378"/>
      <c r="CA36" s="378"/>
      <c r="CB36" s="378"/>
      <c r="CC36" s="378"/>
      <c r="CD36" s="378"/>
      <c r="CE36" s="378"/>
      <c r="CF36" s="378"/>
      <c r="CG36" s="378"/>
      <c r="CH36" s="378"/>
      <c r="CI36" s="378"/>
      <c r="CJ36" s="378"/>
    </row>
    <row r="37" spans="1:88" ht="15.75" customHeight="1" x14ac:dyDescent="0.25">
      <c r="A37" s="1951"/>
      <c r="B37" s="774" t="s">
        <v>609</v>
      </c>
      <c r="C37" s="775"/>
      <c r="D37" s="775"/>
      <c r="E37" s="775"/>
      <c r="F37" s="776"/>
      <c r="G37" s="1445">
        <f>'3 INDICADORES'!C81</f>
        <v>0</v>
      </c>
      <c r="H37" s="1481">
        <v>0.7</v>
      </c>
      <c r="I37" s="965"/>
      <c r="J37" s="822"/>
      <c r="L37" s="427"/>
      <c r="M37" s="427"/>
      <c r="N37" s="427"/>
      <c r="O37" s="427"/>
      <c r="P37" s="427"/>
      <c r="Q37" s="427"/>
      <c r="R37" s="378"/>
      <c r="S37" s="378"/>
      <c r="T37" s="378"/>
      <c r="U37" s="378"/>
      <c r="V37" s="378"/>
      <c r="W37" s="378"/>
      <c r="X37" s="378"/>
      <c r="Y37" s="378"/>
      <c r="Z37" s="378"/>
      <c r="AA37" s="378"/>
      <c r="AB37" s="378"/>
      <c r="AC37" s="378"/>
      <c r="AD37" s="378"/>
      <c r="AE37" s="378"/>
      <c r="AF37" s="378"/>
      <c r="AG37" s="378"/>
      <c r="AH37" s="378"/>
      <c r="AI37" s="378"/>
      <c r="AJ37" s="378"/>
      <c r="AK37" s="378"/>
      <c r="AL37" s="378"/>
      <c r="AM37" s="378"/>
      <c r="AN37" s="378"/>
      <c r="AO37" s="378"/>
      <c r="AP37" s="378"/>
      <c r="AQ37" s="378"/>
      <c r="AR37" s="378"/>
      <c r="AS37" s="378"/>
      <c r="AT37" s="378"/>
      <c r="AU37" s="378"/>
      <c r="AV37" s="378"/>
      <c r="AW37" s="378"/>
      <c r="AX37" s="378"/>
      <c r="AY37" s="378"/>
      <c r="AZ37" s="378"/>
      <c r="BA37" s="378"/>
      <c r="BB37" s="378"/>
      <c r="BC37" s="378"/>
      <c r="BD37" s="378"/>
      <c r="BE37" s="378"/>
      <c r="BF37" s="378"/>
      <c r="BG37" s="378"/>
      <c r="BH37" s="378"/>
      <c r="BI37" s="378"/>
      <c r="BJ37" s="378"/>
      <c r="BK37" s="378"/>
      <c r="BL37" s="378"/>
      <c r="BM37" s="378"/>
      <c r="BN37" s="378"/>
      <c r="BO37" s="378"/>
      <c r="BP37" s="378"/>
      <c r="BQ37" s="378"/>
      <c r="BR37" s="378"/>
      <c r="BS37" s="378"/>
      <c r="BT37" s="378"/>
      <c r="BU37" s="378"/>
      <c r="BV37" s="378"/>
      <c r="BW37" s="378"/>
      <c r="BX37" s="378"/>
      <c r="BY37" s="378"/>
      <c r="BZ37" s="378"/>
      <c r="CA37" s="378"/>
      <c r="CB37" s="378"/>
      <c r="CC37" s="378"/>
      <c r="CD37" s="378"/>
      <c r="CE37" s="378"/>
      <c r="CF37" s="378"/>
      <c r="CG37" s="378"/>
      <c r="CH37" s="378"/>
      <c r="CI37" s="378"/>
      <c r="CJ37" s="378"/>
    </row>
    <row r="38" spans="1:88" ht="15" customHeight="1" x14ac:dyDescent="0.25">
      <c r="A38" s="1951"/>
      <c r="B38" s="774" t="s">
        <v>610</v>
      </c>
      <c r="C38" s="775"/>
      <c r="D38" s="775"/>
      <c r="E38" s="775"/>
      <c r="F38" s="776"/>
      <c r="G38" s="1445" t="e">
        <f>'3 INDICADORES'!C97</f>
        <v>#DIV/0!</v>
      </c>
      <c r="H38" s="1481">
        <v>0.7</v>
      </c>
      <c r="I38" s="965"/>
      <c r="J38" s="822"/>
      <c r="L38" s="427"/>
      <c r="M38" s="427"/>
      <c r="N38" s="427"/>
      <c r="O38" s="427"/>
      <c r="P38" s="427"/>
      <c r="Q38" s="427"/>
      <c r="R38" s="378"/>
      <c r="S38" s="378"/>
      <c r="T38" s="378"/>
      <c r="U38" s="378"/>
      <c r="V38" s="378"/>
      <c r="W38" s="378"/>
      <c r="X38" s="378"/>
      <c r="Y38" s="378"/>
      <c r="Z38" s="378"/>
      <c r="AA38" s="378"/>
      <c r="AB38" s="378"/>
      <c r="AC38" s="378"/>
      <c r="AD38" s="378"/>
      <c r="AE38" s="378"/>
      <c r="AF38" s="378"/>
      <c r="AG38" s="378"/>
      <c r="AH38" s="378"/>
      <c r="AI38" s="378"/>
      <c r="AJ38" s="378"/>
      <c r="AK38" s="378"/>
      <c r="AL38" s="378"/>
      <c r="AM38" s="378"/>
      <c r="AN38" s="378"/>
      <c r="AO38" s="378"/>
      <c r="AP38" s="378"/>
      <c r="AQ38" s="378"/>
      <c r="AR38" s="378"/>
      <c r="AS38" s="378"/>
      <c r="AT38" s="378"/>
      <c r="AU38" s="378"/>
      <c r="AV38" s="378"/>
      <c r="AW38" s="378"/>
      <c r="AX38" s="378"/>
      <c r="AY38" s="378"/>
      <c r="AZ38" s="378"/>
      <c r="BA38" s="378"/>
      <c r="BB38" s="378"/>
      <c r="BC38" s="378"/>
      <c r="BD38" s="378"/>
      <c r="BE38" s="378"/>
      <c r="BF38" s="378"/>
      <c r="BG38" s="378"/>
      <c r="BH38" s="378"/>
      <c r="BI38" s="378"/>
      <c r="BJ38" s="378"/>
      <c r="BK38" s="378"/>
      <c r="BL38" s="378"/>
      <c r="BM38" s="378"/>
      <c r="BN38" s="378"/>
      <c r="BO38" s="378"/>
      <c r="BP38" s="378"/>
      <c r="BQ38" s="378"/>
      <c r="BR38" s="378"/>
      <c r="BS38" s="378"/>
      <c r="BT38" s="378"/>
      <c r="BU38" s="378"/>
      <c r="BV38" s="378"/>
      <c r="BW38" s="378"/>
      <c r="BX38" s="378"/>
      <c r="BY38" s="378"/>
      <c r="BZ38" s="378"/>
      <c r="CA38" s="378"/>
      <c r="CB38" s="378"/>
      <c r="CC38" s="378"/>
      <c r="CD38" s="378"/>
      <c r="CE38" s="378"/>
      <c r="CF38" s="378"/>
      <c r="CG38" s="378"/>
      <c r="CH38" s="378"/>
      <c r="CI38" s="378"/>
      <c r="CJ38" s="378"/>
    </row>
    <row r="39" spans="1:88" ht="15" customHeight="1" x14ac:dyDescent="0.25">
      <c r="A39" s="1951"/>
      <c r="B39" s="793" t="s">
        <v>611</v>
      </c>
      <c r="C39" s="794"/>
      <c r="D39" s="794"/>
      <c r="E39" s="794"/>
      <c r="F39" s="795"/>
      <c r="G39" s="1445">
        <f>'3 INDICADORES'!C115</f>
        <v>0.7</v>
      </c>
      <c r="H39" s="1481">
        <v>0.7</v>
      </c>
      <c r="I39" s="965"/>
      <c r="J39" s="822"/>
      <c r="L39" s="427"/>
      <c r="M39" s="427"/>
      <c r="N39" s="427"/>
      <c r="O39" s="427"/>
      <c r="P39" s="427"/>
      <c r="Q39" s="427"/>
      <c r="R39" s="378"/>
      <c r="S39" s="378"/>
      <c r="T39" s="378"/>
      <c r="U39" s="378"/>
      <c r="V39" s="378"/>
      <c r="W39" s="378"/>
      <c r="X39" s="378"/>
      <c r="Y39" s="378"/>
      <c r="Z39" s="378"/>
      <c r="AA39" s="378"/>
      <c r="AB39" s="378"/>
      <c r="AC39" s="378"/>
      <c r="AD39" s="378"/>
      <c r="AE39" s="378"/>
      <c r="AF39" s="378"/>
      <c r="AG39" s="378"/>
      <c r="AH39" s="378"/>
      <c r="AI39" s="378"/>
      <c r="AJ39" s="378"/>
      <c r="AK39" s="378"/>
      <c r="AL39" s="378"/>
      <c r="AM39" s="378"/>
      <c r="AN39" s="378"/>
      <c r="AO39" s="378"/>
      <c r="AP39" s="378"/>
      <c r="AQ39" s="378"/>
      <c r="AR39" s="378"/>
      <c r="AS39" s="378"/>
      <c r="AT39" s="378"/>
      <c r="AU39" s="378"/>
      <c r="AV39" s="378"/>
      <c r="AW39" s="378"/>
      <c r="AX39" s="378"/>
      <c r="AY39" s="378"/>
      <c r="AZ39" s="378"/>
      <c r="BA39" s="378"/>
      <c r="BB39" s="378"/>
      <c r="BC39" s="378"/>
      <c r="BD39" s="378"/>
      <c r="BE39" s="378"/>
      <c r="BF39" s="378"/>
      <c r="BG39" s="378"/>
      <c r="BH39" s="378"/>
      <c r="BI39" s="378"/>
      <c r="BJ39" s="378"/>
      <c r="BK39" s="378"/>
      <c r="BL39" s="378"/>
      <c r="BM39" s="378"/>
      <c r="BN39" s="378"/>
      <c r="BO39" s="378"/>
      <c r="BP39" s="378"/>
      <c r="BQ39" s="378"/>
      <c r="BR39" s="378"/>
      <c r="BS39" s="378"/>
      <c r="BT39" s="378"/>
      <c r="BU39" s="378"/>
      <c r="BV39" s="378"/>
      <c r="BW39" s="378"/>
      <c r="BX39" s="378"/>
      <c r="BY39" s="378"/>
      <c r="BZ39" s="378"/>
      <c r="CA39" s="378"/>
      <c r="CB39" s="378"/>
      <c r="CC39" s="378"/>
      <c r="CD39" s="378"/>
      <c r="CE39" s="378"/>
      <c r="CF39" s="378"/>
      <c r="CG39" s="378"/>
      <c r="CH39" s="378"/>
      <c r="CI39" s="378"/>
      <c r="CJ39" s="378"/>
    </row>
    <row r="40" spans="1:88" ht="15.75" customHeight="1" x14ac:dyDescent="0.25">
      <c r="A40" s="1951"/>
      <c r="B40" s="774" t="s">
        <v>612</v>
      </c>
      <c r="C40" s="775"/>
      <c r="D40" s="775"/>
      <c r="E40" s="775"/>
      <c r="F40" s="776"/>
      <c r="G40" s="1445">
        <f>'3 INDICADORES'!C129</f>
        <v>0</v>
      </c>
      <c r="H40" s="1481">
        <v>0.7</v>
      </c>
      <c r="I40" s="965"/>
      <c r="J40" s="822"/>
      <c r="L40" s="427"/>
      <c r="M40" s="427"/>
      <c r="N40" s="427"/>
      <c r="O40" s="427"/>
      <c r="P40" s="427"/>
      <c r="Q40" s="427"/>
      <c r="R40" s="378"/>
      <c r="S40" s="378"/>
      <c r="T40" s="378"/>
      <c r="U40" s="378"/>
      <c r="V40" s="378"/>
      <c r="W40" s="378"/>
      <c r="X40" s="378"/>
      <c r="Y40" s="378"/>
      <c r="Z40" s="378"/>
      <c r="AA40" s="378"/>
      <c r="AB40" s="378"/>
      <c r="AC40" s="378"/>
      <c r="AD40" s="378"/>
      <c r="AE40" s="378"/>
      <c r="AF40" s="378"/>
      <c r="AG40" s="378"/>
      <c r="AH40" s="378"/>
      <c r="AI40" s="378"/>
      <c r="AJ40" s="378"/>
      <c r="AK40" s="378"/>
      <c r="AL40" s="378"/>
      <c r="AM40" s="378"/>
      <c r="AN40" s="378"/>
      <c r="AO40" s="378"/>
      <c r="AP40" s="378"/>
      <c r="AQ40" s="378"/>
      <c r="AR40" s="378"/>
      <c r="AS40" s="378"/>
      <c r="AT40" s="378"/>
      <c r="AU40" s="378"/>
      <c r="AV40" s="378"/>
      <c r="AW40" s="378"/>
      <c r="AX40" s="378"/>
      <c r="AY40" s="378"/>
      <c r="AZ40" s="378"/>
      <c r="BA40" s="378"/>
      <c r="BB40" s="378"/>
      <c r="BC40" s="378"/>
      <c r="BD40" s="378"/>
      <c r="BE40" s="378"/>
      <c r="BF40" s="378"/>
      <c r="BG40" s="378"/>
      <c r="BH40" s="378"/>
      <c r="BI40" s="378"/>
      <c r="BJ40" s="378"/>
      <c r="BK40" s="378"/>
      <c r="BL40" s="378"/>
      <c r="BM40" s="378"/>
      <c r="BN40" s="378"/>
      <c r="BO40" s="378"/>
      <c r="BP40" s="378"/>
      <c r="BQ40" s="378"/>
      <c r="BR40" s="378"/>
      <c r="BS40" s="378"/>
      <c r="BT40" s="378"/>
      <c r="BU40" s="378"/>
      <c r="BV40" s="378"/>
      <c r="BW40" s="378"/>
      <c r="BX40" s="378"/>
      <c r="BY40" s="378"/>
      <c r="BZ40" s="378"/>
      <c r="CA40" s="378"/>
      <c r="CB40" s="378"/>
      <c r="CC40" s="378"/>
      <c r="CD40" s="378"/>
      <c r="CE40" s="378"/>
      <c r="CF40" s="378"/>
      <c r="CG40" s="378"/>
      <c r="CH40" s="378"/>
      <c r="CI40" s="378"/>
      <c r="CJ40" s="378"/>
    </row>
    <row r="41" spans="1:88" ht="15.75" customHeight="1" x14ac:dyDescent="0.25">
      <c r="A41" s="1951"/>
      <c r="B41" s="793" t="s">
        <v>613</v>
      </c>
      <c r="C41" s="794"/>
      <c r="D41" s="794"/>
      <c r="E41" s="794"/>
      <c r="F41" s="795"/>
      <c r="G41" s="1445">
        <f>'3 INDICADORES'!C141</f>
        <v>0</v>
      </c>
      <c r="H41" s="1481">
        <v>0.7</v>
      </c>
      <c r="I41" s="965"/>
      <c r="J41" s="822"/>
      <c r="L41" s="427"/>
      <c r="M41" s="427"/>
      <c r="N41" s="427"/>
      <c r="O41" s="427"/>
      <c r="P41" s="427"/>
      <c r="Q41" s="427"/>
      <c r="R41" s="378"/>
      <c r="S41" s="378"/>
      <c r="T41" s="378"/>
      <c r="U41" s="378"/>
      <c r="V41" s="378"/>
      <c r="W41" s="378"/>
      <c r="X41" s="378"/>
      <c r="Y41" s="378"/>
      <c r="Z41" s="378"/>
      <c r="AA41" s="378"/>
      <c r="AB41" s="378"/>
      <c r="AC41" s="378"/>
      <c r="AD41" s="378"/>
      <c r="AE41" s="378"/>
      <c r="AF41" s="378"/>
      <c r="AG41" s="378"/>
      <c r="AH41" s="378"/>
      <c r="AI41" s="378"/>
      <c r="AJ41" s="378"/>
      <c r="AK41" s="378"/>
      <c r="AL41" s="378"/>
      <c r="AM41" s="378"/>
      <c r="AN41" s="378"/>
      <c r="AO41" s="378"/>
      <c r="AP41" s="378"/>
      <c r="AQ41" s="378"/>
      <c r="AR41" s="378"/>
      <c r="AS41" s="378"/>
      <c r="AT41" s="378"/>
      <c r="AU41" s="378"/>
      <c r="AV41" s="378"/>
      <c r="AW41" s="378"/>
      <c r="AX41" s="378"/>
      <c r="AY41" s="378"/>
      <c r="AZ41" s="378"/>
      <c r="BA41" s="378"/>
      <c r="BB41" s="378"/>
      <c r="BC41" s="378"/>
      <c r="BD41" s="378"/>
      <c r="BE41" s="378"/>
      <c r="BF41" s="378"/>
      <c r="BG41" s="378"/>
      <c r="BH41" s="378"/>
      <c r="BI41" s="378"/>
      <c r="BJ41" s="378"/>
      <c r="BK41" s="378"/>
      <c r="BL41" s="378"/>
      <c r="BM41" s="378"/>
      <c r="BN41" s="378"/>
      <c r="BO41" s="378"/>
      <c r="BP41" s="378"/>
      <c r="BQ41" s="378"/>
      <c r="BR41" s="378"/>
      <c r="BS41" s="378"/>
      <c r="BT41" s="378"/>
      <c r="BU41" s="378"/>
      <c r="BV41" s="378"/>
      <c r="BW41" s="378"/>
      <c r="BX41" s="378"/>
      <c r="BY41" s="378"/>
      <c r="BZ41" s="378"/>
      <c r="CA41" s="378"/>
      <c r="CB41" s="378"/>
      <c r="CC41" s="378"/>
      <c r="CD41" s="378"/>
      <c r="CE41" s="378"/>
      <c r="CF41" s="378"/>
      <c r="CG41" s="378"/>
      <c r="CH41" s="378"/>
      <c r="CI41" s="378"/>
      <c r="CJ41" s="378"/>
    </row>
    <row r="42" spans="1:88" x14ac:dyDescent="0.25">
      <c r="A42" s="1951"/>
      <c r="B42" s="774" t="s">
        <v>614</v>
      </c>
      <c r="C42" s="775"/>
      <c r="D42" s="775"/>
      <c r="E42" s="775"/>
      <c r="F42" s="776"/>
      <c r="G42" s="1445">
        <f>'3 INDICADORES'!C155</f>
        <v>0</v>
      </c>
      <c r="H42" s="1481">
        <v>0.7</v>
      </c>
      <c r="I42" s="965"/>
      <c r="J42" s="822"/>
      <c r="L42" s="427"/>
      <c r="M42" s="427"/>
      <c r="N42" s="427"/>
      <c r="O42" s="427"/>
      <c r="P42" s="427"/>
      <c r="Q42" s="427"/>
      <c r="R42" s="378"/>
      <c r="S42" s="378"/>
      <c r="T42" s="378"/>
      <c r="U42" s="378"/>
      <c r="V42" s="378"/>
      <c r="W42" s="378"/>
      <c r="X42" s="378"/>
      <c r="Y42" s="378"/>
      <c r="Z42" s="378"/>
      <c r="AA42" s="378"/>
      <c r="AB42" s="378"/>
      <c r="AC42" s="378"/>
      <c r="AD42" s="378"/>
      <c r="AE42" s="378"/>
      <c r="AF42" s="378"/>
      <c r="AG42" s="378"/>
      <c r="AH42" s="378"/>
      <c r="AI42" s="378"/>
      <c r="AJ42" s="378"/>
      <c r="AK42" s="378"/>
      <c r="AL42" s="378"/>
      <c r="AM42" s="378"/>
      <c r="AN42" s="378"/>
      <c r="AO42" s="378"/>
      <c r="AP42" s="378"/>
      <c r="AQ42" s="378"/>
      <c r="AR42" s="378"/>
      <c r="AS42" s="378"/>
      <c r="AT42" s="378"/>
      <c r="AU42" s="378"/>
      <c r="AV42" s="378"/>
      <c r="AW42" s="378"/>
      <c r="AX42" s="378"/>
      <c r="AY42" s="378"/>
      <c r="AZ42" s="378"/>
      <c r="BA42" s="378"/>
      <c r="BB42" s="378"/>
      <c r="BC42" s="378"/>
      <c r="BD42" s="378"/>
      <c r="BE42" s="378"/>
      <c r="BF42" s="378"/>
      <c r="BG42" s="378"/>
      <c r="BH42" s="378"/>
      <c r="BI42" s="378"/>
      <c r="BJ42" s="378"/>
      <c r="BK42" s="378"/>
      <c r="BL42" s="378"/>
      <c r="BM42" s="378"/>
      <c r="BN42" s="378"/>
      <c r="BO42" s="378"/>
      <c r="BP42" s="378"/>
      <c r="BQ42" s="378"/>
      <c r="BR42" s="378"/>
      <c r="BS42" s="378"/>
      <c r="BT42" s="378"/>
      <c r="BU42" s="378"/>
      <c r="BV42" s="378"/>
      <c r="BW42" s="378"/>
      <c r="BX42" s="378"/>
      <c r="BY42" s="378"/>
      <c r="BZ42" s="378"/>
      <c r="CA42" s="378"/>
      <c r="CB42" s="378"/>
      <c r="CC42" s="378"/>
      <c r="CD42" s="378"/>
      <c r="CE42" s="378"/>
      <c r="CF42" s="378"/>
      <c r="CG42" s="378"/>
      <c r="CH42" s="378"/>
      <c r="CI42" s="378"/>
      <c r="CJ42" s="378"/>
    </row>
    <row r="43" spans="1:88" ht="15.75" thickBot="1" x14ac:dyDescent="0.3">
      <c r="A43" s="1952"/>
      <c r="B43" s="799" t="s">
        <v>615</v>
      </c>
      <c r="C43" s="800"/>
      <c r="D43" s="800"/>
      <c r="E43" s="800"/>
      <c r="F43" s="801"/>
      <c r="G43" s="1449">
        <f>'3 INDICADORES'!C165</f>
        <v>0.7</v>
      </c>
      <c r="H43" s="1481">
        <v>0.7</v>
      </c>
      <c r="I43" s="965"/>
      <c r="J43" s="822"/>
      <c r="L43" s="427"/>
      <c r="M43" s="427"/>
      <c r="N43" s="427"/>
      <c r="O43" s="427"/>
      <c r="P43" s="427"/>
      <c r="Q43" s="427"/>
      <c r="R43" s="378"/>
      <c r="S43" s="378"/>
      <c r="T43" s="378"/>
      <c r="U43" s="378"/>
      <c r="V43" s="378"/>
      <c r="W43" s="378"/>
      <c r="X43" s="378"/>
      <c r="Y43" s="378"/>
      <c r="Z43" s="378"/>
      <c r="AA43" s="378"/>
      <c r="AB43" s="378"/>
      <c r="AC43" s="378"/>
      <c r="AD43" s="378"/>
      <c r="AE43" s="378"/>
      <c r="AF43" s="378"/>
      <c r="AG43" s="378"/>
      <c r="AH43" s="378"/>
      <c r="AI43" s="378"/>
      <c r="AJ43" s="378"/>
      <c r="AK43" s="378"/>
      <c r="AL43" s="378"/>
      <c r="AM43" s="378"/>
      <c r="AN43" s="378"/>
      <c r="AO43" s="378"/>
      <c r="AP43" s="378"/>
      <c r="AQ43" s="378"/>
      <c r="AR43" s="378"/>
      <c r="AS43" s="378"/>
      <c r="AT43" s="378"/>
      <c r="AU43" s="378"/>
      <c r="AV43" s="378"/>
      <c r="AW43" s="378"/>
      <c r="AX43" s="378"/>
      <c r="AY43" s="378"/>
      <c r="AZ43" s="378"/>
      <c r="BA43" s="378"/>
      <c r="BB43" s="378"/>
      <c r="BC43" s="378"/>
      <c r="BD43" s="378"/>
      <c r="BE43" s="378"/>
      <c r="BF43" s="378"/>
      <c r="BG43" s="378"/>
      <c r="BH43" s="378"/>
      <c r="BI43" s="378"/>
      <c r="BJ43" s="378"/>
      <c r="BK43" s="378"/>
      <c r="BL43" s="378"/>
      <c r="BM43" s="378"/>
      <c r="BN43" s="378"/>
      <c r="BO43" s="378"/>
      <c r="BP43" s="378"/>
      <c r="BQ43" s="378"/>
      <c r="BR43" s="378"/>
      <c r="BS43" s="378"/>
      <c r="BT43" s="378"/>
      <c r="BU43" s="378"/>
      <c r="BV43" s="378"/>
      <c r="BW43" s="378"/>
      <c r="BX43" s="378"/>
      <c r="BY43" s="378"/>
      <c r="BZ43" s="378"/>
      <c r="CA43" s="378"/>
      <c r="CB43" s="378"/>
      <c r="CC43" s="378"/>
      <c r="CD43" s="378"/>
      <c r="CE43" s="378"/>
      <c r="CF43" s="378"/>
      <c r="CG43" s="378"/>
      <c r="CH43" s="378"/>
      <c r="CI43" s="378"/>
      <c r="CJ43" s="378"/>
    </row>
    <row r="44" spans="1:88" ht="18" customHeight="1" x14ac:dyDescent="0.25">
      <c r="A44" s="1950" t="s">
        <v>616</v>
      </c>
      <c r="B44" s="790" t="s">
        <v>617</v>
      </c>
      <c r="C44" s="791"/>
      <c r="D44" s="791"/>
      <c r="E44" s="791"/>
      <c r="F44" s="792"/>
      <c r="G44" s="1448">
        <f>'3 INDICADORES'!D243</f>
        <v>0</v>
      </c>
      <c r="H44" s="1481">
        <v>0.7</v>
      </c>
      <c r="I44" s="965"/>
      <c r="J44" s="822"/>
      <c r="L44" s="427"/>
      <c r="M44" s="427"/>
      <c r="N44" s="427"/>
      <c r="O44" s="427"/>
      <c r="P44" s="427"/>
      <c r="Q44" s="427"/>
      <c r="R44" s="378"/>
      <c r="S44" s="378"/>
      <c r="T44" s="378"/>
      <c r="U44" s="378"/>
      <c r="V44" s="378"/>
      <c r="W44" s="378"/>
      <c r="X44" s="378"/>
      <c r="Y44" s="378"/>
      <c r="Z44" s="378"/>
      <c r="AA44" s="378"/>
      <c r="AB44" s="378"/>
      <c r="AC44" s="378"/>
      <c r="AD44" s="378"/>
      <c r="AE44" s="378"/>
      <c r="AF44" s="378"/>
      <c r="AG44" s="378"/>
      <c r="AH44" s="378"/>
      <c r="AI44" s="378"/>
      <c r="AJ44" s="378"/>
      <c r="AK44" s="378"/>
      <c r="AL44" s="378"/>
      <c r="AM44" s="378"/>
      <c r="AN44" s="378"/>
      <c r="AO44" s="378"/>
      <c r="AP44" s="378"/>
      <c r="AQ44" s="378"/>
      <c r="AR44" s="378"/>
      <c r="AS44" s="378"/>
      <c r="AT44" s="378"/>
      <c r="AU44" s="378"/>
      <c r="AV44" s="378"/>
      <c r="AW44" s="378"/>
      <c r="AX44" s="378"/>
      <c r="AY44" s="378"/>
      <c r="AZ44" s="378"/>
      <c r="BA44" s="378"/>
      <c r="BB44" s="378"/>
      <c r="BC44" s="378"/>
      <c r="BD44" s="378"/>
      <c r="BE44" s="378"/>
      <c r="BF44" s="378"/>
      <c r="BG44" s="378"/>
      <c r="BH44" s="378"/>
      <c r="BI44" s="378"/>
      <c r="BJ44" s="378"/>
      <c r="BK44" s="378"/>
      <c r="BL44" s="378"/>
      <c r="BM44" s="378"/>
      <c r="BN44" s="378"/>
      <c r="BO44" s="378"/>
      <c r="BP44" s="378"/>
      <c r="BQ44" s="378"/>
      <c r="BR44" s="378"/>
      <c r="BS44" s="378"/>
      <c r="BT44" s="378"/>
      <c r="BU44" s="378"/>
      <c r="BV44" s="378"/>
      <c r="BW44" s="378"/>
      <c r="BX44" s="378"/>
      <c r="BY44" s="378"/>
      <c r="BZ44" s="378"/>
      <c r="CA44" s="378"/>
      <c r="CB44" s="378"/>
      <c r="CC44" s="378"/>
      <c r="CD44" s="378"/>
      <c r="CE44" s="378"/>
      <c r="CF44" s="378"/>
      <c r="CG44" s="378"/>
      <c r="CH44" s="378"/>
      <c r="CI44" s="378"/>
      <c r="CJ44" s="378"/>
    </row>
    <row r="45" spans="1:88" ht="15.75" customHeight="1" x14ac:dyDescent="0.25">
      <c r="A45" s="1951"/>
      <c r="B45" s="793" t="s">
        <v>618</v>
      </c>
      <c r="C45" s="794"/>
      <c r="D45" s="794"/>
      <c r="E45" s="794"/>
      <c r="F45" s="795"/>
      <c r="G45" s="1450">
        <f>'3 INDICADORES'!E280</f>
        <v>0</v>
      </c>
      <c r="H45" s="1481">
        <v>0.7</v>
      </c>
      <c r="I45" s="965"/>
      <c r="J45" s="822"/>
      <c r="L45" s="427"/>
      <c r="M45" s="427"/>
      <c r="N45" s="427"/>
      <c r="O45" s="427"/>
      <c r="P45" s="427"/>
      <c r="Q45" s="427"/>
      <c r="R45" s="378"/>
      <c r="S45" s="378"/>
      <c r="T45" s="378"/>
      <c r="U45" s="378"/>
      <c r="V45" s="378"/>
      <c r="W45" s="378"/>
      <c r="X45" s="378"/>
      <c r="Y45" s="378"/>
      <c r="Z45" s="378"/>
      <c r="AA45" s="378"/>
      <c r="AB45" s="378"/>
      <c r="AC45" s="378"/>
      <c r="AD45" s="378"/>
      <c r="AE45" s="378"/>
      <c r="AF45" s="378"/>
      <c r="AG45" s="378"/>
      <c r="AH45" s="378"/>
      <c r="AI45" s="378"/>
      <c r="AJ45" s="378"/>
      <c r="AK45" s="378"/>
      <c r="AL45" s="378"/>
      <c r="AM45" s="378"/>
      <c r="AN45" s="378"/>
      <c r="AO45" s="378"/>
      <c r="AP45" s="378"/>
      <c r="AQ45" s="378"/>
      <c r="AR45" s="378"/>
      <c r="AS45" s="378"/>
      <c r="AT45" s="378"/>
      <c r="AU45" s="378"/>
      <c r="AV45" s="378"/>
      <c r="AW45" s="378"/>
      <c r="AX45" s="378"/>
      <c r="AY45" s="378"/>
      <c r="AZ45" s="378"/>
      <c r="BA45" s="378"/>
      <c r="BB45" s="378"/>
      <c r="BC45" s="378"/>
      <c r="BD45" s="378"/>
      <c r="BE45" s="378"/>
      <c r="BF45" s="378"/>
      <c r="BG45" s="378"/>
      <c r="BH45" s="378"/>
      <c r="BI45" s="378"/>
      <c r="BJ45" s="378"/>
      <c r="BK45" s="378"/>
      <c r="BL45" s="378"/>
      <c r="BM45" s="378"/>
      <c r="BN45" s="378"/>
      <c r="BO45" s="378"/>
      <c r="BP45" s="378"/>
      <c r="BQ45" s="378"/>
      <c r="BR45" s="378"/>
      <c r="BS45" s="378"/>
      <c r="BT45" s="378"/>
      <c r="BU45" s="378"/>
      <c r="BV45" s="378"/>
      <c r="BW45" s="378"/>
      <c r="BX45" s="378"/>
      <c r="BY45" s="378"/>
      <c r="BZ45" s="378"/>
      <c r="CA45" s="378"/>
      <c r="CB45" s="378"/>
      <c r="CC45" s="378"/>
      <c r="CD45" s="378"/>
      <c r="CE45" s="378"/>
      <c r="CF45" s="378"/>
      <c r="CG45" s="378"/>
      <c r="CH45" s="378"/>
      <c r="CI45" s="378"/>
      <c r="CJ45" s="378"/>
    </row>
    <row r="46" spans="1:88" x14ac:dyDescent="0.25">
      <c r="A46" s="1951"/>
      <c r="B46" s="793" t="s">
        <v>619</v>
      </c>
      <c r="C46" s="794"/>
      <c r="D46" s="794"/>
      <c r="E46" s="794"/>
      <c r="F46" s="795"/>
      <c r="G46" s="1445">
        <f>'3 INDICADORES'!C311</f>
        <v>1</v>
      </c>
      <c r="H46" s="1481">
        <v>0.7</v>
      </c>
      <c r="I46" s="965"/>
      <c r="J46" s="822"/>
      <c r="K46" s="431"/>
      <c r="L46" s="427"/>
      <c r="M46" s="427"/>
      <c r="N46" s="427"/>
      <c r="O46" s="427"/>
      <c r="P46" s="427"/>
      <c r="Q46" s="427"/>
      <c r="R46" s="378"/>
      <c r="S46" s="378"/>
      <c r="T46" s="378"/>
      <c r="U46" s="378"/>
      <c r="V46" s="378"/>
      <c r="W46" s="378"/>
      <c r="X46" s="378"/>
      <c r="Y46" s="378"/>
      <c r="Z46" s="378"/>
      <c r="AA46" s="378"/>
      <c r="AB46" s="378"/>
      <c r="AC46" s="378"/>
      <c r="AD46" s="378"/>
      <c r="AE46" s="378"/>
      <c r="AF46" s="378"/>
      <c r="AG46" s="378"/>
      <c r="AH46" s="378"/>
      <c r="AI46" s="378"/>
      <c r="AJ46" s="378"/>
      <c r="AK46" s="378"/>
      <c r="AL46" s="378"/>
      <c r="AM46" s="378"/>
      <c r="AN46" s="378"/>
      <c r="AO46" s="378"/>
      <c r="AP46" s="378"/>
      <c r="AQ46" s="378"/>
      <c r="AR46" s="378"/>
      <c r="AS46" s="378"/>
      <c r="AT46" s="378"/>
      <c r="AU46" s="378"/>
      <c r="AV46" s="378"/>
      <c r="AW46" s="378"/>
      <c r="AX46" s="378"/>
      <c r="AY46" s="378"/>
      <c r="AZ46" s="378"/>
      <c r="BA46" s="378"/>
      <c r="BB46" s="378"/>
      <c r="BC46" s="378"/>
      <c r="BD46" s="378"/>
      <c r="BE46" s="378"/>
      <c r="BF46" s="378"/>
      <c r="BG46" s="378"/>
      <c r="BH46" s="378"/>
      <c r="BI46" s="378"/>
      <c r="BJ46" s="378"/>
      <c r="BK46" s="378"/>
      <c r="BL46" s="378"/>
      <c r="BM46" s="378"/>
      <c r="BN46" s="378"/>
      <c r="BO46" s="378"/>
      <c r="BP46" s="378"/>
      <c r="BQ46" s="378"/>
      <c r="BR46" s="378"/>
      <c r="BS46" s="378"/>
      <c r="BT46" s="378"/>
      <c r="BU46" s="378"/>
      <c r="BV46" s="378"/>
      <c r="BW46" s="378"/>
      <c r="BX46" s="378"/>
      <c r="BY46" s="378"/>
      <c r="BZ46" s="378"/>
      <c r="CA46" s="378"/>
      <c r="CB46" s="378"/>
      <c r="CC46" s="378"/>
      <c r="CD46" s="378"/>
      <c r="CE46" s="378"/>
      <c r="CF46" s="378"/>
      <c r="CG46" s="378"/>
      <c r="CH46" s="378"/>
      <c r="CI46" s="378"/>
      <c r="CJ46" s="378"/>
    </row>
    <row r="47" spans="1:88" x14ac:dyDescent="0.25">
      <c r="A47" s="1951"/>
      <c r="B47" s="774" t="s">
        <v>620</v>
      </c>
      <c r="C47" s="775"/>
      <c r="D47" s="775"/>
      <c r="E47" s="775"/>
      <c r="F47" s="776"/>
      <c r="G47" s="1445">
        <f>'3 INDICADORES'!C327</f>
        <v>0.7</v>
      </c>
      <c r="H47" s="1481">
        <v>0.7</v>
      </c>
      <c r="I47" s="965"/>
      <c r="J47" s="822"/>
      <c r="L47" s="427"/>
      <c r="M47" s="427"/>
      <c r="N47" s="427"/>
      <c r="O47" s="427"/>
      <c r="P47" s="427"/>
      <c r="Q47" s="427"/>
      <c r="R47" s="378"/>
      <c r="S47" s="378"/>
      <c r="T47" s="378"/>
      <c r="U47" s="378"/>
      <c r="V47" s="378"/>
      <c r="W47" s="378"/>
      <c r="X47" s="378"/>
      <c r="Y47" s="378"/>
      <c r="Z47" s="378"/>
      <c r="AA47" s="378"/>
      <c r="AB47" s="378"/>
      <c r="AC47" s="378"/>
      <c r="AD47" s="378"/>
      <c r="AE47" s="378"/>
      <c r="AF47" s="378"/>
      <c r="AG47" s="378"/>
      <c r="AH47" s="378"/>
      <c r="AI47" s="378"/>
      <c r="AJ47" s="378"/>
      <c r="AK47" s="378"/>
      <c r="AL47" s="378"/>
      <c r="AM47" s="378"/>
      <c r="AN47" s="378"/>
      <c r="AO47" s="378"/>
      <c r="AP47" s="378"/>
      <c r="AQ47" s="378"/>
      <c r="AR47" s="378"/>
      <c r="AS47" s="378"/>
      <c r="AT47" s="378"/>
      <c r="AU47" s="378"/>
      <c r="AV47" s="378"/>
      <c r="AW47" s="378"/>
      <c r="AX47" s="378"/>
      <c r="AY47" s="378"/>
      <c r="AZ47" s="378"/>
      <c r="BA47" s="378"/>
      <c r="BB47" s="378"/>
      <c r="BC47" s="378"/>
      <c r="BD47" s="378"/>
      <c r="BE47" s="378"/>
      <c r="BF47" s="378"/>
      <c r="BG47" s="378"/>
      <c r="BH47" s="378"/>
      <c r="BI47" s="378"/>
      <c r="BJ47" s="378"/>
      <c r="BK47" s="378"/>
      <c r="BL47" s="378"/>
      <c r="BM47" s="378"/>
      <c r="BN47" s="378"/>
      <c r="BO47" s="378"/>
      <c r="BP47" s="378"/>
      <c r="BQ47" s="378"/>
      <c r="BR47" s="378"/>
      <c r="BS47" s="378"/>
      <c r="BT47" s="378"/>
      <c r="BU47" s="378"/>
      <c r="BV47" s="378"/>
      <c r="BW47" s="378"/>
      <c r="BX47" s="378"/>
      <c r="BY47" s="378"/>
      <c r="BZ47" s="378"/>
      <c r="CA47" s="378"/>
      <c r="CB47" s="378"/>
      <c r="CC47" s="378"/>
      <c r="CD47" s="378"/>
      <c r="CE47" s="378"/>
      <c r="CF47" s="378"/>
      <c r="CG47" s="378"/>
      <c r="CH47" s="378"/>
      <c r="CI47" s="378"/>
      <c r="CJ47" s="378"/>
    </row>
    <row r="48" spans="1:88" ht="15.75" customHeight="1" x14ac:dyDescent="0.25">
      <c r="A48" s="1951"/>
      <c r="B48" s="793" t="s">
        <v>621</v>
      </c>
      <c r="C48" s="794"/>
      <c r="D48" s="794"/>
      <c r="E48" s="794"/>
      <c r="F48" s="795"/>
      <c r="G48" s="1445" t="str">
        <f>+'3 INDICADORES'!C342</f>
        <v/>
      </c>
      <c r="H48" s="1481">
        <v>0.7</v>
      </c>
      <c r="I48" s="965"/>
      <c r="J48" s="822"/>
      <c r="L48" s="427"/>
      <c r="M48" s="427"/>
      <c r="N48" s="427"/>
      <c r="O48" s="427"/>
      <c r="P48" s="427"/>
      <c r="Q48" s="427"/>
      <c r="R48" s="378"/>
      <c r="S48" s="378"/>
      <c r="T48" s="378"/>
      <c r="U48" s="378"/>
      <c r="V48" s="378"/>
      <c r="W48" s="378"/>
      <c r="X48" s="378"/>
      <c r="Y48" s="378"/>
      <c r="Z48" s="378"/>
      <c r="AA48" s="378"/>
      <c r="AB48" s="378"/>
      <c r="AC48" s="378"/>
      <c r="AD48" s="378"/>
      <c r="AE48" s="378"/>
      <c r="AF48" s="378"/>
      <c r="AG48" s="378"/>
      <c r="AH48" s="378"/>
      <c r="AI48" s="378"/>
      <c r="AJ48" s="378"/>
      <c r="AK48" s="378"/>
      <c r="AL48" s="378"/>
      <c r="AM48" s="378"/>
      <c r="AN48" s="378"/>
      <c r="AO48" s="378"/>
      <c r="AP48" s="378"/>
      <c r="AQ48" s="378"/>
      <c r="AR48" s="378"/>
      <c r="AS48" s="378"/>
      <c r="AT48" s="378"/>
      <c r="AU48" s="378"/>
      <c r="AV48" s="378"/>
      <c r="AW48" s="378"/>
      <c r="AX48" s="378"/>
      <c r="AY48" s="378"/>
      <c r="AZ48" s="378"/>
      <c r="BA48" s="378"/>
      <c r="BB48" s="378"/>
      <c r="BC48" s="378"/>
      <c r="BD48" s="378"/>
      <c r="BE48" s="378"/>
      <c r="BF48" s="378"/>
      <c r="BG48" s="378"/>
      <c r="BH48" s="378"/>
      <c r="BI48" s="378"/>
      <c r="BJ48" s="378"/>
      <c r="BK48" s="378"/>
      <c r="BL48" s="378"/>
      <c r="BM48" s="378"/>
      <c r="BN48" s="378"/>
      <c r="BO48" s="378"/>
      <c r="BP48" s="378"/>
      <c r="BQ48" s="378"/>
      <c r="BR48" s="378"/>
      <c r="BS48" s="378"/>
      <c r="BT48" s="378"/>
      <c r="BU48" s="378"/>
      <c r="BV48" s="378"/>
      <c r="BW48" s="378"/>
      <c r="BX48" s="378"/>
      <c r="BY48" s="378"/>
      <c r="BZ48" s="378"/>
      <c r="CA48" s="378"/>
      <c r="CB48" s="378"/>
      <c r="CC48" s="378"/>
      <c r="CD48" s="378"/>
      <c r="CE48" s="378"/>
      <c r="CF48" s="378"/>
      <c r="CG48" s="378"/>
      <c r="CH48" s="378"/>
      <c r="CI48" s="378"/>
      <c r="CJ48" s="378"/>
    </row>
    <row r="49" spans="1:88" ht="16.5" customHeight="1" x14ac:dyDescent="0.25">
      <c r="A49" s="1951"/>
      <c r="B49" s="774" t="s">
        <v>622</v>
      </c>
      <c r="C49" s="775"/>
      <c r="D49" s="775"/>
      <c r="E49" s="775"/>
      <c r="F49" s="776"/>
      <c r="G49" s="1445" t="str">
        <f>'3 INDICADORES'!C357</f>
        <v/>
      </c>
      <c r="H49" s="1481">
        <v>0.7</v>
      </c>
      <c r="I49" s="965"/>
      <c r="J49" s="822"/>
      <c r="L49" s="427"/>
      <c r="M49" s="427"/>
      <c r="N49" s="427"/>
      <c r="O49" s="427"/>
      <c r="P49" s="427"/>
      <c r="Q49" s="427"/>
      <c r="R49" s="378"/>
      <c r="S49" s="378"/>
      <c r="T49" s="378"/>
      <c r="U49" s="378"/>
      <c r="V49" s="378"/>
      <c r="W49" s="378"/>
      <c r="X49" s="378"/>
      <c r="Y49" s="378"/>
      <c r="Z49" s="378"/>
      <c r="AA49" s="378"/>
      <c r="AB49" s="378"/>
      <c r="AC49" s="378"/>
      <c r="AD49" s="378"/>
      <c r="AE49" s="378"/>
      <c r="AF49" s="378"/>
      <c r="AG49" s="378"/>
      <c r="AH49" s="378"/>
      <c r="AI49" s="378"/>
      <c r="AJ49" s="378"/>
      <c r="AK49" s="378"/>
      <c r="AL49" s="378"/>
      <c r="AM49" s="378"/>
      <c r="AN49" s="378"/>
      <c r="AO49" s="378"/>
      <c r="AP49" s="378"/>
      <c r="AQ49" s="378"/>
      <c r="AR49" s="378"/>
      <c r="AS49" s="378"/>
      <c r="AT49" s="378"/>
      <c r="AU49" s="378"/>
      <c r="AV49" s="378"/>
      <c r="AW49" s="378"/>
      <c r="AX49" s="378"/>
      <c r="AY49" s="378"/>
      <c r="AZ49" s="378"/>
      <c r="BA49" s="378"/>
      <c r="BB49" s="378"/>
      <c r="BC49" s="378"/>
      <c r="BD49" s="378"/>
      <c r="BE49" s="378"/>
      <c r="BF49" s="378"/>
      <c r="BG49" s="378"/>
      <c r="BH49" s="378"/>
      <c r="BI49" s="378"/>
      <c r="BJ49" s="378"/>
      <c r="BK49" s="378"/>
      <c r="BL49" s="378"/>
      <c r="BM49" s="378"/>
      <c r="BN49" s="378"/>
      <c r="BO49" s="378"/>
      <c r="BP49" s="378"/>
      <c r="BQ49" s="378"/>
      <c r="BR49" s="378"/>
      <c r="BS49" s="378"/>
      <c r="BT49" s="378"/>
      <c r="BU49" s="378"/>
      <c r="BV49" s="378"/>
      <c r="BW49" s="378"/>
      <c r="BX49" s="378"/>
      <c r="BY49" s="378"/>
      <c r="BZ49" s="378"/>
      <c r="CA49" s="378"/>
      <c r="CB49" s="378"/>
      <c r="CC49" s="378"/>
      <c r="CD49" s="378"/>
      <c r="CE49" s="378"/>
      <c r="CF49" s="378"/>
      <c r="CG49" s="378"/>
      <c r="CH49" s="378"/>
      <c r="CI49" s="378"/>
      <c r="CJ49" s="378"/>
    </row>
    <row r="50" spans="1:88" ht="16.5" customHeight="1" x14ac:dyDescent="0.25">
      <c r="A50" s="1951"/>
      <c r="B50" s="793" t="s">
        <v>623</v>
      </c>
      <c r="C50" s="794"/>
      <c r="D50" s="794"/>
      <c r="E50" s="794"/>
      <c r="F50" s="795"/>
      <c r="G50" s="1445" t="e">
        <f>+'3 INDICADORES'!C377</f>
        <v>#VALUE!</v>
      </c>
      <c r="H50" s="1481">
        <v>0.7</v>
      </c>
      <c r="I50" s="965"/>
      <c r="J50" s="822"/>
      <c r="L50" s="427"/>
      <c r="M50" s="427"/>
      <c r="N50" s="427"/>
      <c r="O50" s="427"/>
      <c r="P50" s="427"/>
      <c r="Q50" s="427"/>
      <c r="R50" s="378"/>
      <c r="S50" s="378"/>
      <c r="T50" s="378"/>
      <c r="U50" s="378"/>
      <c r="V50" s="378"/>
      <c r="W50" s="378"/>
      <c r="X50" s="378"/>
      <c r="Y50" s="378"/>
      <c r="Z50" s="378"/>
      <c r="AA50" s="378"/>
      <c r="AB50" s="378"/>
      <c r="AC50" s="378"/>
      <c r="AD50" s="378"/>
      <c r="AE50" s="378"/>
      <c r="AF50" s="378"/>
      <c r="AG50" s="378"/>
      <c r="AH50" s="378"/>
      <c r="AI50" s="378"/>
      <c r="AJ50" s="378"/>
      <c r="AK50" s="378"/>
      <c r="AL50" s="378"/>
      <c r="AM50" s="378"/>
      <c r="AN50" s="378"/>
      <c r="AO50" s="378"/>
      <c r="AP50" s="378"/>
      <c r="AQ50" s="378"/>
      <c r="AR50" s="378"/>
      <c r="AS50" s="378"/>
      <c r="AT50" s="378"/>
      <c r="AU50" s="378"/>
      <c r="AV50" s="378"/>
      <c r="AW50" s="378"/>
      <c r="AX50" s="378"/>
      <c r="AY50" s="378"/>
      <c r="AZ50" s="378"/>
      <c r="BA50" s="378"/>
      <c r="BB50" s="378"/>
      <c r="BC50" s="378"/>
      <c r="BD50" s="378"/>
      <c r="BE50" s="378"/>
      <c r="BF50" s="378"/>
      <c r="BG50" s="378"/>
      <c r="BH50" s="378"/>
      <c r="BI50" s="378"/>
      <c r="BJ50" s="378"/>
      <c r="BK50" s="378"/>
      <c r="BL50" s="378"/>
      <c r="BM50" s="378"/>
      <c r="BN50" s="378"/>
      <c r="BO50" s="378"/>
      <c r="BP50" s="378"/>
      <c r="BQ50" s="378"/>
      <c r="BR50" s="378"/>
      <c r="BS50" s="378"/>
      <c r="BT50" s="378"/>
      <c r="BU50" s="378"/>
      <c r="BV50" s="378"/>
      <c r="BW50" s="378"/>
      <c r="BX50" s="378"/>
      <c r="BY50" s="378"/>
      <c r="BZ50" s="378"/>
      <c r="CA50" s="378"/>
      <c r="CB50" s="378"/>
      <c r="CC50" s="378"/>
      <c r="CD50" s="378"/>
      <c r="CE50" s="378"/>
      <c r="CF50" s="378"/>
      <c r="CG50" s="378"/>
      <c r="CH50" s="378"/>
      <c r="CI50" s="378"/>
      <c r="CJ50" s="378"/>
    </row>
    <row r="51" spans="1:88" ht="15.75" customHeight="1" x14ac:dyDescent="0.25">
      <c r="A51" s="1951"/>
      <c r="B51" s="774" t="s">
        <v>624</v>
      </c>
      <c r="C51" s="775"/>
      <c r="D51" s="775"/>
      <c r="E51" s="775"/>
      <c r="F51" s="776"/>
      <c r="G51" s="1445" t="str">
        <f>+'3 INDICADORES'!C389</f>
        <v/>
      </c>
      <c r="H51" s="1481">
        <v>0.7</v>
      </c>
      <c r="I51" s="965"/>
      <c r="J51" s="822"/>
      <c r="L51" s="427"/>
      <c r="M51" s="427"/>
      <c r="N51" s="427"/>
      <c r="O51" s="427"/>
      <c r="P51" s="427"/>
      <c r="Q51" s="427"/>
      <c r="R51" s="378"/>
      <c r="S51" s="378"/>
      <c r="T51" s="378"/>
      <c r="U51" s="378"/>
      <c r="V51" s="378"/>
      <c r="W51" s="378"/>
      <c r="X51" s="378"/>
      <c r="Y51" s="378"/>
      <c r="Z51" s="378"/>
      <c r="AA51" s="378"/>
      <c r="AB51" s="378"/>
      <c r="AC51" s="378"/>
      <c r="AD51" s="378"/>
      <c r="AE51" s="378"/>
      <c r="AF51" s="378"/>
      <c r="AG51" s="378"/>
      <c r="AH51" s="378"/>
      <c r="AI51" s="378"/>
      <c r="AJ51" s="378"/>
      <c r="AK51" s="378"/>
      <c r="AL51" s="378"/>
      <c r="AM51" s="378"/>
      <c r="AN51" s="378"/>
      <c r="AO51" s="378"/>
      <c r="AP51" s="378"/>
      <c r="AQ51" s="378"/>
      <c r="AR51" s="378"/>
      <c r="AS51" s="378"/>
      <c r="AT51" s="378"/>
      <c r="AU51" s="378"/>
      <c r="AV51" s="378"/>
      <c r="AW51" s="378"/>
      <c r="AX51" s="378"/>
      <c r="AY51" s="378"/>
      <c r="AZ51" s="378"/>
      <c r="BA51" s="378"/>
      <c r="BB51" s="378"/>
      <c r="BC51" s="378"/>
      <c r="BD51" s="378"/>
      <c r="BE51" s="378"/>
      <c r="BF51" s="378"/>
      <c r="BG51" s="378"/>
      <c r="BH51" s="378"/>
      <c r="BI51" s="378"/>
      <c r="BJ51" s="378"/>
      <c r="BK51" s="378"/>
      <c r="BL51" s="378"/>
      <c r="BM51" s="378"/>
      <c r="BN51" s="378"/>
      <c r="BO51" s="378"/>
      <c r="BP51" s="378"/>
      <c r="BQ51" s="378"/>
      <c r="BR51" s="378"/>
      <c r="BS51" s="378"/>
      <c r="BT51" s="378"/>
      <c r="BU51" s="378"/>
      <c r="BV51" s="378"/>
      <c r="BW51" s="378"/>
      <c r="BX51" s="378"/>
      <c r="BY51" s="378"/>
      <c r="BZ51" s="378"/>
      <c r="CA51" s="378"/>
      <c r="CB51" s="378"/>
      <c r="CC51" s="378"/>
      <c r="CD51" s="378"/>
      <c r="CE51" s="378"/>
      <c r="CF51" s="378"/>
      <c r="CG51" s="378"/>
      <c r="CH51" s="378"/>
      <c r="CI51" s="378"/>
      <c r="CJ51" s="378"/>
    </row>
    <row r="52" spans="1:88" ht="15.75" customHeight="1" x14ac:dyDescent="0.25">
      <c r="A52" s="1951"/>
      <c r="B52" s="793" t="s">
        <v>625</v>
      </c>
      <c r="C52" s="794"/>
      <c r="D52" s="794"/>
      <c r="E52" s="794"/>
      <c r="F52" s="795"/>
      <c r="G52" s="1445" t="e">
        <f>'3 INDICADORES'!C401</f>
        <v>#DIV/0!</v>
      </c>
      <c r="H52" s="1481">
        <v>0.7</v>
      </c>
      <c r="I52" s="965"/>
      <c r="J52" s="822"/>
      <c r="L52" s="427"/>
      <c r="M52" s="427"/>
      <c r="N52" s="427"/>
      <c r="O52" s="427"/>
      <c r="P52" s="427"/>
      <c r="Q52" s="427"/>
      <c r="R52" s="378"/>
      <c r="S52" s="378"/>
      <c r="T52" s="378"/>
      <c r="U52" s="378"/>
      <c r="V52" s="378"/>
      <c r="W52" s="378"/>
      <c r="X52" s="378"/>
      <c r="Y52" s="378"/>
      <c r="Z52" s="378"/>
      <c r="AA52" s="378"/>
      <c r="AB52" s="378"/>
      <c r="AC52" s="378"/>
      <c r="AD52" s="378"/>
      <c r="AE52" s="378"/>
      <c r="AF52" s="378"/>
      <c r="AG52" s="378"/>
      <c r="AH52" s="378"/>
      <c r="AI52" s="378"/>
      <c r="AJ52" s="378"/>
      <c r="AK52" s="378"/>
      <c r="AL52" s="378"/>
      <c r="AM52" s="378"/>
      <c r="AN52" s="378"/>
      <c r="AO52" s="378"/>
      <c r="AP52" s="378"/>
      <c r="AQ52" s="378"/>
      <c r="AR52" s="378"/>
      <c r="AS52" s="378"/>
      <c r="AT52" s="378"/>
      <c r="AU52" s="378"/>
      <c r="AV52" s="378"/>
      <c r="AW52" s="378"/>
      <c r="AX52" s="378"/>
      <c r="AY52" s="378"/>
      <c r="AZ52" s="378"/>
      <c r="BA52" s="378"/>
      <c r="BB52" s="378"/>
      <c r="BC52" s="378"/>
      <c r="BD52" s="378"/>
      <c r="BE52" s="378"/>
      <c r="BF52" s="378"/>
      <c r="BG52" s="378"/>
      <c r="BH52" s="378"/>
      <c r="BI52" s="378"/>
      <c r="BJ52" s="378"/>
      <c r="BK52" s="378"/>
      <c r="BL52" s="378"/>
      <c r="BM52" s="378"/>
      <c r="BN52" s="378"/>
      <c r="BO52" s="378"/>
      <c r="BP52" s="378"/>
      <c r="BQ52" s="378"/>
      <c r="BR52" s="378"/>
      <c r="BS52" s="378"/>
      <c r="BT52" s="378"/>
      <c r="BU52" s="378"/>
      <c r="BV52" s="378"/>
      <c r="BW52" s="378"/>
      <c r="BX52" s="378"/>
      <c r="BY52" s="378"/>
      <c r="BZ52" s="378"/>
      <c r="CA52" s="378"/>
      <c r="CB52" s="378"/>
      <c r="CC52" s="378"/>
      <c r="CD52" s="378"/>
      <c r="CE52" s="378"/>
      <c r="CF52" s="378"/>
      <c r="CG52" s="378"/>
      <c r="CH52" s="378"/>
      <c r="CI52" s="378"/>
      <c r="CJ52" s="378"/>
    </row>
    <row r="53" spans="1:88" ht="15.75" customHeight="1" thickBot="1" x14ac:dyDescent="0.3">
      <c r="A53" s="1952"/>
      <c r="B53" s="796" t="s">
        <v>626</v>
      </c>
      <c r="C53" s="797"/>
      <c r="D53" s="797"/>
      <c r="E53" s="797"/>
      <c r="F53" s="798"/>
      <c r="G53" s="1449" t="e">
        <f>+'3 INDICADORES'!C421</f>
        <v>#DIV/0!</v>
      </c>
      <c r="H53" s="1481">
        <v>0.7</v>
      </c>
      <c r="I53" s="965"/>
      <c r="J53" s="822"/>
      <c r="L53" s="427"/>
      <c r="M53" s="427"/>
      <c r="N53" s="427"/>
      <c r="O53" s="427"/>
      <c r="P53" s="427"/>
      <c r="Q53" s="427"/>
      <c r="R53" s="378"/>
      <c r="S53" s="378"/>
      <c r="T53" s="378"/>
      <c r="U53" s="378"/>
      <c r="V53" s="378"/>
      <c r="W53" s="378"/>
      <c r="X53" s="378"/>
      <c r="Y53" s="378"/>
      <c r="Z53" s="378"/>
      <c r="AA53" s="378"/>
      <c r="AB53" s="378"/>
      <c r="AC53" s="378"/>
      <c r="AD53" s="378"/>
      <c r="AE53" s="378"/>
      <c r="AF53" s="378"/>
      <c r="AG53" s="378"/>
      <c r="AH53" s="378"/>
      <c r="AI53" s="378"/>
      <c r="AJ53" s="378"/>
      <c r="AK53" s="378"/>
      <c r="AL53" s="378"/>
      <c r="AM53" s="378"/>
      <c r="AN53" s="378"/>
      <c r="AO53" s="378"/>
      <c r="AP53" s="378"/>
      <c r="AQ53" s="378"/>
      <c r="AR53" s="378"/>
      <c r="AS53" s="378"/>
      <c r="AT53" s="378"/>
      <c r="AU53" s="378"/>
      <c r="AV53" s="378"/>
      <c r="AW53" s="378"/>
      <c r="AX53" s="378"/>
      <c r="AY53" s="378"/>
      <c r="AZ53" s="378"/>
      <c r="BA53" s="378"/>
      <c r="BB53" s="378"/>
      <c r="BC53" s="378"/>
      <c r="BD53" s="378"/>
      <c r="BE53" s="378"/>
      <c r="BF53" s="378"/>
      <c r="BG53" s="378"/>
      <c r="BH53" s="378"/>
      <c r="BI53" s="378"/>
      <c r="BJ53" s="378"/>
      <c r="BK53" s="378"/>
      <c r="BL53" s="378"/>
      <c r="BM53" s="378"/>
      <c r="BN53" s="378"/>
      <c r="BO53" s="378"/>
      <c r="BP53" s="378"/>
      <c r="BQ53" s="378"/>
      <c r="BR53" s="378"/>
      <c r="BS53" s="378"/>
      <c r="BT53" s="378"/>
      <c r="BU53" s="378"/>
      <c r="BV53" s="378"/>
      <c r="BW53" s="378"/>
      <c r="BX53" s="378"/>
      <c r="BY53" s="378"/>
      <c r="BZ53" s="378"/>
      <c r="CA53" s="378"/>
      <c r="CB53" s="378"/>
      <c r="CC53" s="378"/>
      <c r="CD53" s="378"/>
      <c r="CE53" s="378"/>
      <c r="CF53" s="378"/>
      <c r="CG53" s="378"/>
      <c r="CH53" s="378"/>
      <c r="CI53" s="378"/>
      <c r="CJ53" s="378"/>
    </row>
    <row r="54" spans="1:88" ht="15.75" customHeight="1" x14ac:dyDescent="0.25">
      <c r="A54" s="434"/>
      <c r="G54" s="1441"/>
      <c r="H54" s="1482"/>
      <c r="I54" s="4"/>
      <c r="J54" s="4"/>
      <c r="L54" s="427"/>
      <c r="M54" s="427"/>
      <c r="N54" s="427"/>
      <c r="O54" s="427"/>
      <c r="P54" s="427"/>
      <c r="Q54" s="427"/>
      <c r="R54" s="378"/>
      <c r="S54" s="378"/>
      <c r="T54" s="378"/>
      <c r="U54" s="378"/>
      <c r="V54" s="378"/>
      <c r="W54" s="378"/>
      <c r="X54" s="378"/>
      <c r="Y54" s="378"/>
      <c r="Z54" s="378"/>
      <c r="AA54" s="378"/>
      <c r="AB54" s="378"/>
      <c r="AC54" s="378"/>
      <c r="AD54" s="378"/>
      <c r="AE54" s="378"/>
      <c r="AF54" s="378"/>
      <c r="AG54" s="378"/>
      <c r="AH54" s="378"/>
      <c r="AI54" s="378"/>
      <c r="AJ54" s="378"/>
      <c r="AK54" s="378"/>
      <c r="AL54" s="378"/>
      <c r="AM54" s="378"/>
      <c r="AN54" s="378"/>
      <c r="AO54" s="378"/>
      <c r="AP54" s="378"/>
      <c r="AQ54" s="378"/>
      <c r="AR54" s="378"/>
      <c r="AS54" s="378"/>
      <c r="AT54" s="378"/>
      <c r="AU54" s="378"/>
      <c r="AV54" s="378"/>
      <c r="AW54" s="378"/>
      <c r="AX54" s="378"/>
      <c r="AY54" s="378"/>
      <c r="AZ54" s="378"/>
      <c r="BA54" s="378"/>
      <c r="BB54" s="378"/>
      <c r="BC54" s="378"/>
      <c r="BD54" s="378"/>
      <c r="BE54" s="378"/>
      <c r="BF54" s="378"/>
      <c r="BG54" s="378"/>
      <c r="BH54" s="378"/>
      <c r="BI54" s="378"/>
      <c r="BJ54" s="378"/>
      <c r="BK54" s="378"/>
      <c r="BL54" s="378"/>
      <c r="BM54" s="378"/>
      <c r="BN54" s="378"/>
      <c r="BO54" s="378"/>
      <c r="BP54" s="378"/>
      <c r="BQ54" s="378"/>
      <c r="BR54" s="378"/>
      <c r="BS54" s="378"/>
      <c r="BT54" s="378"/>
      <c r="BU54" s="378"/>
      <c r="BV54" s="378"/>
      <c r="BW54" s="378"/>
      <c r="BX54" s="378"/>
      <c r="BY54" s="378"/>
      <c r="BZ54" s="378"/>
      <c r="CA54" s="378"/>
      <c r="CB54" s="378"/>
      <c r="CC54" s="378"/>
      <c r="CD54" s="378"/>
      <c r="CE54" s="378"/>
      <c r="CF54" s="378"/>
      <c r="CG54" s="378"/>
      <c r="CH54" s="378"/>
      <c r="CI54" s="378"/>
      <c r="CJ54" s="378"/>
    </row>
    <row r="55" spans="1:88" ht="15.75" customHeight="1" x14ac:dyDescent="0.25">
      <c r="A55" s="1953"/>
      <c r="G55" s="1441"/>
      <c r="H55" s="1482"/>
      <c r="I55" s="4"/>
      <c r="J55" s="4"/>
      <c r="L55" s="427"/>
      <c r="M55" s="427"/>
      <c r="N55" s="427"/>
      <c r="O55" s="427"/>
      <c r="P55" s="427"/>
      <c r="Q55" s="427"/>
      <c r="R55" s="378"/>
      <c r="S55" s="378"/>
      <c r="T55" s="378"/>
      <c r="U55" s="378"/>
      <c r="V55" s="378"/>
      <c r="W55" s="378"/>
      <c r="X55" s="378"/>
      <c r="Y55" s="378"/>
      <c r="Z55" s="378"/>
      <c r="AA55" s="378"/>
      <c r="AB55" s="378"/>
      <c r="AC55" s="378"/>
      <c r="AD55" s="378"/>
      <c r="AE55" s="378"/>
      <c r="AF55" s="378"/>
      <c r="AG55" s="378"/>
      <c r="AH55" s="378"/>
      <c r="AI55" s="378"/>
      <c r="AJ55" s="378"/>
      <c r="AK55" s="378"/>
      <c r="AL55" s="378"/>
      <c r="AM55" s="378"/>
      <c r="AN55" s="378"/>
      <c r="AO55" s="378"/>
      <c r="AP55" s="378"/>
      <c r="AQ55" s="378"/>
      <c r="AR55" s="378"/>
      <c r="AS55" s="378"/>
      <c r="AT55" s="378"/>
      <c r="AU55" s="378"/>
      <c r="AV55" s="378"/>
      <c r="AW55" s="378"/>
      <c r="AX55" s="378"/>
      <c r="AY55" s="378"/>
      <c r="AZ55" s="378"/>
      <c r="BA55" s="378"/>
      <c r="BB55" s="378"/>
      <c r="BC55" s="378"/>
      <c r="BD55" s="378"/>
      <c r="BE55" s="378"/>
      <c r="BF55" s="378"/>
      <c r="BG55" s="378"/>
      <c r="BH55" s="378"/>
      <c r="BI55" s="378"/>
      <c r="BJ55" s="378"/>
      <c r="BK55" s="378"/>
      <c r="BL55" s="378"/>
      <c r="BM55" s="378"/>
      <c r="BN55" s="378"/>
      <c r="BO55" s="378"/>
      <c r="BP55" s="378"/>
      <c r="BQ55" s="378"/>
      <c r="BR55" s="378"/>
      <c r="BS55" s="378"/>
      <c r="BT55" s="378"/>
      <c r="BU55" s="378"/>
      <c r="BV55" s="378"/>
      <c r="BW55" s="378"/>
      <c r="BX55" s="378"/>
      <c r="BY55" s="378"/>
      <c r="BZ55" s="378"/>
      <c r="CA55" s="378"/>
      <c r="CB55" s="378"/>
      <c r="CC55" s="378"/>
      <c r="CD55" s="378"/>
      <c r="CE55" s="378"/>
      <c r="CF55" s="378"/>
      <c r="CG55" s="378"/>
      <c r="CH55" s="378"/>
      <c r="CI55" s="378"/>
      <c r="CJ55" s="378"/>
    </row>
    <row r="56" spans="1:88" x14ac:dyDescent="0.25">
      <c r="A56" s="1953"/>
      <c r="G56" s="1441"/>
      <c r="H56" s="1483"/>
      <c r="I56" s="4"/>
      <c r="J56" s="4"/>
      <c r="L56" s="427"/>
      <c r="M56" s="427"/>
      <c r="N56" s="427"/>
      <c r="O56" s="427"/>
      <c r="P56" s="427"/>
      <c r="Q56" s="427"/>
      <c r="R56" s="378"/>
      <c r="S56" s="378"/>
      <c r="T56" s="378"/>
      <c r="U56" s="378"/>
      <c r="V56" s="378"/>
      <c r="W56" s="378"/>
      <c r="X56" s="378"/>
      <c r="Y56" s="378"/>
      <c r="Z56" s="378"/>
      <c r="AA56" s="378"/>
      <c r="AB56" s="378"/>
      <c r="AC56" s="378"/>
      <c r="AD56" s="378"/>
      <c r="AE56" s="378"/>
      <c r="AF56" s="378"/>
      <c r="AG56" s="378"/>
      <c r="AH56" s="378"/>
      <c r="AI56" s="378"/>
      <c r="AJ56" s="378"/>
      <c r="AK56" s="378"/>
      <c r="AL56" s="378"/>
      <c r="AM56" s="378"/>
      <c r="AN56" s="378"/>
      <c r="AO56" s="378"/>
      <c r="AP56" s="378"/>
      <c r="AQ56" s="378"/>
      <c r="AR56" s="378"/>
      <c r="AS56" s="378"/>
      <c r="AT56" s="378"/>
      <c r="AU56" s="378"/>
      <c r="AV56" s="378"/>
      <c r="AW56" s="378"/>
      <c r="AX56" s="378"/>
      <c r="AY56" s="378"/>
      <c r="AZ56" s="378"/>
      <c r="BA56" s="378"/>
      <c r="BB56" s="378"/>
      <c r="BC56" s="378"/>
      <c r="BD56" s="378"/>
      <c r="BE56" s="378"/>
      <c r="BF56" s="378"/>
      <c r="BG56" s="378"/>
      <c r="BH56" s="378"/>
      <c r="BI56" s="378"/>
      <c r="BJ56" s="378"/>
      <c r="BK56" s="378"/>
      <c r="BL56" s="378"/>
      <c r="BM56" s="378"/>
      <c r="BN56" s="378"/>
      <c r="BO56" s="378"/>
      <c r="BP56" s="378"/>
      <c r="BQ56" s="378"/>
      <c r="BR56" s="378"/>
      <c r="BS56" s="378"/>
      <c r="BT56" s="378"/>
      <c r="BU56" s="378"/>
      <c r="BV56" s="378"/>
      <c r="BW56" s="378"/>
      <c r="BX56" s="378"/>
      <c r="BY56" s="378"/>
      <c r="BZ56" s="378"/>
      <c r="CA56" s="378"/>
      <c r="CB56" s="378"/>
      <c r="CC56" s="378"/>
      <c r="CD56" s="378"/>
      <c r="CE56" s="378"/>
      <c r="CF56" s="378"/>
      <c r="CG56" s="378"/>
      <c r="CH56" s="378"/>
      <c r="CI56" s="378"/>
      <c r="CJ56" s="378"/>
    </row>
    <row r="57" spans="1:88" x14ac:dyDescent="0.25">
      <c r="A57" s="1953"/>
      <c r="G57" s="1441"/>
      <c r="H57" s="1483"/>
      <c r="I57" s="4"/>
      <c r="J57" s="4"/>
      <c r="L57" s="427"/>
      <c r="M57" s="427"/>
      <c r="N57" s="427"/>
      <c r="O57" s="427"/>
      <c r="P57" s="427"/>
      <c r="Q57" s="427"/>
      <c r="R57" s="378"/>
      <c r="S57" s="378"/>
      <c r="T57" s="378"/>
      <c r="U57" s="378"/>
      <c r="V57" s="378"/>
      <c r="W57" s="378"/>
      <c r="X57" s="378"/>
      <c r="Y57" s="378"/>
      <c r="Z57" s="378"/>
      <c r="AA57" s="378"/>
      <c r="AB57" s="378"/>
      <c r="AC57" s="378"/>
      <c r="AD57" s="378"/>
      <c r="AE57" s="378"/>
      <c r="AF57" s="378"/>
      <c r="AG57" s="378"/>
      <c r="AH57" s="378"/>
      <c r="AI57" s="378"/>
      <c r="AJ57" s="378"/>
      <c r="AK57" s="378"/>
      <c r="AL57" s="378"/>
      <c r="AM57" s="378"/>
      <c r="AN57" s="378"/>
      <c r="AO57" s="378"/>
      <c r="AP57" s="378"/>
      <c r="AQ57" s="378"/>
      <c r="AR57" s="378"/>
      <c r="AS57" s="378"/>
      <c r="AT57" s="378"/>
      <c r="AU57" s="378"/>
      <c r="AV57" s="378"/>
      <c r="AW57" s="378"/>
      <c r="AX57" s="378"/>
      <c r="AY57" s="378"/>
      <c r="AZ57" s="378"/>
      <c r="BA57" s="378"/>
      <c r="BB57" s="378"/>
      <c r="BC57" s="378"/>
      <c r="BD57" s="378"/>
      <c r="BE57" s="378"/>
      <c r="BF57" s="378"/>
      <c r="BG57" s="378"/>
      <c r="BH57" s="378"/>
      <c r="BI57" s="378"/>
      <c r="BJ57" s="378"/>
      <c r="BK57" s="378"/>
      <c r="BL57" s="378"/>
      <c r="BM57" s="378"/>
      <c r="BN57" s="378"/>
      <c r="BO57" s="378"/>
      <c r="BP57" s="378"/>
      <c r="BQ57" s="378"/>
      <c r="BR57" s="378"/>
      <c r="BS57" s="378"/>
      <c r="BT57" s="378"/>
      <c r="BU57" s="378"/>
      <c r="BV57" s="378"/>
      <c r="BW57" s="378"/>
      <c r="BX57" s="378"/>
      <c r="BY57" s="378"/>
      <c r="BZ57" s="378"/>
      <c r="CA57" s="378"/>
      <c r="CB57" s="378"/>
      <c r="CC57" s="378"/>
      <c r="CD57" s="378"/>
      <c r="CE57" s="378"/>
      <c r="CF57" s="378"/>
      <c r="CG57" s="378"/>
      <c r="CH57" s="378"/>
      <c r="CI57" s="378"/>
      <c r="CJ57" s="378"/>
    </row>
    <row r="58" spans="1:88" x14ac:dyDescent="0.25">
      <c r="A58" s="1953"/>
      <c r="G58" s="1441"/>
      <c r="H58" s="1483"/>
      <c r="I58" s="4"/>
      <c r="J58" s="4"/>
      <c r="L58" s="427"/>
      <c r="M58" s="427"/>
      <c r="N58" s="427"/>
      <c r="O58" s="427"/>
      <c r="P58" s="427"/>
      <c r="Q58" s="427"/>
      <c r="R58" s="378"/>
      <c r="S58" s="378"/>
      <c r="T58" s="378"/>
      <c r="U58" s="378"/>
      <c r="V58" s="378"/>
      <c r="W58" s="378"/>
      <c r="X58" s="378"/>
      <c r="Y58" s="378"/>
      <c r="Z58" s="378"/>
      <c r="AA58" s="378"/>
      <c r="AB58" s="378"/>
      <c r="AC58" s="378"/>
      <c r="AD58" s="378"/>
      <c r="AE58" s="378"/>
      <c r="AF58" s="378"/>
      <c r="AG58" s="378"/>
      <c r="AH58" s="378"/>
      <c r="AI58" s="378"/>
      <c r="AJ58" s="378"/>
      <c r="AK58" s="378"/>
      <c r="AL58" s="378"/>
      <c r="AM58" s="378"/>
      <c r="AN58" s="378"/>
      <c r="AO58" s="378"/>
      <c r="AP58" s="378"/>
      <c r="AQ58" s="378"/>
      <c r="AR58" s="378"/>
      <c r="AS58" s="378"/>
      <c r="AT58" s="378"/>
      <c r="AU58" s="378"/>
      <c r="AV58" s="378"/>
      <c r="AW58" s="378"/>
      <c r="AX58" s="378"/>
      <c r="AY58" s="378"/>
      <c r="AZ58" s="378"/>
      <c r="BA58" s="378"/>
      <c r="BB58" s="378"/>
      <c r="BC58" s="378"/>
      <c r="BD58" s="378"/>
      <c r="BE58" s="378"/>
      <c r="BF58" s="378"/>
      <c r="BG58" s="378"/>
      <c r="BH58" s="378"/>
      <c r="BI58" s="378"/>
      <c r="BJ58" s="378"/>
      <c r="BK58" s="378"/>
      <c r="BL58" s="378"/>
      <c r="BM58" s="378"/>
      <c r="BN58" s="378"/>
      <c r="BO58" s="378"/>
      <c r="BP58" s="378"/>
      <c r="BQ58" s="378"/>
      <c r="BR58" s="378"/>
      <c r="BS58" s="378"/>
      <c r="BT58" s="378"/>
      <c r="BU58" s="378"/>
      <c r="BV58" s="378"/>
      <c r="BW58" s="378"/>
      <c r="BX58" s="378"/>
      <c r="BY58" s="378"/>
      <c r="BZ58" s="378"/>
      <c r="CA58" s="378"/>
      <c r="CB58" s="378"/>
      <c r="CC58" s="378"/>
      <c r="CD58" s="378"/>
      <c r="CE58" s="378"/>
      <c r="CF58" s="378"/>
      <c r="CG58" s="378"/>
      <c r="CH58" s="378"/>
      <c r="CI58" s="378"/>
      <c r="CJ58" s="378"/>
    </row>
    <row r="59" spans="1:88" ht="14.25" customHeight="1" x14ac:dyDescent="0.25">
      <c r="A59" s="427"/>
      <c r="G59" s="1441"/>
      <c r="H59" s="902"/>
      <c r="I59" s="427"/>
      <c r="J59" s="431"/>
      <c r="L59" s="427"/>
      <c r="M59" s="427"/>
      <c r="N59" s="427"/>
      <c r="O59" s="427"/>
      <c r="P59" s="427"/>
      <c r="Q59" s="427"/>
      <c r="R59" s="378"/>
      <c r="S59" s="378"/>
      <c r="T59" s="378"/>
      <c r="U59" s="378"/>
      <c r="V59" s="378"/>
      <c r="W59" s="378"/>
      <c r="X59" s="378"/>
      <c r="Y59" s="378"/>
      <c r="Z59" s="378"/>
      <c r="AA59" s="378"/>
      <c r="AB59" s="378"/>
      <c r="AC59" s="378"/>
      <c r="AD59" s="378"/>
      <c r="AE59" s="378"/>
      <c r="AF59" s="378"/>
      <c r="AG59" s="378"/>
      <c r="AH59" s="378"/>
      <c r="AI59" s="378"/>
      <c r="AJ59" s="378"/>
      <c r="AK59" s="378"/>
      <c r="AL59" s="378"/>
      <c r="AM59" s="378"/>
      <c r="AN59" s="378"/>
      <c r="AO59" s="378"/>
      <c r="AP59" s="378"/>
      <c r="AQ59" s="378"/>
      <c r="AR59" s="378"/>
      <c r="AS59" s="378"/>
      <c r="AT59" s="378"/>
      <c r="AU59" s="378"/>
      <c r="AV59" s="378"/>
      <c r="AW59" s="378"/>
      <c r="AX59" s="378"/>
      <c r="AY59" s="378"/>
      <c r="AZ59" s="378"/>
      <c r="BA59" s="378"/>
      <c r="BB59" s="378"/>
      <c r="BC59" s="378"/>
      <c r="BD59" s="378"/>
      <c r="BE59" s="378"/>
      <c r="BF59" s="378"/>
      <c r="BG59" s="378"/>
      <c r="BH59" s="378"/>
      <c r="BI59" s="378"/>
      <c r="BJ59" s="378"/>
      <c r="BK59" s="378"/>
      <c r="BL59" s="378"/>
      <c r="BM59" s="378"/>
      <c r="BN59" s="378"/>
      <c r="BO59" s="378"/>
      <c r="BP59" s="378"/>
      <c r="BQ59" s="378"/>
      <c r="BR59" s="378"/>
      <c r="BS59" s="378"/>
      <c r="BT59" s="378"/>
      <c r="BU59" s="378"/>
      <c r="BV59" s="378"/>
      <c r="BW59" s="378"/>
      <c r="BX59" s="378"/>
      <c r="BY59" s="378"/>
      <c r="BZ59" s="378"/>
      <c r="CA59" s="378"/>
      <c r="CB59" s="378"/>
      <c r="CC59" s="378"/>
      <c r="CD59" s="378"/>
      <c r="CE59" s="378"/>
      <c r="CF59" s="378"/>
      <c r="CG59" s="378"/>
      <c r="CH59" s="378"/>
      <c r="CI59" s="378"/>
      <c r="CJ59" s="378"/>
    </row>
    <row r="60" spans="1:88" ht="15" customHeight="1" x14ac:dyDescent="0.25">
      <c r="A60" s="433"/>
      <c r="G60" s="1441"/>
      <c r="H60" s="1484"/>
      <c r="I60" s="4"/>
      <c r="J60" s="431"/>
      <c r="L60" s="427"/>
      <c r="M60" s="427"/>
      <c r="N60" s="427"/>
      <c r="O60" s="427"/>
      <c r="P60" s="427"/>
      <c r="Q60" s="427"/>
      <c r="R60" s="378"/>
      <c r="S60" s="378"/>
      <c r="T60" s="378"/>
      <c r="U60" s="378"/>
      <c r="V60" s="378"/>
      <c r="W60" s="378"/>
      <c r="X60" s="378"/>
      <c r="Y60" s="378"/>
      <c r="Z60" s="378"/>
      <c r="AA60" s="378"/>
      <c r="AB60" s="378"/>
      <c r="AC60" s="378"/>
      <c r="AD60" s="378"/>
      <c r="AE60" s="378"/>
      <c r="AF60" s="378"/>
      <c r="AG60" s="378"/>
      <c r="AH60" s="378"/>
      <c r="AI60" s="378"/>
      <c r="AJ60" s="378"/>
      <c r="AK60" s="378"/>
      <c r="AL60" s="378"/>
      <c r="AM60" s="378"/>
      <c r="AN60" s="378"/>
      <c r="AO60" s="378"/>
      <c r="AP60" s="378"/>
      <c r="AQ60" s="378"/>
      <c r="AR60" s="378"/>
      <c r="AS60" s="378"/>
      <c r="AT60" s="378"/>
      <c r="AU60" s="378"/>
      <c r="AV60" s="378"/>
      <c r="AW60" s="378"/>
      <c r="AX60" s="378"/>
      <c r="AY60" s="378"/>
      <c r="AZ60" s="378"/>
      <c r="BA60" s="378"/>
      <c r="BB60" s="378"/>
      <c r="BC60" s="378"/>
      <c r="BD60" s="378"/>
      <c r="BE60" s="378"/>
      <c r="BF60" s="378"/>
      <c r="BG60" s="378"/>
      <c r="BH60" s="378"/>
      <c r="BI60" s="378"/>
      <c r="BJ60" s="378"/>
      <c r="BK60" s="378"/>
      <c r="BL60" s="378"/>
      <c r="BM60" s="378"/>
      <c r="BN60" s="378"/>
      <c r="BO60" s="378"/>
      <c r="BP60" s="378"/>
      <c r="BQ60" s="378"/>
      <c r="BR60" s="378"/>
      <c r="BS60" s="378"/>
      <c r="BT60" s="378"/>
      <c r="BU60" s="378"/>
      <c r="BV60" s="378"/>
      <c r="BW60" s="378"/>
      <c r="BX60" s="378"/>
      <c r="BY60" s="378"/>
      <c r="BZ60" s="378"/>
      <c r="CA60" s="378"/>
      <c r="CB60" s="378"/>
      <c r="CC60" s="378"/>
      <c r="CD60" s="378"/>
      <c r="CE60" s="378"/>
      <c r="CF60" s="378"/>
      <c r="CG60" s="378"/>
      <c r="CH60" s="378"/>
      <c r="CI60" s="378"/>
      <c r="CJ60" s="378"/>
    </row>
    <row r="61" spans="1:88" x14ac:dyDescent="0.25">
      <c r="A61" s="427"/>
      <c r="G61" s="1441"/>
      <c r="H61" s="901"/>
      <c r="I61" s="427"/>
      <c r="J61" s="427"/>
      <c r="K61" s="431"/>
      <c r="L61" s="427"/>
      <c r="M61" s="427"/>
      <c r="N61" s="427"/>
      <c r="O61" s="427"/>
      <c r="P61" s="427"/>
      <c r="Q61" s="427"/>
      <c r="R61" s="378"/>
      <c r="S61" s="378"/>
      <c r="T61" s="378"/>
      <c r="U61" s="378"/>
      <c r="V61" s="378"/>
      <c r="W61" s="378"/>
      <c r="X61" s="378"/>
      <c r="Y61" s="378"/>
      <c r="Z61" s="378"/>
      <c r="AA61" s="378"/>
      <c r="AB61" s="378"/>
      <c r="AC61" s="378"/>
      <c r="AD61" s="378"/>
      <c r="AE61" s="378"/>
      <c r="AF61" s="378"/>
      <c r="AG61" s="378"/>
      <c r="AH61" s="378"/>
      <c r="AI61" s="378"/>
      <c r="AJ61" s="378"/>
      <c r="AK61" s="378"/>
      <c r="AL61" s="378"/>
      <c r="AM61" s="378"/>
      <c r="AN61" s="378"/>
      <c r="AO61" s="378"/>
      <c r="AP61" s="378"/>
      <c r="AQ61" s="378"/>
      <c r="AR61" s="378"/>
      <c r="AS61" s="378"/>
      <c r="AT61" s="378"/>
      <c r="AU61" s="378"/>
      <c r="AV61" s="378"/>
      <c r="AW61" s="378"/>
      <c r="AX61" s="378"/>
      <c r="AY61" s="378"/>
      <c r="AZ61" s="378"/>
      <c r="BA61" s="378"/>
      <c r="BB61" s="378"/>
      <c r="BC61" s="378"/>
      <c r="BD61" s="378"/>
      <c r="BE61" s="378"/>
      <c r="BF61" s="378"/>
      <c r="BG61" s="378"/>
      <c r="BH61" s="378"/>
      <c r="BI61" s="378"/>
      <c r="BJ61" s="378"/>
      <c r="BK61" s="378"/>
      <c r="BL61" s="378"/>
      <c r="BM61" s="378"/>
      <c r="BN61" s="378"/>
      <c r="BO61" s="378"/>
      <c r="BP61" s="378"/>
      <c r="BQ61" s="378"/>
      <c r="BR61" s="378"/>
      <c r="BS61" s="378"/>
      <c r="BT61" s="378"/>
      <c r="BU61" s="378"/>
      <c r="BV61" s="378"/>
      <c r="BW61" s="378"/>
      <c r="BX61" s="378"/>
      <c r="BY61" s="378"/>
      <c r="BZ61" s="378"/>
      <c r="CA61" s="378"/>
      <c r="CB61" s="378"/>
      <c r="CC61" s="378"/>
      <c r="CD61" s="378"/>
      <c r="CE61" s="378"/>
      <c r="CF61" s="378"/>
      <c r="CG61" s="378"/>
      <c r="CH61" s="378"/>
      <c r="CI61" s="378"/>
      <c r="CJ61" s="378"/>
    </row>
    <row r="62" spans="1:88" x14ac:dyDescent="0.25">
      <c r="A62" s="427"/>
      <c r="G62" s="1441"/>
      <c r="H62" s="901"/>
      <c r="I62" s="427"/>
      <c r="J62" s="427"/>
      <c r="K62" s="431"/>
      <c r="L62" s="427"/>
      <c r="M62" s="427"/>
      <c r="N62" s="427"/>
      <c r="O62" s="427"/>
      <c r="P62" s="427"/>
      <c r="Q62" s="427"/>
      <c r="R62" s="378"/>
      <c r="S62" s="378"/>
      <c r="T62" s="378"/>
      <c r="U62" s="378"/>
      <c r="V62" s="378"/>
      <c r="W62" s="378"/>
      <c r="X62" s="378"/>
      <c r="Y62" s="378"/>
      <c r="Z62" s="378"/>
      <c r="AA62" s="378"/>
      <c r="AB62" s="378"/>
      <c r="AC62" s="378"/>
      <c r="AD62" s="378"/>
      <c r="AE62" s="378"/>
      <c r="AF62" s="378"/>
      <c r="AG62" s="378"/>
      <c r="AH62" s="378"/>
      <c r="AI62" s="378"/>
      <c r="AJ62" s="378"/>
      <c r="AK62" s="378"/>
      <c r="AL62" s="378"/>
      <c r="AM62" s="378"/>
      <c r="AN62" s="378"/>
      <c r="AO62" s="378"/>
      <c r="AP62" s="378"/>
      <c r="AQ62" s="378"/>
      <c r="AR62" s="378"/>
      <c r="AS62" s="378"/>
      <c r="AT62" s="378"/>
      <c r="AU62" s="378"/>
      <c r="AV62" s="378"/>
      <c r="AW62" s="378"/>
      <c r="AX62" s="378"/>
      <c r="AY62" s="378"/>
      <c r="AZ62" s="378"/>
      <c r="BA62" s="378"/>
      <c r="BB62" s="378"/>
      <c r="BC62" s="378"/>
      <c r="BD62" s="378"/>
      <c r="BE62" s="378"/>
      <c r="BF62" s="378"/>
      <c r="BG62" s="378"/>
      <c r="BH62" s="378"/>
      <c r="BI62" s="378"/>
      <c r="BJ62" s="378"/>
      <c r="BK62" s="378"/>
      <c r="BL62" s="378"/>
      <c r="BM62" s="378"/>
      <c r="BN62" s="378"/>
      <c r="BO62" s="378"/>
      <c r="BP62" s="378"/>
      <c r="BQ62" s="378"/>
      <c r="BR62" s="378"/>
      <c r="BS62" s="378"/>
      <c r="BT62" s="378"/>
      <c r="BU62" s="378"/>
      <c r="BV62" s="378"/>
      <c r="BW62" s="378"/>
      <c r="BX62" s="378"/>
      <c r="BY62" s="378"/>
      <c r="BZ62" s="378"/>
      <c r="CA62" s="378"/>
      <c r="CB62" s="378"/>
      <c r="CC62" s="378"/>
      <c r="CD62" s="378"/>
      <c r="CE62" s="378"/>
      <c r="CF62" s="378"/>
      <c r="CG62" s="378"/>
      <c r="CH62" s="378"/>
      <c r="CI62" s="378"/>
      <c r="CJ62" s="378"/>
    </row>
    <row r="63" spans="1:88" x14ac:dyDescent="0.25">
      <c r="A63" s="427"/>
      <c r="G63" s="1441"/>
      <c r="H63" s="901"/>
      <c r="I63" s="427"/>
      <c r="J63" s="427"/>
      <c r="K63" s="431"/>
      <c r="L63" s="427"/>
      <c r="M63" s="427"/>
      <c r="N63" s="427"/>
      <c r="O63" s="427"/>
      <c r="P63" s="427"/>
      <c r="Q63" s="427"/>
      <c r="R63" s="378"/>
      <c r="S63" s="378"/>
      <c r="T63" s="378"/>
      <c r="U63" s="378"/>
      <c r="V63" s="378"/>
      <c r="W63" s="378"/>
      <c r="X63" s="378"/>
      <c r="Y63" s="378"/>
      <c r="Z63" s="378"/>
      <c r="AA63" s="378"/>
      <c r="AB63" s="378"/>
      <c r="AC63" s="378"/>
      <c r="AD63" s="378"/>
      <c r="AE63" s="378"/>
      <c r="AF63" s="378"/>
      <c r="AG63" s="378"/>
      <c r="AH63" s="378"/>
      <c r="AI63" s="378"/>
      <c r="AJ63" s="378"/>
      <c r="AK63" s="378"/>
      <c r="AL63" s="378"/>
      <c r="AM63" s="378"/>
      <c r="AN63" s="378"/>
      <c r="AO63" s="378"/>
      <c r="AP63" s="378"/>
      <c r="AQ63" s="378"/>
      <c r="AR63" s="378"/>
      <c r="AS63" s="378"/>
      <c r="AT63" s="378"/>
      <c r="AU63" s="378"/>
      <c r="AV63" s="378"/>
      <c r="AW63" s="378"/>
      <c r="AX63" s="378"/>
      <c r="AY63" s="378"/>
      <c r="AZ63" s="378"/>
      <c r="BA63" s="378"/>
      <c r="BB63" s="378"/>
      <c r="BC63" s="378"/>
      <c r="BD63" s="378"/>
      <c r="BE63" s="378"/>
      <c r="BF63" s="378"/>
      <c r="BG63" s="378"/>
      <c r="BH63" s="378"/>
      <c r="BI63" s="378"/>
      <c r="BJ63" s="378"/>
      <c r="BK63" s="378"/>
      <c r="BL63" s="378"/>
      <c r="BM63" s="378"/>
      <c r="BN63" s="378"/>
      <c r="BO63" s="378"/>
      <c r="BP63" s="378"/>
      <c r="BQ63" s="378"/>
      <c r="BR63" s="378"/>
      <c r="BS63" s="378"/>
      <c r="BT63" s="378"/>
      <c r="BU63" s="378"/>
      <c r="BV63" s="378"/>
      <c r="BW63" s="378"/>
      <c r="BX63" s="378"/>
      <c r="BY63" s="378"/>
      <c r="BZ63" s="378"/>
      <c r="CA63" s="378"/>
      <c r="CB63" s="378"/>
      <c r="CC63" s="378"/>
      <c r="CD63" s="378"/>
      <c r="CE63" s="378"/>
      <c r="CF63" s="378"/>
      <c r="CG63" s="378"/>
      <c r="CH63" s="378"/>
      <c r="CI63" s="378"/>
      <c r="CJ63" s="378"/>
    </row>
    <row r="64" spans="1:88" x14ac:dyDescent="0.25">
      <c r="A64" s="427"/>
      <c r="G64" s="1441"/>
      <c r="H64" s="1441"/>
      <c r="J64" s="431"/>
      <c r="L64" s="427"/>
      <c r="M64" s="427"/>
      <c r="N64" s="427"/>
      <c r="O64" s="427"/>
      <c r="P64" s="427"/>
      <c r="Q64" s="427"/>
      <c r="R64" s="378"/>
      <c r="S64" s="378"/>
      <c r="T64" s="378"/>
      <c r="U64" s="378"/>
      <c r="V64" s="378"/>
      <c r="W64" s="378"/>
      <c r="X64" s="378"/>
      <c r="Y64" s="378"/>
      <c r="Z64" s="378"/>
      <c r="AA64" s="378"/>
      <c r="AB64" s="378"/>
      <c r="AC64" s="378"/>
      <c r="AD64" s="378"/>
      <c r="AE64" s="378"/>
      <c r="AF64" s="378"/>
      <c r="AG64" s="378"/>
      <c r="AH64" s="378"/>
      <c r="AI64" s="378"/>
      <c r="AJ64" s="378"/>
      <c r="AK64" s="378"/>
      <c r="AL64" s="378"/>
      <c r="AM64" s="378"/>
      <c r="AN64" s="378"/>
      <c r="AO64" s="378"/>
      <c r="AP64" s="378"/>
      <c r="AQ64" s="378"/>
      <c r="AR64" s="378"/>
      <c r="AS64" s="378"/>
      <c r="AT64" s="378"/>
      <c r="AU64" s="378"/>
      <c r="AV64" s="378"/>
      <c r="AW64" s="378"/>
      <c r="AX64" s="378"/>
      <c r="AY64" s="378"/>
      <c r="AZ64" s="378"/>
      <c r="BA64" s="378"/>
      <c r="BB64" s="378"/>
      <c r="BC64" s="378"/>
      <c r="BD64" s="378"/>
      <c r="BE64" s="378"/>
      <c r="BF64" s="378"/>
      <c r="BG64" s="378"/>
      <c r="BH64" s="378"/>
      <c r="BI64" s="378"/>
      <c r="BJ64" s="378"/>
      <c r="BK64" s="378"/>
      <c r="BL64" s="378"/>
      <c r="BM64" s="378"/>
      <c r="BN64" s="378"/>
      <c r="BO64" s="378"/>
      <c r="BP64" s="378"/>
      <c r="BQ64" s="378"/>
      <c r="BR64" s="378"/>
      <c r="BS64" s="378"/>
      <c r="BT64" s="378"/>
      <c r="BU64" s="378"/>
      <c r="BV64" s="378"/>
      <c r="BW64" s="378"/>
      <c r="BX64" s="378"/>
      <c r="BY64" s="378"/>
      <c r="BZ64" s="378"/>
      <c r="CA64" s="378"/>
      <c r="CB64" s="378"/>
      <c r="CC64" s="378"/>
      <c r="CD64" s="378"/>
      <c r="CE64" s="378"/>
      <c r="CF64" s="378"/>
      <c r="CG64" s="378"/>
      <c r="CH64" s="378"/>
      <c r="CI64" s="378"/>
      <c r="CJ64" s="378"/>
    </row>
    <row r="65" spans="1:88" x14ac:dyDescent="0.25">
      <c r="A65" s="427"/>
      <c r="G65" s="1441"/>
      <c r="H65" s="1441"/>
      <c r="J65" s="432">
        <v>0.7</v>
      </c>
      <c r="L65" s="427"/>
      <c r="M65" s="427"/>
      <c r="N65" s="427"/>
      <c r="O65" s="427"/>
      <c r="P65" s="427"/>
      <c r="Q65" s="427"/>
      <c r="R65" s="378"/>
      <c r="S65" s="378"/>
      <c r="T65" s="378"/>
      <c r="U65" s="378"/>
      <c r="V65" s="378"/>
      <c r="W65" s="378"/>
      <c r="X65" s="378"/>
      <c r="Y65" s="378"/>
      <c r="Z65" s="378"/>
      <c r="AA65" s="378"/>
      <c r="AB65" s="378"/>
      <c r="AC65" s="378"/>
      <c r="AD65" s="378"/>
      <c r="AE65" s="378"/>
      <c r="AF65" s="378"/>
      <c r="AG65" s="378"/>
      <c r="AH65" s="378"/>
      <c r="AI65" s="378"/>
      <c r="AJ65" s="378"/>
      <c r="AK65" s="378"/>
      <c r="AL65" s="378"/>
      <c r="AM65" s="378"/>
      <c r="AN65" s="378"/>
      <c r="AO65" s="378"/>
      <c r="AP65" s="378"/>
      <c r="AQ65" s="378"/>
      <c r="AR65" s="378"/>
      <c r="AS65" s="378"/>
      <c r="AT65" s="378"/>
      <c r="AU65" s="378"/>
      <c r="AV65" s="378"/>
      <c r="AW65" s="378"/>
      <c r="AX65" s="378"/>
      <c r="AY65" s="378"/>
      <c r="AZ65" s="378"/>
      <c r="BA65" s="378"/>
      <c r="BB65" s="378"/>
      <c r="BC65" s="378"/>
      <c r="BD65" s="378"/>
      <c r="BE65" s="378"/>
      <c r="BF65" s="378"/>
      <c r="BG65" s="378"/>
      <c r="BH65" s="378"/>
      <c r="BI65" s="378"/>
      <c r="BJ65" s="378"/>
      <c r="BK65" s="378"/>
      <c r="BL65" s="378"/>
      <c r="BM65" s="378"/>
      <c r="BN65" s="378"/>
      <c r="BO65" s="378"/>
      <c r="BP65" s="378"/>
      <c r="BQ65" s="378"/>
      <c r="BR65" s="378"/>
      <c r="BS65" s="378"/>
      <c r="BT65" s="378"/>
      <c r="BU65" s="378"/>
      <c r="BV65" s="378"/>
      <c r="BW65" s="378"/>
      <c r="BX65" s="378"/>
      <c r="BY65" s="378"/>
      <c r="BZ65" s="378"/>
      <c r="CA65" s="378"/>
      <c r="CB65" s="378"/>
      <c r="CC65" s="378"/>
      <c r="CD65" s="378"/>
      <c r="CE65" s="378"/>
      <c r="CF65" s="378"/>
      <c r="CG65" s="378"/>
      <c r="CH65" s="378"/>
      <c r="CI65" s="378"/>
      <c r="CJ65" s="378"/>
    </row>
    <row r="66" spans="1:88" ht="15.75" customHeight="1" x14ac:dyDescent="0.25">
      <c r="A66" s="427"/>
      <c r="G66" s="1441"/>
      <c r="H66" s="1441"/>
      <c r="J66" s="432">
        <v>0.7</v>
      </c>
      <c r="L66" s="427"/>
      <c r="M66" s="427"/>
      <c r="N66" s="427"/>
      <c r="O66" s="427"/>
      <c r="P66" s="427"/>
      <c r="Q66" s="427"/>
      <c r="R66" s="378"/>
      <c r="S66" s="378"/>
      <c r="T66" s="378"/>
      <c r="U66" s="378"/>
      <c r="V66" s="378"/>
      <c r="W66" s="378"/>
      <c r="X66" s="378"/>
      <c r="Y66" s="378"/>
      <c r="Z66" s="378"/>
      <c r="AA66" s="378"/>
      <c r="AB66" s="378"/>
      <c r="AC66" s="378"/>
      <c r="AD66" s="378"/>
      <c r="AE66" s="378"/>
      <c r="AF66" s="378"/>
      <c r="AG66" s="378"/>
      <c r="AH66" s="378"/>
      <c r="AI66" s="378"/>
      <c r="AJ66" s="378"/>
      <c r="AK66" s="378"/>
      <c r="AL66" s="378"/>
      <c r="AM66" s="378"/>
      <c r="AN66" s="378"/>
      <c r="AO66" s="378"/>
      <c r="AP66" s="378"/>
      <c r="AQ66" s="378"/>
      <c r="AR66" s="378"/>
      <c r="AS66" s="378"/>
      <c r="AT66" s="378"/>
      <c r="AU66" s="378"/>
      <c r="AV66" s="378"/>
      <c r="AW66" s="378"/>
      <c r="AX66" s="378"/>
      <c r="AY66" s="378"/>
      <c r="AZ66" s="378"/>
      <c r="BA66" s="378"/>
      <c r="BB66" s="378"/>
      <c r="BC66" s="378"/>
      <c r="BD66" s="378"/>
      <c r="BE66" s="378"/>
      <c r="BF66" s="378"/>
      <c r="BG66" s="378"/>
      <c r="BH66" s="378"/>
      <c r="BI66" s="378"/>
      <c r="BJ66" s="378"/>
      <c r="BK66" s="378"/>
      <c r="BL66" s="378"/>
      <c r="BM66" s="378"/>
      <c r="BN66" s="378"/>
      <c r="BO66" s="378"/>
      <c r="BP66" s="378"/>
      <c r="BQ66" s="378"/>
      <c r="BR66" s="378"/>
      <c r="BS66" s="378"/>
      <c r="BT66" s="378"/>
      <c r="BU66" s="378"/>
      <c r="BV66" s="378"/>
      <c r="BW66" s="378"/>
      <c r="BX66" s="378"/>
      <c r="BY66" s="378"/>
      <c r="BZ66" s="378"/>
      <c r="CA66" s="378"/>
      <c r="CB66" s="378"/>
      <c r="CC66" s="378"/>
      <c r="CD66" s="378"/>
      <c r="CE66" s="378"/>
      <c r="CF66" s="378"/>
      <c r="CG66" s="378"/>
      <c r="CH66" s="378"/>
      <c r="CI66" s="378"/>
      <c r="CJ66" s="378"/>
    </row>
    <row r="67" spans="1:88" ht="15.75" customHeight="1" x14ac:dyDescent="0.25">
      <c r="A67" s="427"/>
      <c r="B67" s="855" t="s">
        <v>627</v>
      </c>
      <c r="C67" s="856"/>
      <c r="D67" s="856"/>
      <c r="E67" s="856"/>
      <c r="F67" s="856"/>
      <c r="G67" s="1451" t="e">
        <f>'2 GEOPROCESSAMENTO'!E35/'2 GEOPROCESSAMENTO'!E39</f>
        <v>#DIV/0!</v>
      </c>
      <c r="H67" s="1441"/>
      <c r="J67" s="432">
        <v>0.7</v>
      </c>
      <c r="L67" s="427"/>
      <c r="M67" s="427"/>
      <c r="N67" s="427"/>
      <c r="O67" s="427"/>
      <c r="P67" s="427"/>
      <c r="Q67" s="427"/>
      <c r="R67" s="378"/>
      <c r="S67" s="378"/>
      <c r="T67" s="378"/>
      <c r="U67" s="378"/>
      <c r="V67" s="378"/>
      <c r="W67" s="378"/>
      <c r="X67" s="378"/>
      <c r="Y67" s="378"/>
      <c r="Z67" s="378"/>
      <c r="AA67" s="378"/>
      <c r="AB67" s="378"/>
      <c r="AC67" s="378"/>
      <c r="AD67" s="378"/>
      <c r="AE67" s="378"/>
      <c r="AF67" s="378"/>
      <c r="AG67" s="378"/>
      <c r="AH67" s="378"/>
      <c r="AI67" s="378"/>
      <c r="AJ67" s="378"/>
      <c r="AK67" s="378"/>
      <c r="AL67" s="378"/>
      <c r="AM67" s="378"/>
      <c r="AN67" s="378"/>
      <c r="AO67" s="378"/>
      <c r="AP67" s="378"/>
      <c r="AQ67" s="378"/>
      <c r="AR67" s="378"/>
      <c r="AS67" s="378"/>
      <c r="AT67" s="378"/>
      <c r="AU67" s="378"/>
      <c r="AV67" s="378"/>
      <c r="AW67" s="378"/>
      <c r="AX67" s="378"/>
      <c r="AY67" s="378"/>
      <c r="AZ67" s="378"/>
      <c r="BA67" s="378"/>
      <c r="BB67" s="378"/>
      <c r="BC67" s="378"/>
      <c r="BD67" s="378"/>
      <c r="BE67" s="378"/>
      <c r="BF67" s="378"/>
      <c r="BG67" s="378"/>
      <c r="BH67" s="378"/>
      <c r="BI67" s="378"/>
      <c r="BJ67" s="378"/>
      <c r="BK67" s="378"/>
      <c r="BL67" s="378"/>
      <c r="BM67" s="378"/>
      <c r="BN67" s="378"/>
      <c r="BO67" s="378"/>
      <c r="BP67" s="378"/>
      <c r="BQ67" s="378"/>
      <c r="BR67" s="378"/>
      <c r="BS67" s="378"/>
      <c r="BT67" s="378"/>
      <c r="BU67" s="378"/>
      <c r="BV67" s="378"/>
      <c r="BW67" s="378"/>
      <c r="BX67" s="378"/>
      <c r="BY67" s="378"/>
      <c r="BZ67" s="378"/>
      <c r="CA67" s="378"/>
      <c r="CB67" s="378"/>
      <c r="CC67" s="378"/>
      <c r="CD67" s="378"/>
      <c r="CE67" s="378"/>
      <c r="CF67" s="378"/>
      <c r="CG67" s="378"/>
      <c r="CH67" s="378"/>
      <c r="CI67" s="378"/>
      <c r="CJ67" s="378"/>
    </row>
    <row r="68" spans="1:88" ht="15.75" customHeight="1" x14ac:dyDescent="0.25">
      <c r="A68" s="427"/>
      <c r="B68" s="857" t="s">
        <v>628</v>
      </c>
      <c r="C68" s="845"/>
      <c r="D68" s="845"/>
      <c r="E68" s="845"/>
      <c r="F68" s="845"/>
      <c r="G68" s="1452" t="e">
        <f>+'2 GEOPROCESSAMENTO'!E38/'2 GEOPROCESSAMENTO'!E39</f>
        <v>#DIV/0!</v>
      </c>
      <c r="H68" s="1441"/>
      <c r="J68" s="432">
        <v>0.7</v>
      </c>
      <c r="L68" s="427"/>
      <c r="M68" s="427"/>
      <c r="N68" s="427"/>
      <c r="O68" s="427"/>
      <c r="P68" s="427"/>
      <c r="Q68" s="427"/>
      <c r="R68" s="378"/>
      <c r="S68" s="378"/>
      <c r="T68" s="378"/>
      <c r="U68" s="378"/>
      <c r="V68" s="378"/>
      <c r="W68" s="378"/>
      <c r="X68" s="378"/>
      <c r="Y68" s="378"/>
      <c r="Z68" s="378"/>
      <c r="AA68" s="378"/>
      <c r="AB68" s="378"/>
      <c r="AC68" s="378"/>
      <c r="AD68" s="378"/>
      <c r="AE68" s="378"/>
      <c r="AF68" s="378"/>
      <c r="AG68" s="378"/>
      <c r="AH68" s="378"/>
      <c r="AI68" s="378"/>
      <c r="AJ68" s="378"/>
      <c r="AK68" s="378"/>
      <c r="AL68" s="378"/>
      <c r="AM68" s="378"/>
      <c r="AN68" s="378"/>
      <c r="AO68" s="378"/>
      <c r="AP68" s="378"/>
      <c r="AQ68" s="378"/>
      <c r="AR68" s="378"/>
      <c r="AS68" s="378"/>
      <c r="AT68" s="378"/>
      <c r="AU68" s="378"/>
      <c r="AV68" s="378"/>
      <c r="AW68" s="378"/>
      <c r="AX68" s="378"/>
      <c r="AY68" s="378"/>
      <c r="AZ68" s="378"/>
      <c r="BA68" s="378"/>
      <c r="BB68" s="378"/>
      <c r="BC68" s="378"/>
      <c r="BD68" s="378"/>
      <c r="BE68" s="378"/>
      <c r="BF68" s="378"/>
      <c r="BG68" s="378"/>
      <c r="BH68" s="378"/>
      <c r="BI68" s="378"/>
      <c r="BJ68" s="378"/>
      <c r="BK68" s="378"/>
      <c r="BL68" s="378"/>
      <c r="BM68" s="378"/>
      <c r="BN68" s="378"/>
      <c r="BO68" s="378"/>
      <c r="BP68" s="378"/>
      <c r="BQ68" s="378"/>
      <c r="BR68" s="378"/>
      <c r="BS68" s="378"/>
      <c r="BT68" s="378"/>
      <c r="BU68" s="378"/>
      <c r="BV68" s="378"/>
      <c r="BW68" s="378"/>
      <c r="BX68" s="378"/>
      <c r="BY68" s="378"/>
      <c r="BZ68" s="378"/>
      <c r="CA68" s="378"/>
      <c r="CB68" s="378"/>
      <c r="CC68" s="378"/>
      <c r="CD68" s="378"/>
      <c r="CE68" s="378"/>
      <c r="CF68" s="378"/>
      <c r="CG68" s="378"/>
      <c r="CH68" s="378"/>
      <c r="CI68" s="378"/>
      <c r="CJ68" s="378"/>
    </row>
    <row r="69" spans="1:88" x14ac:dyDescent="0.25">
      <c r="A69" s="427"/>
      <c r="B69" s="855" t="s">
        <v>629</v>
      </c>
      <c r="C69" s="856"/>
      <c r="D69" s="856"/>
      <c r="E69" s="856"/>
      <c r="F69" s="856"/>
      <c r="G69" s="1451" t="e">
        <f>'GUIA DE APLICAÇÃO'!G574</f>
        <v>#DIV/0!</v>
      </c>
      <c r="H69" s="1441"/>
      <c r="J69" s="431"/>
      <c r="L69" s="427"/>
      <c r="M69" s="427"/>
      <c r="N69" s="427"/>
      <c r="O69" s="427"/>
      <c r="P69" s="427"/>
      <c r="Q69" s="427"/>
      <c r="R69" s="378"/>
      <c r="S69" s="378"/>
      <c r="T69" s="378"/>
      <c r="U69" s="378"/>
      <c r="V69" s="378"/>
      <c r="W69" s="378"/>
      <c r="X69" s="378"/>
      <c r="Y69" s="378"/>
      <c r="Z69" s="378"/>
      <c r="AA69" s="378"/>
      <c r="AB69" s="378"/>
      <c r="AC69" s="378"/>
      <c r="AD69" s="378"/>
      <c r="AE69" s="378"/>
      <c r="AF69" s="378"/>
      <c r="AG69" s="378"/>
      <c r="AH69" s="378"/>
      <c r="AI69" s="378"/>
      <c r="AJ69" s="378"/>
      <c r="AK69" s="378"/>
      <c r="AL69" s="378"/>
      <c r="AM69" s="378"/>
      <c r="AN69" s="378"/>
      <c r="AO69" s="378"/>
      <c r="AP69" s="378"/>
      <c r="AQ69" s="378"/>
      <c r="AR69" s="378"/>
      <c r="AS69" s="378"/>
      <c r="AT69" s="378"/>
      <c r="AU69" s="378"/>
      <c r="AV69" s="378"/>
      <c r="AW69" s="378"/>
      <c r="AX69" s="378"/>
      <c r="AY69" s="378"/>
      <c r="AZ69" s="378"/>
      <c r="BA69" s="378"/>
      <c r="BB69" s="378"/>
      <c r="BC69" s="378"/>
      <c r="BD69" s="378"/>
      <c r="BE69" s="378"/>
      <c r="BF69" s="378"/>
      <c r="BG69" s="378"/>
      <c r="BH69" s="378"/>
      <c r="BI69" s="378"/>
      <c r="BJ69" s="378"/>
      <c r="BK69" s="378"/>
      <c r="BL69" s="378"/>
      <c r="BM69" s="378"/>
      <c r="BN69" s="378"/>
      <c r="BO69" s="378"/>
      <c r="BP69" s="378"/>
      <c r="BQ69" s="378"/>
      <c r="BR69" s="378"/>
      <c r="BS69" s="378"/>
      <c r="BT69" s="378"/>
      <c r="BU69" s="378"/>
      <c r="BV69" s="378"/>
      <c r="BW69" s="378"/>
      <c r="BX69" s="378"/>
      <c r="BY69" s="378"/>
      <c r="BZ69" s="378"/>
      <c r="CA69" s="378"/>
      <c r="CB69" s="378"/>
      <c r="CC69" s="378"/>
      <c r="CD69" s="378"/>
      <c r="CE69" s="378"/>
      <c r="CF69" s="378"/>
      <c r="CG69" s="378"/>
      <c r="CH69" s="378"/>
      <c r="CI69" s="378"/>
      <c r="CJ69" s="378"/>
    </row>
    <row r="70" spans="1:88" ht="13.5" customHeight="1" x14ac:dyDescent="0.25">
      <c r="A70" s="427"/>
      <c r="B70" s="858" t="s">
        <v>630</v>
      </c>
      <c r="C70" s="859"/>
      <c r="D70" s="859"/>
      <c r="E70" s="859"/>
      <c r="F70" s="859"/>
      <c r="G70" s="1453" t="e">
        <f>'GUIA DE APLICAÇÃO'!G575</f>
        <v>#DIV/0!</v>
      </c>
      <c r="H70" s="1441"/>
      <c r="J70" s="427"/>
      <c r="L70" s="427"/>
      <c r="M70" s="427"/>
      <c r="N70" s="427"/>
      <c r="O70" s="427"/>
      <c r="P70" s="427"/>
      <c r="Q70" s="427"/>
      <c r="R70" s="378"/>
      <c r="S70" s="378"/>
      <c r="T70" s="378"/>
      <c r="U70" s="378"/>
      <c r="V70" s="378"/>
      <c r="W70" s="378"/>
      <c r="X70" s="378"/>
      <c r="Y70" s="378"/>
      <c r="Z70" s="378"/>
      <c r="AA70" s="378"/>
      <c r="AB70" s="378"/>
      <c r="AC70" s="378"/>
      <c r="AD70" s="378"/>
      <c r="AE70" s="378"/>
      <c r="AF70" s="378"/>
      <c r="AG70" s="378"/>
      <c r="AH70" s="378"/>
      <c r="AI70" s="378"/>
      <c r="AJ70" s="378"/>
      <c r="AK70" s="378"/>
      <c r="AL70" s="378"/>
      <c r="AM70" s="378"/>
      <c r="AN70" s="378"/>
      <c r="AO70" s="378"/>
      <c r="AP70" s="378"/>
      <c r="AQ70" s="378"/>
      <c r="AR70" s="378"/>
      <c r="AS70" s="378"/>
      <c r="AT70" s="378"/>
      <c r="AU70" s="378"/>
      <c r="AV70" s="378"/>
      <c r="AW70" s="378"/>
      <c r="AX70" s="378"/>
      <c r="AY70" s="378"/>
      <c r="AZ70" s="378"/>
      <c r="BA70" s="378"/>
      <c r="BB70" s="378"/>
      <c r="BC70" s="378"/>
      <c r="BD70" s="378"/>
      <c r="BE70" s="378"/>
      <c r="BF70" s="378"/>
      <c r="BG70" s="378"/>
      <c r="BH70" s="378"/>
      <c r="BI70" s="378"/>
      <c r="BJ70" s="378"/>
      <c r="BK70" s="378"/>
      <c r="BL70" s="378"/>
      <c r="BM70" s="378"/>
      <c r="BN70" s="378"/>
      <c r="BO70" s="378"/>
      <c r="BP70" s="378"/>
      <c r="BQ70" s="378"/>
      <c r="BR70" s="378"/>
      <c r="BS70" s="378"/>
      <c r="BT70" s="378"/>
      <c r="BU70" s="378"/>
      <c r="BV70" s="378"/>
      <c r="BW70" s="378"/>
      <c r="BX70" s="378"/>
      <c r="BY70" s="378"/>
      <c r="BZ70" s="378"/>
      <c r="CA70" s="378"/>
      <c r="CB70" s="378"/>
      <c r="CC70" s="378"/>
      <c r="CD70" s="378"/>
      <c r="CE70" s="378"/>
      <c r="CF70" s="378"/>
      <c r="CG70" s="378"/>
      <c r="CH70" s="378"/>
      <c r="CI70" s="378"/>
      <c r="CJ70" s="378"/>
    </row>
    <row r="71" spans="1:88" ht="12.75" customHeight="1" x14ac:dyDescent="0.25">
      <c r="A71" s="427"/>
      <c r="B71" s="852" t="s">
        <v>631</v>
      </c>
      <c r="C71" s="853"/>
      <c r="D71" s="853"/>
      <c r="E71" s="853"/>
      <c r="F71" s="853"/>
      <c r="G71" s="1454">
        <f>'2 GEOPROCESSAMENTO'!D55</f>
        <v>0</v>
      </c>
      <c r="H71" s="1441"/>
      <c r="J71" s="967"/>
      <c r="K71" s="431"/>
      <c r="L71" s="427"/>
      <c r="M71" s="427"/>
      <c r="N71" s="427"/>
      <c r="O71" s="427"/>
      <c r="P71" s="427"/>
      <c r="Q71" s="427"/>
      <c r="R71" s="378"/>
      <c r="S71" s="378"/>
      <c r="T71" s="378"/>
      <c r="U71" s="378"/>
      <c r="V71" s="378"/>
      <c r="W71" s="378"/>
      <c r="X71" s="378"/>
      <c r="Y71" s="378"/>
      <c r="Z71" s="378"/>
      <c r="AA71" s="378"/>
      <c r="AB71" s="378"/>
      <c r="AC71" s="378"/>
      <c r="AD71" s="378"/>
      <c r="AE71" s="378"/>
      <c r="AF71" s="378"/>
      <c r="AG71" s="378"/>
      <c r="AH71" s="378"/>
      <c r="AI71" s="378"/>
      <c r="AJ71" s="378"/>
      <c r="AK71" s="378"/>
      <c r="AL71" s="378"/>
      <c r="AM71" s="378"/>
      <c r="AN71" s="378"/>
      <c r="AO71" s="378"/>
      <c r="AP71" s="378"/>
      <c r="AQ71" s="378"/>
      <c r="AR71" s="378"/>
      <c r="AS71" s="378"/>
      <c r="AT71" s="378"/>
      <c r="AU71" s="378"/>
      <c r="AV71" s="378"/>
      <c r="AW71" s="378"/>
      <c r="AX71" s="378"/>
      <c r="AY71" s="378"/>
      <c r="AZ71" s="378"/>
      <c r="BA71" s="378"/>
      <c r="BB71" s="378"/>
      <c r="BC71" s="378"/>
      <c r="BD71" s="378"/>
      <c r="BE71" s="378"/>
      <c r="BF71" s="378"/>
      <c r="BG71" s="378"/>
      <c r="BH71" s="378"/>
      <c r="BI71" s="378"/>
      <c r="BJ71" s="378"/>
      <c r="BK71" s="378"/>
      <c r="BL71" s="378"/>
      <c r="BM71" s="378"/>
      <c r="BN71" s="378"/>
      <c r="BO71" s="378"/>
      <c r="BP71" s="378"/>
      <c r="BQ71" s="378"/>
      <c r="BR71" s="378"/>
      <c r="BS71" s="378"/>
      <c r="BT71" s="378"/>
      <c r="BU71" s="378"/>
      <c r="BV71" s="378"/>
      <c r="BW71" s="378"/>
      <c r="BX71" s="378"/>
      <c r="BY71" s="378"/>
      <c r="BZ71" s="378"/>
      <c r="CA71" s="378"/>
      <c r="CB71" s="378"/>
      <c r="CC71" s="378"/>
      <c r="CD71" s="378"/>
      <c r="CE71" s="378"/>
      <c r="CF71" s="378"/>
      <c r="CG71" s="378"/>
      <c r="CH71" s="378"/>
      <c r="CI71" s="378"/>
      <c r="CJ71" s="378"/>
    </row>
    <row r="72" spans="1:88" ht="13.5" customHeight="1" x14ac:dyDescent="0.25">
      <c r="A72" s="427"/>
      <c r="B72" s="855" t="s">
        <v>632</v>
      </c>
      <c r="C72" s="856"/>
      <c r="D72" s="856"/>
      <c r="E72" s="856"/>
      <c r="F72" s="856"/>
      <c r="G72" s="1451" t="e">
        <f>'GUIA DE APLICAÇÃO'!G577</f>
        <v>#DIV/0!</v>
      </c>
      <c r="H72" s="1441"/>
      <c r="J72" s="967"/>
      <c r="K72" s="431"/>
      <c r="L72" s="427"/>
      <c r="M72" s="427"/>
      <c r="N72" s="427"/>
      <c r="O72" s="427"/>
      <c r="P72" s="427"/>
      <c r="Q72" s="427"/>
      <c r="R72" s="378"/>
      <c r="S72" s="378"/>
      <c r="T72" s="378"/>
      <c r="U72" s="378"/>
      <c r="V72" s="378"/>
      <c r="W72" s="378"/>
      <c r="X72" s="378"/>
      <c r="Y72" s="378"/>
      <c r="Z72" s="378"/>
      <c r="AA72" s="378"/>
      <c r="AB72" s="378"/>
      <c r="AC72" s="378"/>
      <c r="AD72" s="378"/>
      <c r="AE72" s="378"/>
      <c r="AF72" s="378"/>
      <c r="AG72" s="378"/>
      <c r="AH72" s="378"/>
      <c r="AI72" s="378"/>
      <c r="AJ72" s="378"/>
      <c r="AK72" s="378"/>
      <c r="AL72" s="378"/>
      <c r="AM72" s="378"/>
      <c r="AN72" s="378"/>
      <c r="AO72" s="378"/>
      <c r="AP72" s="378"/>
      <c r="AQ72" s="378"/>
      <c r="AR72" s="378"/>
      <c r="AS72" s="378"/>
      <c r="AT72" s="378"/>
      <c r="AU72" s="378"/>
      <c r="AV72" s="378"/>
      <c r="AW72" s="378"/>
      <c r="AX72" s="378"/>
      <c r="AY72" s="378"/>
      <c r="AZ72" s="378"/>
      <c r="BA72" s="378"/>
      <c r="BB72" s="378"/>
      <c r="BC72" s="378"/>
      <c r="BD72" s="378"/>
      <c r="BE72" s="378"/>
      <c r="BF72" s="378"/>
      <c r="BG72" s="378"/>
      <c r="BH72" s="378"/>
      <c r="BI72" s="378"/>
      <c r="BJ72" s="378"/>
      <c r="BK72" s="378"/>
      <c r="BL72" s="378"/>
      <c r="BM72" s="378"/>
      <c r="BN72" s="378"/>
      <c r="BO72" s="378"/>
      <c r="BP72" s="378"/>
      <c r="BQ72" s="378"/>
      <c r="BR72" s="378"/>
      <c r="BS72" s="378"/>
      <c r="BT72" s="378"/>
      <c r="BU72" s="378"/>
      <c r="BV72" s="378"/>
      <c r="BW72" s="378"/>
      <c r="BX72" s="378"/>
      <c r="BY72" s="378"/>
      <c r="BZ72" s="378"/>
      <c r="CA72" s="378"/>
      <c r="CB72" s="378"/>
      <c r="CC72" s="378"/>
      <c r="CD72" s="378"/>
      <c r="CE72" s="378"/>
      <c r="CF72" s="378"/>
      <c r="CG72" s="378"/>
      <c r="CH72" s="378"/>
      <c r="CI72" s="378"/>
      <c r="CJ72" s="378"/>
    </row>
    <row r="73" spans="1:88" ht="13.5" customHeight="1" x14ac:dyDescent="0.25">
      <c r="A73" s="427"/>
      <c r="B73" s="858" t="s">
        <v>633</v>
      </c>
      <c r="C73" s="859"/>
      <c r="D73" s="859"/>
      <c r="E73" s="859"/>
      <c r="F73" s="859"/>
      <c r="G73" s="1455">
        <f>'2 GEOPROCESSAMENTO'!D63</f>
        <v>0.2</v>
      </c>
      <c r="H73" s="1441"/>
      <c r="J73" s="967"/>
      <c r="K73" s="431"/>
      <c r="L73" s="427"/>
      <c r="M73" s="427"/>
      <c r="N73" s="427"/>
      <c r="O73" s="427"/>
      <c r="P73" s="427"/>
      <c r="Q73" s="427"/>
      <c r="R73" s="378"/>
      <c r="S73" s="378"/>
      <c r="T73" s="378"/>
      <c r="U73" s="378"/>
      <c r="V73" s="378"/>
      <c r="W73" s="378"/>
      <c r="X73" s="378"/>
      <c r="Y73" s="378"/>
      <c r="Z73" s="378"/>
      <c r="AA73" s="378"/>
      <c r="AB73" s="378"/>
      <c r="AC73" s="378"/>
      <c r="AD73" s="378"/>
      <c r="AE73" s="378"/>
      <c r="AF73" s="378"/>
      <c r="AG73" s="378"/>
      <c r="AH73" s="378"/>
      <c r="AI73" s="378"/>
      <c r="AJ73" s="378"/>
      <c r="AK73" s="378"/>
      <c r="AL73" s="378"/>
      <c r="AM73" s="378"/>
      <c r="AN73" s="378"/>
      <c r="AO73" s="378"/>
      <c r="AP73" s="378"/>
      <c r="AQ73" s="378"/>
      <c r="AR73" s="378"/>
      <c r="AS73" s="378"/>
      <c r="AT73" s="378"/>
      <c r="AU73" s="378"/>
      <c r="AV73" s="378"/>
      <c r="AW73" s="378"/>
      <c r="AX73" s="378"/>
      <c r="AY73" s="378"/>
      <c r="AZ73" s="378"/>
      <c r="BA73" s="378"/>
      <c r="BB73" s="378"/>
      <c r="BC73" s="378"/>
      <c r="BD73" s="378"/>
      <c r="BE73" s="378"/>
      <c r="BF73" s="378"/>
      <c r="BG73" s="378"/>
      <c r="BH73" s="378"/>
      <c r="BI73" s="378"/>
      <c r="BJ73" s="378"/>
      <c r="BK73" s="378"/>
      <c r="BL73" s="378"/>
      <c r="BM73" s="378"/>
      <c r="BN73" s="378"/>
      <c r="BO73" s="378"/>
      <c r="BP73" s="378"/>
      <c r="BQ73" s="378"/>
      <c r="BR73" s="378"/>
      <c r="BS73" s="378"/>
      <c r="BT73" s="378"/>
      <c r="BU73" s="378"/>
      <c r="BV73" s="378"/>
      <c r="BW73" s="378"/>
      <c r="BX73" s="378"/>
      <c r="BY73" s="378"/>
      <c r="BZ73" s="378"/>
      <c r="CA73" s="378"/>
      <c r="CB73" s="378"/>
      <c r="CC73" s="378"/>
      <c r="CD73" s="378"/>
      <c r="CE73" s="378"/>
      <c r="CF73" s="378"/>
      <c r="CG73" s="378"/>
      <c r="CH73" s="378"/>
      <c r="CI73" s="378"/>
      <c r="CJ73" s="378"/>
    </row>
    <row r="74" spans="1:88" x14ac:dyDescent="0.25">
      <c r="A74" s="427"/>
      <c r="B74" s="852" t="s">
        <v>634</v>
      </c>
      <c r="C74" s="853"/>
      <c r="D74" s="853"/>
      <c r="E74" s="853"/>
      <c r="F74" s="853"/>
      <c r="G74" s="1456">
        <f>+'3 INDICADORES'!E372</f>
        <v>0</v>
      </c>
      <c r="H74" s="1441"/>
      <c r="J74" s="967"/>
      <c r="K74" s="431"/>
      <c r="L74" s="427"/>
      <c r="M74" s="427"/>
      <c r="N74" s="427"/>
      <c r="O74" s="427"/>
      <c r="P74" s="427"/>
      <c r="Q74" s="427"/>
      <c r="R74" s="378"/>
      <c r="S74" s="378"/>
      <c r="T74" s="378"/>
      <c r="U74" s="378"/>
      <c r="V74" s="378"/>
      <c r="W74" s="378"/>
      <c r="X74" s="378"/>
      <c r="Y74" s="378"/>
      <c r="Z74" s="378"/>
      <c r="AA74" s="378"/>
      <c r="AB74" s="378"/>
      <c r="AC74" s="378"/>
      <c r="AD74" s="378"/>
      <c r="AE74" s="378"/>
      <c r="AF74" s="378"/>
      <c r="AG74" s="378"/>
      <c r="AH74" s="378"/>
      <c r="AI74" s="378"/>
      <c r="AJ74" s="378"/>
      <c r="AK74" s="378"/>
      <c r="AL74" s="378"/>
      <c r="AM74" s="378"/>
      <c r="AN74" s="378"/>
      <c r="AO74" s="378"/>
      <c r="AP74" s="378"/>
      <c r="AQ74" s="378"/>
      <c r="AR74" s="378"/>
      <c r="AS74" s="378"/>
      <c r="AT74" s="378"/>
      <c r="AU74" s="378"/>
      <c r="AV74" s="378"/>
      <c r="AW74" s="378"/>
      <c r="AX74" s="378"/>
      <c r="AY74" s="378"/>
      <c r="AZ74" s="378"/>
      <c r="BA74" s="378"/>
      <c r="BB74" s="378"/>
      <c r="BC74" s="378"/>
      <c r="BD74" s="378"/>
      <c r="BE74" s="378"/>
      <c r="BF74" s="378"/>
      <c r="BG74" s="378"/>
      <c r="BH74" s="378"/>
      <c r="BI74" s="378"/>
      <c r="BJ74" s="378"/>
      <c r="BK74" s="378"/>
      <c r="BL74" s="378"/>
      <c r="BM74" s="378"/>
      <c r="BN74" s="378"/>
      <c r="BO74" s="378"/>
      <c r="BP74" s="378"/>
      <c r="BQ74" s="378"/>
      <c r="BR74" s="378"/>
      <c r="BS74" s="378"/>
      <c r="BT74" s="378"/>
      <c r="BU74" s="378"/>
      <c r="BV74" s="378"/>
      <c r="BW74" s="378"/>
      <c r="BX74" s="378"/>
      <c r="BY74" s="378"/>
      <c r="BZ74" s="378"/>
      <c r="CA74" s="378"/>
      <c r="CB74" s="378"/>
      <c r="CC74" s="378"/>
      <c r="CD74" s="378"/>
      <c r="CE74" s="378"/>
      <c r="CF74" s="378"/>
      <c r="CG74" s="378"/>
      <c r="CH74" s="378"/>
      <c r="CI74" s="378"/>
      <c r="CJ74" s="378"/>
    </row>
    <row r="75" spans="1:88" x14ac:dyDescent="0.25">
      <c r="A75" s="427"/>
      <c r="B75" s="852" t="s">
        <v>635</v>
      </c>
      <c r="C75" s="853"/>
      <c r="D75" s="853"/>
      <c r="E75" s="853"/>
      <c r="F75" s="853"/>
      <c r="G75" s="1457" t="str">
        <f>IF('3 INDICADORES'!G375="x","sim","não")</f>
        <v>não</v>
      </c>
      <c r="H75" s="1441"/>
      <c r="J75" s="427"/>
      <c r="K75" s="431"/>
      <c r="L75" s="427"/>
      <c r="M75" s="427"/>
      <c r="N75" s="427"/>
      <c r="O75" s="427"/>
      <c r="P75" s="427"/>
      <c r="Q75" s="427"/>
      <c r="R75" s="378"/>
      <c r="S75" s="378"/>
      <c r="T75" s="378"/>
      <c r="U75" s="378"/>
      <c r="V75" s="378"/>
      <c r="W75" s="378"/>
      <c r="X75" s="378"/>
      <c r="Y75" s="378"/>
      <c r="Z75" s="378"/>
      <c r="AA75" s="378"/>
      <c r="AB75" s="378"/>
      <c r="AC75" s="378"/>
      <c r="AD75" s="378"/>
      <c r="AE75" s="378"/>
      <c r="AF75" s="378"/>
      <c r="AG75" s="378"/>
      <c r="AH75" s="378"/>
      <c r="AI75" s="378"/>
      <c r="AJ75" s="378"/>
      <c r="AK75" s="378"/>
      <c r="AL75" s="378"/>
      <c r="AM75" s="378"/>
      <c r="AN75" s="378"/>
      <c r="AO75" s="378"/>
      <c r="AP75" s="378"/>
      <c r="AQ75" s="378"/>
      <c r="AR75" s="378"/>
      <c r="AS75" s="378"/>
      <c r="AT75" s="378"/>
      <c r="AU75" s="378"/>
      <c r="AV75" s="378"/>
      <c r="AW75" s="378"/>
      <c r="AX75" s="378"/>
      <c r="AY75" s="378"/>
      <c r="AZ75" s="378"/>
      <c r="BA75" s="378"/>
      <c r="BB75" s="378"/>
      <c r="BC75" s="378"/>
      <c r="BD75" s="378"/>
      <c r="BE75" s="378"/>
      <c r="BF75" s="378"/>
      <c r="BG75" s="378"/>
      <c r="BH75" s="378"/>
      <c r="BI75" s="378"/>
      <c r="BJ75" s="378"/>
      <c r="BK75" s="378"/>
      <c r="BL75" s="378"/>
      <c r="BM75" s="378"/>
      <c r="BN75" s="378"/>
      <c r="BO75" s="378"/>
      <c r="BP75" s="378"/>
      <c r="BQ75" s="378"/>
      <c r="BR75" s="378"/>
      <c r="BS75" s="378"/>
      <c r="BT75" s="378"/>
      <c r="BU75" s="378"/>
      <c r="BV75" s="378"/>
      <c r="BW75" s="378"/>
      <c r="BX75" s="378"/>
      <c r="BY75" s="378"/>
      <c r="BZ75" s="378"/>
      <c r="CA75" s="378"/>
      <c r="CB75" s="378"/>
      <c r="CC75" s="378"/>
      <c r="CD75" s="378"/>
      <c r="CE75" s="378"/>
      <c r="CF75" s="378"/>
      <c r="CG75" s="378"/>
      <c r="CH75" s="378"/>
      <c r="CI75" s="378"/>
      <c r="CJ75" s="378"/>
    </row>
    <row r="76" spans="1:88" x14ac:dyDescent="0.25">
      <c r="A76" s="427"/>
      <c r="B76" s="855" t="s">
        <v>636</v>
      </c>
      <c r="C76" s="856"/>
      <c r="D76" s="856"/>
      <c r="E76" s="856"/>
      <c r="F76" s="856"/>
      <c r="G76" s="1458">
        <f>'1 QUESTIONÁRIO'!J218</f>
        <v>0</v>
      </c>
      <c r="H76" s="1441"/>
      <c r="J76" s="427"/>
      <c r="K76" s="431"/>
      <c r="L76" s="427"/>
      <c r="M76" s="427"/>
      <c r="N76" s="427"/>
      <c r="O76" s="427"/>
      <c r="P76" s="427"/>
      <c r="Q76" s="427"/>
      <c r="R76" s="378"/>
      <c r="S76" s="378"/>
      <c r="T76" s="378"/>
      <c r="U76" s="378"/>
      <c r="V76" s="378"/>
      <c r="W76" s="378"/>
      <c r="X76" s="378"/>
      <c r="Y76" s="378"/>
      <c r="Z76" s="378"/>
      <c r="AA76" s="378"/>
      <c r="AB76" s="378"/>
      <c r="AC76" s="378"/>
      <c r="AD76" s="378"/>
      <c r="AE76" s="378"/>
      <c r="AF76" s="378"/>
      <c r="AG76" s="378"/>
      <c r="AH76" s="378"/>
      <c r="AI76" s="378"/>
      <c r="AJ76" s="378"/>
      <c r="AK76" s="378"/>
      <c r="AL76" s="378"/>
      <c r="AM76" s="378"/>
      <c r="AN76" s="378"/>
      <c r="AO76" s="378"/>
      <c r="AP76" s="378"/>
      <c r="AQ76" s="378"/>
      <c r="AR76" s="378"/>
      <c r="AS76" s="378"/>
      <c r="AT76" s="378"/>
      <c r="AU76" s="378"/>
      <c r="AV76" s="378"/>
      <c r="AW76" s="378"/>
      <c r="AX76" s="378"/>
      <c r="AY76" s="378"/>
      <c r="AZ76" s="378"/>
      <c r="BA76" s="378"/>
      <c r="BB76" s="378"/>
      <c r="BC76" s="378"/>
      <c r="BD76" s="378"/>
      <c r="BE76" s="378"/>
      <c r="BF76" s="378"/>
      <c r="BG76" s="378"/>
      <c r="BH76" s="378"/>
      <c r="BI76" s="378"/>
      <c r="BJ76" s="378"/>
      <c r="BK76" s="378"/>
      <c r="BL76" s="378"/>
      <c r="BM76" s="378"/>
      <c r="BN76" s="378"/>
      <c r="BO76" s="378"/>
      <c r="BP76" s="378"/>
      <c r="BQ76" s="378"/>
      <c r="BR76" s="378"/>
      <c r="BS76" s="378"/>
      <c r="BT76" s="378"/>
      <c r="BU76" s="378"/>
      <c r="BV76" s="378"/>
      <c r="BW76" s="378"/>
      <c r="BX76" s="378"/>
      <c r="BY76" s="378"/>
      <c r="BZ76" s="378"/>
      <c r="CA76" s="378"/>
      <c r="CB76" s="378"/>
      <c r="CC76" s="378"/>
      <c r="CD76" s="378"/>
      <c r="CE76" s="378"/>
      <c r="CF76" s="378"/>
      <c r="CG76" s="378"/>
      <c r="CH76" s="378"/>
      <c r="CI76" s="378"/>
      <c r="CJ76" s="378"/>
    </row>
    <row r="77" spans="1:88" x14ac:dyDescent="0.25">
      <c r="A77" s="427"/>
      <c r="B77" s="857" t="s">
        <v>637</v>
      </c>
      <c r="C77" s="845"/>
      <c r="D77" s="845"/>
      <c r="E77" s="845"/>
      <c r="F77" s="845"/>
      <c r="G77" s="1459">
        <f>'1 QUESTIONÁRIO'!J212</f>
        <v>0</v>
      </c>
      <c r="H77" s="1441"/>
      <c r="J77" s="427"/>
      <c r="K77" s="431"/>
      <c r="L77" s="427"/>
      <c r="M77" s="427"/>
      <c r="N77" s="427"/>
      <c r="O77" s="427"/>
      <c r="P77" s="427"/>
      <c r="Q77" s="427"/>
      <c r="R77" s="378"/>
      <c r="S77" s="378"/>
      <c r="T77" s="378"/>
      <c r="U77" s="378"/>
      <c r="V77" s="378"/>
      <c r="W77" s="378"/>
      <c r="X77" s="378"/>
      <c r="Y77" s="378"/>
      <c r="Z77" s="378"/>
      <c r="AA77" s="378"/>
      <c r="AB77" s="378"/>
      <c r="AC77" s="378"/>
      <c r="AD77" s="378"/>
      <c r="AE77" s="378"/>
      <c r="AF77" s="378"/>
      <c r="AG77" s="378"/>
      <c r="AH77" s="378"/>
      <c r="AI77" s="378"/>
      <c r="AJ77" s="378"/>
      <c r="AK77" s="378"/>
      <c r="AL77" s="378"/>
      <c r="AM77" s="378"/>
      <c r="AN77" s="378"/>
      <c r="AO77" s="378"/>
      <c r="AP77" s="378"/>
      <c r="AQ77" s="378"/>
      <c r="AR77" s="378"/>
      <c r="AS77" s="378"/>
      <c r="AT77" s="378"/>
      <c r="AU77" s="378"/>
      <c r="AV77" s="378"/>
      <c r="AW77" s="378"/>
      <c r="AX77" s="378"/>
      <c r="AY77" s="378"/>
      <c r="AZ77" s="378"/>
      <c r="BA77" s="378"/>
      <c r="BB77" s="378"/>
      <c r="BC77" s="378"/>
      <c r="BD77" s="378"/>
      <c r="BE77" s="378"/>
      <c r="BF77" s="378"/>
      <c r="BG77" s="378"/>
      <c r="BH77" s="378"/>
      <c r="BI77" s="378"/>
      <c r="BJ77" s="378"/>
      <c r="BK77" s="378"/>
      <c r="BL77" s="378"/>
      <c r="BM77" s="378"/>
      <c r="BN77" s="378"/>
      <c r="BO77" s="378"/>
      <c r="BP77" s="378"/>
      <c r="BQ77" s="378"/>
      <c r="BR77" s="378"/>
      <c r="BS77" s="378"/>
      <c r="BT77" s="378"/>
      <c r="BU77" s="378"/>
      <c r="BV77" s="378"/>
      <c r="BW77" s="378"/>
      <c r="BX77" s="378"/>
      <c r="BY77" s="378"/>
      <c r="BZ77" s="378"/>
      <c r="CA77" s="378"/>
      <c r="CB77" s="378"/>
      <c r="CC77" s="378"/>
      <c r="CD77" s="378"/>
      <c r="CE77" s="378"/>
      <c r="CF77" s="378"/>
      <c r="CG77" s="378"/>
      <c r="CH77" s="378"/>
      <c r="CI77" s="378"/>
      <c r="CJ77" s="378"/>
    </row>
    <row r="78" spans="1:88" x14ac:dyDescent="0.25">
      <c r="A78" s="427"/>
      <c r="B78" s="857" t="s">
        <v>638</v>
      </c>
      <c r="C78" s="845"/>
      <c r="D78" s="845"/>
      <c r="E78" s="845"/>
      <c r="F78" s="845"/>
      <c r="G78" s="1459">
        <f>'1 QUESTIONÁRIO'!J214</f>
        <v>0</v>
      </c>
      <c r="H78" s="1441"/>
      <c r="J78" s="427"/>
      <c r="L78" s="427"/>
      <c r="M78" s="427"/>
      <c r="N78" s="427"/>
      <c r="O78" s="427"/>
      <c r="P78" s="427"/>
      <c r="Q78" s="427"/>
      <c r="R78" s="378"/>
      <c r="S78" s="378"/>
      <c r="T78" s="378"/>
      <c r="U78" s="378"/>
      <c r="V78" s="378"/>
      <c r="W78" s="378"/>
      <c r="X78" s="378"/>
      <c r="Y78" s="378"/>
      <c r="Z78" s="378"/>
      <c r="AA78" s="378"/>
      <c r="AB78" s="378"/>
      <c r="AC78" s="378"/>
      <c r="AD78" s="378"/>
      <c r="AE78" s="378"/>
      <c r="AF78" s="378"/>
      <c r="AG78" s="378"/>
      <c r="AH78" s="378"/>
      <c r="AI78" s="378"/>
      <c r="AJ78" s="378"/>
      <c r="AK78" s="378"/>
      <c r="AL78" s="378"/>
      <c r="AM78" s="378"/>
      <c r="AN78" s="378"/>
      <c r="AO78" s="378"/>
      <c r="AP78" s="378"/>
      <c r="AQ78" s="378"/>
      <c r="AR78" s="378"/>
      <c r="AS78" s="378"/>
      <c r="AT78" s="378"/>
      <c r="AU78" s="378"/>
      <c r="AV78" s="378"/>
      <c r="AW78" s="378"/>
      <c r="AX78" s="378"/>
      <c r="AY78" s="378"/>
      <c r="AZ78" s="378"/>
      <c r="BA78" s="378"/>
      <c r="BB78" s="378"/>
      <c r="BC78" s="378"/>
      <c r="BD78" s="378"/>
      <c r="BE78" s="378"/>
      <c r="BF78" s="378"/>
      <c r="BG78" s="378"/>
      <c r="BH78" s="378"/>
      <c r="BI78" s="378"/>
      <c r="BJ78" s="378"/>
      <c r="BK78" s="378"/>
      <c r="BL78" s="378"/>
      <c r="BM78" s="378"/>
      <c r="BN78" s="378"/>
      <c r="BO78" s="378"/>
      <c r="BP78" s="378"/>
      <c r="BQ78" s="378"/>
      <c r="BR78" s="378"/>
      <c r="BS78" s="378"/>
      <c r="BT78" s="378"/>
      <c r="BU78" s="378"/>
      <c r="BV78" s="378"/>
      <c r="BW78" s="378"/>
      <c r="BX78" s="378"/>
      <c r="BY78" s="378"/>
      <c r="BZ78" s="378"/>
      <c r="CA78" s="378"/>
      <c r="CB78" s="378"/>
      <c r="CC78" s="378"/>
      <c r="CD78" s="378"/>
      <c r="CE78" s="378"/>
      <c r="CF78" s="378"/>
      <c r="CG78" s="378"/>
      <c r="CH78" s="378"/>
      <c r="CI78" s="378"/>
      <c r="CJ78" s="378"/>
    </row>
    <row r="79" spans="1:88" x14ac:dyDescent="0.25">
      <c r="A79" s="427"/>
      <c r="B79" s="858" t="s">
        <v>639</v>
      </c>
      <c r="C79" s="859"/>
      <c r="D79" s="859"/>
      <c r="E79" s="859"/>
      <c r="F79" s="859"/>
      <c r="G79" s="1460">
        <f>'1 QUESTIONÁRIO'!J216</f>
        <v>0</v>
      </c>
      <c r="H79" s="1441"/>
      <c r="J79" s="430"/>
      <c r="L79" s="427"/>
      <c r="M79" s="427"/>
      <c r="N79" s="427"/>
      <c r="O79" s="427"/>
      <c r="P79" s="427"/>
      <c r="Q79" s="427"/>
      <c r="R79" s="378"/>
      <c r="S79" s="378"/>
      <c r="T79" s="378"/>
      <c r="U79" s="378"/>
      <c r="V79" s="378"/>
      <c r="W79" s="378"/>
      <c r="X79" s="378"/>
      <c r="Y79" s="378"/>
      <c r="Z79" s="378"/>
      <c r="AA79" s="378"/>
      <c r="AB79" s="378"/>
      <c r="AC79" s="378"/>
      <c r="AD79" s="378"/>
      <c r="AE79" s="378"/>
      <c r="AF79" s="378"/>
      <c r="AG79" s="378"/>
      <c r="AH79" s="378"/>
      <c r="AI79" s="378"/>
      <c r="AJ79" s="378"/>
      <c r="AK79" s="378"/>
      <c r="AL79" s="378"/>
      <c r="AM79" s="378"/>
      <c r="AN79" s="378"/>
      <c r="AO79" s="378"/>
      <c r="AP79" s="378"/>
      <c r="AQ79" s="378"/>
      <c r="AR79" s="378"/>
      <c r="AS79" s="378"/>
      <c r="AT79" s="378"/>
      <c r="AU79" s="378"/>
      <c r="AV79" s="378"/>
      <c r="AW79" s="378"/>
      <c r="AX79" s="378"/>
      <c r="AY79" s="378"/>
      <c r="AZ79" s="378"/>
      <c r="BA79" s="378"/>
      <c r="BB79" s="378"/>
      <c r="BC79" s="378"/>
      <c r="BD79" s="378"/>
      <c r="BE79" s="378"/>
      <c r="BF79" s="378"/>
      <c r="BG79" s="378"/>
      <c r="BH79" s="378"/>
      <c r="BI79" s="378"/>
      <c r="BJ79" s="378"/>
      <c r="BK79" s="378"/>
      <c r="BL79" s="378"/>
      <c r="BM79" s="378"/>
      <c r="BN79" s="378"/>
      <c r="BO79" s="378"/>
      <c r="BP79" s="378"/>
      <c r="BQ79" s="378"/>
      <c r="BR79" s="378"/>
      <c r="BS79" s="378"/>
      <c r="BT79" s="378"/>
      <c r="BU79" s="378"/>
      <c r="BV79" s="378"/>
      <c r="BW79" s="378"/>
      <c r="BX79" s="378"/>
      <c r="BY79" s="378"/>
      <c r="BZ79" s="378"/>
      <c r="CA79" s="378"/>
      <c r="CB79" s="378"/>
      <c r="CC79" s="378"/>
      <c r="CD79" s="378"/>
      <c r="CE79" s="378"/>
      <c r="CF79" s="378"/>
      <c r="CG79" s="378"/>
      <c r="CH79" s="378"/>
      <c r="CI79" s="378"/>
      <c r="CJ79" s="378"/>
    </row>
    <row r="80" spans="1:88" ht="15.75" customHeight="1" x14ac:dyDescent="0.25">
      <c r="A80" s="427"/>
      <c r="B80" s="852" t="s">
        <v>640</v>
      </c>
      <c r="C80" s="853"/>
      <c r="D80" s="853"/>
      <c r="E80" s="853"/>
      <c r="F80" s="853"/>
      <c r="G80" s="1461">
        <f>+'1 QUESTIONÁRIO'!E199</f>
        <v>0</v>
      </c>
      <c r="H80" s="1441"/>
      <c r="J80" s="430"/>
      <c r="L80" s="427"/>
      <c r="M80" s="427"/>
      <c r="N80" s="427"/>
      <c r="O80" s="427"/>
      <c r="P80" s="427"/>
      <c r="Q80" s="427"/>
      <c r="R80" s="378"/>
      <c r="S80" s="378"/>
      <c r="T80" s="378"/>
      <c r="U80" s="378"/>
      <c r="V80" s="378"/>
      <c r="W80" s="378"/>
      <c r="X80" s="378"/>
      <c r="Y80" s="378"/>
      <c r="Z80" s="378"/>
      <c r="AA80" s="378"/>
      <c r="AB80" s="378"/>
      <c r="AC80" s="378"/>
      <c r="AD80" s="378"/>
      <c r="AE80" s="378"/>
      <c r="AF80" s="378"/>
      <c r="AG80" s="378"/>
      <c r="AH80" s="378"/>
      <c r="AI80" s="378"/>
      <c r="AJ80" s="378"/>
      <c r="AK80" s="378"/>
      <c r="AL80" s="378"/>
      <c r="AM80" s="378"/>
      <c r="AN80" s="378"/>
      <c r="AO80" s="378"/>
      <c r="AP80" s="378"/>
      <c r="AQ80" s="378"/>
      <c r="AR80" s="378"/>
      <c r="AS80" s="378"/>
      <c r="AT80" s="378"/>
      <c r="AU80" s="378"/>
      <c r="AV80" s="378"/>
      <c r="AW80" s="378"/>
      <c r="AX80" s="378"/>
      <c r="AY80" s="378"/>
      <c r="AZ80" s="378"/>
      <c r="BA80" s="378"/>
      <c r="BB80" s="378"/>
      <c r="BC80" s="378"/>
      <c r="BD80" s="378"/>
      <c r="BE80" s="378"/>
      <c r="BF80" s="378"/>
      <c r="BG80" s="378"/>
      <c r="BH80" s="378"/>
      <c r="BI80" s="378"/>
      <c r="BJ80" s="378"/>
      <c r="BK80" s="378"/>
      <c r="BL80" s="378"/>
      <c r="BM80" s="378"/>
      <c r="BN80" s="378"/>
      <c r="BO80" s="378"/>
      <c r="BP80" s="378"/>
      <c r="BQ80" s="378"/>
      <c r="BR80" s="378"/>
      <c r="BS80" s="378"/>
      <c r="BT80" s="378"/>
      <c r="BU80" s="378"/>
      <c r="BV80" s="378"/>
      <c r="BW80" s="378"/>
      <c r="BX80" s="378"/>
      <c r="BY80" s="378"/>
      <c r="BZ80" s="378"/>
      <c r="CA80" s="378"/>
      <c r="CB80" s="378"/>
      <c r="CC80" s="378"/>
      <c r="CD80" s="378"/>
      <c r="CE80" s="378"/>
      <c r="CF80" s="378"/>
      <c r="CG80" s="378"/>
      <c r="CH80" s="378"/>
      <c r="CI80" s="378"/>
      <c r="CJ80" s="378"/>
    </row>
    <row r="81" spans="1:88" x14ac:dyDescent="0.25">
      <c r="A81" s="427"/>
      <c r="B81" s="852" t="s">
        <v>641</v>
      </c>
      <c r="C81" s="853"/>
      <c r="D81" s="853"/>
      <c r="E81" s="853"/>
      <c r="F81" s="853"/>
      <c r="G81" s="1453" t="str">
        <f>IF('1 QUESTIONÁRIO'!I224="x","sim","não")</f>
        <v>não</v>
      </c>
      <c r="H81" s="1441"/>
      <c r="J81" s="430"/>
      <c r="L81" s="427"/>
      <c r="M81" s="427"/>
      <c r="N81" s="427"/>
      <c r="O81" s="427"/>
      <c r="P81" s="427"/>
      <c r="Q81" s="427"/>
      <c r="R81" s="378"/>
      <c r="S81" s="378"/>
      <c r="T81" s="378"/>
      <c r="U81" s="378"/>
      <c r="V81" s="378"/>
      <c r="W81" s="378"/>
      <c r="X81" s="378"/>
      <c r="Y81" s="378"/>
      <c r="Z81" s="378"/>
      <c r="AA81" s="378"/>
      <c r="AB81" s="378"/>
      <c r="AC81" s="378"/>
      <c r="AD81" s="378"/>
      <c r="AE81" s="378"/>
      <c r="AF81" s="378"/>
      <c r="AG81" s="378"/>
      <c r="AH81" s="378"/>
      <c r="AI81" s="378"/>
      <c r="AJ81" s="378"/>
      <c r="AK81" s="378"/>
      <c r="AL81" s="378"/>
      <c r="AM81" s="378"/>
      <c r="AN81" s="378"/>
      <c r="AO81" s="378"/>
      <c r="AP81" s="378"/>
      <c r="AQ81" s="378"/>
      <c r="AR81" s="378"/>
      <c r="AS81" s="378"/>
      <c r="AT81" s="378"/>
      <c r="AU81" s="378"/>
      <c r="AV81" s="378"/>
      <c r="AW81" s="378"/>
      <c r="AX81" s="378"/>
      <c r="AY81" s="378"/>
      <c r="AZ81" s="378"/>
      <c r="BA81" s="378"/>
      <c r="BB81" s="378"/>
      <c r="BC81" s="378"/>
      <c r="BD81" s="378"/>
      <c r="BE81" s="378"/>
      <c r="BF81" s="378"/>
      <c r="BG81" s="378"/>
      <c r="BH81" s="378"/>
      <c r="BI81" s="378"/>
      <c r="BJ81" s="378"/>
      <c r="BK81" s="378"/>
      <c r="BL81" s="378"/>
      <c r="BM81" s="378"/>
      <c r="BN81" s="378"/>
      <c r="BO81" s="378"/>
      <c r="BP81" s="378"/>
      <c r="BQ81" s="378"/>
      <c r="BR81" s="378"/>
      <c r="BS81" s="378"/>
      <c r="BT81" s="378"/>
      <c r="BU81" s="378"/>
      <c r="BV81" s="378"/>
      <c r="BW81" s="378"/>
      <c r="BX81" s="378"/>
      <c r="BY81" s="378"/>
      <c r="BZ81" s="378"/>
      <c r="CA81" s="378"/>
      <c r="CB81" s="378"/>
      <c r="CC81" s="378"/>
      <c r="CD81" s="378"/>
      <c r="CE81" s="378"/>
      <c r="CF81" s="378"/>
      <c r="CG81" s="378"/>
      <c r="CH81" s="378"/>
      <c r="CI81" s="378"/>
      <c r="CJ81" s="378"/>
    </row>
    <row r="82" spans="1:88" x14ac:dyDescent="0.25">
      <c r="A82" s="427"/>
      <c r="G82" s="1441"/>
      <c r="H82" s="1441"/>
      <c r="I82" s="4"/>
      <c r="J82" s="430"/>
      <c r="L82" s="427"/>
      <c r="M82" s="427"/>
      <c r="N82" s="427"/>
      <c r="O82" s="427"/>
      <c r="P82" s="427"/>
      <c r="Q82" s="427"/>
      <c r="R82" s="378"/>
      <c r="S82" s="378"/>
      <c r="T82" s="378"/>
      <c r="U82" s="378"/>
      <c r="V82" s="378"/>
      <c r="W82" s="378"/>
      <c r="X82" s="378"/>
      <c r="Y82" s="378"/>
      <c r="Z82" s="378"/>
      <c r="AA82" s="378"/>
      <c r="AB82" s="378"/>
      <c r="AC82" s="378"/>
      <c r="AD82" s="378"/>
      <c r="AE82" s="378"/>
      <c r="AF82" s="378"/>
      <c r="AG82" s="378"/>
      <c r="AH82" s="378"/>
      <c r="AI82" s="378"/>
      <c r="AJ82" s="378"/>
      <c r="AK82" s="378"/>
      <c r="AL82" s="378"/>
      <c r="AM82" s="378"/>
      <c r="AN82" s="378"/>
      <c r="AO82" s="378"/>
      <c r="AP82" s="378"/>
      <c r="AQ82" s="378"/>
      <c r="AR82" s="378"/>
      <c r="AS82" s="378"/>
      <c r="AT82" s="378"/>
      <c r="AU82" s="378"/>
      <c r="AV82" s="378"/>
      <c r="AW82" s="378"/>
      <c r="AX82" s="378"/>
      <c r="AY82" s="378"/>
      <c r="AZ82" s="378"/>
      <c r="BA82" s="378"/>
      <c r="BB82" s="378"/>
      <c r="BC82" s="378"/>
      <c r="BD82" s="378"/>
      <c r="BE82" s="378"/>
      <c r="BF82" s="378"/>
      <c r="BG82" s="378"/>
      <c r="BH82" s="378"/>
      <c r="BI82" s="378"/>
      <c r="BJ82" s="378"/>
      <c r="BK82" s="378"/>
      <c r="BL82" s="378"/>
      <c r="BM82" s="378"/>
      <c r="BN82" s="378"/>
      <c r="BO82" s="378"/>
      <c r="BP82" s="378"/>
      <c r="BQ82" s="378"/>
      <c r="BR82" s="378"/>
      <c r="BS82" s="378"/>
      <c r="BT82" s="378"/>
      <c r="BU82" s="378"/>
      <c r="BV82" s="378"/>
      <c r="BW82" s="378"/>
      <c r="BX82" s="378"/>
      <c r="BY82" s="378"/>
      <c r="BZ82" s="378"/>
      <c r="CA82" s="378"/>
      <c r="CB82" s="378"/>
      <c r="CC82" s="378"/>
      <c r="CD82" s="378"/>
      <c r="CE82" s="378"/>
      <c r="CF82" s="378"/>
      <c r="CG82" s="378"/>
      <c r="CH82" s="378"/>
      <c r="CI82" s="378"/>
      <c r="CJ82" s="378"/>
    </row>
    <row r="83" spans="1:88" x14ac:dyDescent="0.25">
      <c r="A83" s="427"/>
      <c r="G83" s="1441"/>
      <c r="H83" s="1441"/>
      <c r="I83" s="4"/>
      <c r="J83" s="430"/>
      <c r="L83" s="427"/>
      <c r="M83" s="427"/>
      <c r="N83" s="427"/>
      <c r="O83" s="427"/>
      <c r="P83" s="427"/>
      <c r="Q83" s="427"/>
      <c r="R83" s="378"/>
      <c r="S83" s="378"/>
      <c r="T83" s="378"/>
      <c r="U83" s="378"/>
      <c r="V83" s="378"/>
      <c r="W83" s="378"/>
      <c r="X83" s="378"/>
      <c r="Y83" s="378"/>
      <c r="Z83" s="378"/>
      <c r="AA83" s="378"/>
      <c r="AB83" s="378"/>
      <c r="AC83" s="378"/>
      <c r="AD83" s="378"/>
      <c r="AE83" s="378"/>
      <c r="AF83" s="378"/>
      <c r="AG83" s="378"/>
      <c r="AH83" s="378"/>
      <c r="AI83" s="378"/>
      <c r="AJ83" s="378"/>
      <c r="AK83" s="378"/>
      <c r="AL83" s="378"/>
      <c r="AM83" s="378"/>
      <c r="AN83" s="378"/>
      <c r="AO83" s="378"/>
      <c r="AP83" s="378"/>
      <c r="AQ83" s="378"/>
      <c r="AR83" s="378"/>
      <c r="AS83" s="378"/>
      <c r="AT83" s="378"/>
      <c r="AU83" s="378"/>
      <c r="AV83" s="378"/>
      <c r="AW83" s="378"/>
      <c r="AX83" s="378"/>
      <c r="AY83" s="378"/>
      <c r="AZ83" s="378"/>
      <c r="BA83" s="378"/>
      <c r="BB83" s="378"/>
      <c r="BC83" s="378"/>
      <c r="BD83" s="378"/>
      <c r="BE83" s="378"/>
      <c r="BF83" s="378"/>
      <c r="BG83" s="378"/>
      <c r="BH83" s="378"/>
      <c r="BI83" s="378"/>
      <c r="BJ83" s="378"/>
      <c r="BK83" s="378"/>
      <c r="BL83" s="378"/>
      <c r="BM83" s="378"/>
      <c r="BN83" s="378"/>
      <c r="BO83" s="378"/>
      <c r="BP83" s="378"/>
      <c r="BQ83" s="378"/>
      <c r="BR83" s="378"/>
      <c r="BS83" s="378"/>
      <c r="BT83" s="378"/>
      <c r="BU83" s="378"/>
      <c r="BV83" s="378"/>
      <c r="BW83" s="378"/>
      <c r="BX83" s="378"/>
      <c r="BY83" s="378"/>
      <c r="BZ83" s="378"/>
      <c r="CA83" s="378"/>
      <c r="CB83" s="378"/>
      <c r="CC83" s="378"/>
      <c r="CD83" s="378"/>
      <c r="CE83" s="378"/>
      <c r="CF83" s="378"/>
      <c r="CG83" s="378"/>
      <c r="CH83" s="378"/>
      <c r="CI83" s="378"/>
      <c r="CJ83" s="378"/>
    </row>
    <row r="84" spans="1:88" x14ac:dyDescent="0.25">
      <c r="A84" s="427"/>
      <c r="B84" s="980"/>
      <c r="C84" s="980"/>
      <c r="D84" s="980"/>
      <c r="E84" s="980"/>
      <c r="F84" s="980"/>
      <c r="G84" s="1462"/>
      <c r="H84" s="1441"/>
      <c r="I84" s="4"/>
      <c r="J84" s="430"/>
      <c r="L84" s="427"/>
      <c r="M84" s="427"/>
      <c r="N84" s="427"/>
      <c r="O84" s="427"/>
      <c r="P84" s="427"/>
      <c r="Q84" s="427"/>
      <c r="R84" s="378"/>
      <c r="S84" s="378"/>
      <c r="T84" s="378"/>
      <c r="U84" s="378"/>
      <c r="V84" s="378"/>
      <c r="W84" s="378"/>
      <c r="X84" s="378"/>
      <c r="Y84" s="378"/>
      <c r="Z84" s="378"/>
      <c r="AA84" s="378"/>
      <c r="AB84" s="378"/>
      <c r="AC84" s="378"/>
      <c r="AD84" s="378"/>
      <c r="AE84" s="378"/>
      <c r="AF84" s="378"/>
      <c r="AG84" s="378"/>
      <c r="AH84" s="378"/>
      <c r="AI84" s="378"/>
      <c r="AJ84" s="378"/>
      <c r="AK84" s="378"/>
      <c r="AL84" s="378"/>
      <c r="AM84" s="378"/>
      <c r="AN84" s="378"/>
      <c r="AO84" s="378"/>
      <c r="AP84" s="378"/>
      <c r="AQ84" s="378"/>
      <c r="AR84" s="378"/>
      <c r="AS84" s="378"/>
      <c r="AT84" s="378"/>
      <c r="AU84" s="378"/>
      <c r="AV84" s="378"/>
      <c r="AW84" s="378"/>
      <c r="AX84" s="378"/>
      <c r="AY84" s="378"/>
      <c r="AZ84" s="378"/>
      <c r="BA84" s="378"/>
      <c r="BB84" s="378"/>
      <c r="BC84" s="378"/>
      <c r="BD84" s="378"/>
      <c r="BE84" s="378"/>
      <c r="BF84" s="378"/>
      <c r="BG84" s="378"/>
      <c r="BH84" s="378"/>
      <c r="BI84" s="378"/>
      <c r="BJ84" s="378"/>
      <c r="BK84" s="378"/>
      <c r="BL84" s="378"/>
      <c r="BM84" s="378"/>
      <c r="BN84" s="378"/>
      <c r="BO84" s="378"/>
      <c r="BP84" s="378"/>
      <c r="BQ84" s="378"/>
      <c r="BR84" s="378"/>
      <c r="BS84" s="378"/>
      <c r="BT84" s="378"/>
      <c r="BU84" s="378"/>
      <c r="BV84" s="378"/>
      <c r="BW84" s="378"/>
      <c r="BX84" s="378"/>
      <c r="BY84" s="378"/>
      <c r="BZ84" s="378"/>
      <c r="CA84" s="378"/>
      <c r="CB84" s="378"/>
      <c r="CC84" s="378"/>
      <c r="CD84" s="378"/>
      <c r="CE84" s="378"/>
      <c r="CF84" s="378"/>
      <c r="CG84" s="378"/>
      <c r="CH84" s="378"/>
      <c r="CI84" s="378"/>
      <c r="CJ84" s="378"/>
    </row>
    <row r="85" spans="1:88" ht="15.75" customHeight="1" x14ac:dyDescent="0.25">
      <c r="A85" s="427"/>
      <c r="B85" s="427"/>
      <c r="C85" s="427"/>
      <c r="D85" s="427"/>
      <c r="E85" s="427"/>
      <c r="F85" s="427"/>
      <c r="G85" s="1463" t="s">
        <v>642</v>
      </c>
      <c r="H85" s="1463"/>
      <c r="I85" s="1263" t="s">
        <v>643</v>
      </c>
      <c r="J85" s="430"/>
      <c r="L85" s="427"/>
      <c r="M85" s="427"/>
      <c r="N85" s="427"/>
      <c r="O85" s="427"/>
      <c r="P85" s="427"/>
      <c r="Q85" s="427"/>
      <c r="R85" s="378"/>
      <c r="S85" s="378"/>
      <c r="T85" s="378"/>
      <c r="U85" s="378"/>
      <c r="V85" s="378"/>
      <c r="W85" s="378"/>
      <c r="X85" s="378"/>
      <c r="Y85" s="378"/>
      <c r="Z85" s="378"/>
      <c r="AA85" s="378"/>
      <c r="AB85" s="378"/>
      <c r="AC85" s="378"/>
      <c r="AD85" s="378"/>
      <c r="AE85" s="378"/>
      <c r="AF85" s="378"/>
      <c r="AG85" s="378"/>
      <c r="AH85" s="378"/>
      <c r="AI85" s="378"/>
      <c r="AJ85" s="378"/>
      <c r="AK85" s="378"/>
      <c r="AL85" s="378"/>
      <c r="AM85" s="378"/>
      <c r="AN85" s="378"/>
      <c r="AO85" s="378"/>
      <c r="AP85" s="378"/>
      <c r="AQ85" s="378"/>
      <c r="AR85" s="378"/>
      <c r="AS85" s="378"/>
      <c r="AT85" s="378"/>
      <c r="AU85" s="378"/>
      <c r="AV85" s="378"/>
      <c r="AW85" s="378"/>
      <c r="AX85" s="378"/>
      <c r="AY85" s="378"/>
      <c r="AZ85" s="378"/>
      <c r="BA85" s="378"/>
      <c r="BB85" s="378"/>
      <c r="BC85" s="378"/>
      <c r="BD85" s="378"/>
      <c r="BE85" s="378"/>
      <c r="BF85" s="378"/>
      <c r="BG85" s="378"/>
      <c r="BH85" s="378"/>
      <c r="BI85" s="378"/>
      <c r="BJ85" s="378"/>
      <c r="BK85" s="378"/>
      <c r="BL85" s="378"/>
      <c r="BM85" s="378"/>
      <c r="BN85" s="378"/>
      <c r="BO85" s="378"/>
      <c r="BP85" s="378"/>
      <c r="BQ85" s="378"/>
      <c r="BR85" s="378"/>
      <c r="BS85" s="378"/>
      <c r="BT85" s="378"/>
      <c r="BU85" s="378"/>
      <c r="BV85" s="378"/>
      <c r="BW85" s="378"/>
      <c r="BX85" s="378"/>
      <c r="BY85" s="378"/>
      <c r="BZ85" s="378"/>
      <c r="CA85" s="378"/>
      <c r="CB85" s="378"/>
      <c r="CC85" s="378"/>
      <c r="CD85" s="378"/>
      <c r="CE85" s="378"/>
      <c r="CF85" s="378"/>
      <c r="CG85" s="378"/>
      <c r="CH85" s="378"/>
      <c r="CI85" s="378"/>
      <c r="CJ85" s="378"/>
    </row>
    <row r="86" spans="1:88" ht="15.75" customHeight="1" x14ac:dyDescent="0.25">
      <c r="A86" s="1944" t="s">
        <v>644</v>
      </c>
      <c r="B86" s="793" t="s">
        <v>645</v>
      </c>
      <c r="C86" s="794"/>
      <c r="D86" s="794"/>
      <c r="E86" s="794"/>
      <c r="F86" s="795"/>
      <c r="G86" s="1464">
        <f>SUM('3 INDICADORES'!B182:E182)</f>
        <v>0</v>
      </c>
      <c r="H86" s="1481">
        <v>0.7</v>
      </c>
      <c r="I86" s="1485">
        <f>+'3 INDICADORES'!C184</f>
        <v>0</v>
      </c>
      <c r="J86" s="430">
        <v>0.7</v>
      </c>
      <c r="L86" s="427"/>
      <c r="M86" s="427"/>
      <c r="N86" s="427"/>
      <c r="O86" s="427"/>
      <c r="P86" s="427"/>
      <c r="Q86" s="427"/>
      <c r="R86" s="378"/>
      <c r="S86" s="378"/>
      <c r="T86" s="378"/>
      <c r="U86" s="378"/>
      <c r="V86" s="378"/>
      <c r="W86" s="378"/>
      <c r="X86" s="378"/>
      <c r="Y86" s="378"/>
      <c r="Z86" s="378"/>
      <c r="AA86" s="378"/>
      <c r="AB86" s="378"/>
      <c r="AC86" s="378"/>
      <c r="AD86" s="378"/>
      <c r="AE86" s="378"/>
      <c r="AF86" s="378"/>
      <c r="AG86" s="378"/>
      <c r="AH86" s="378"/>
      <c r="AI86" s="378"/>
      <c r="AJ86" s="378"/>
      <c r="AK86" s="378"/>
      <c r="AL86" s="378"/>
      <c r="AM86" s="378"/>
      <c r="AN86" s="378"/>
      <c r="AO86" s="378"/>
      <c r="AP86" s="378"/>
      <c r="AQ86" s="378"/>
      <c r="AR86" s="378"/>
      <c r="AS86" s="378"/>
      <c r="AT86" s="378"/>
      <c r="AU86" s="378"/>
      <c r="AV86" s="378"/>
      <c r="AW86" s="378"/>
      <c r="AX86" s="378"/>
      <c r="AY86" s="378"/>
      <c r="AZ86" s="378"/>
      <c r="BA86" s="378"/>
      <c r="BB86" s="378"/>
      <c r="BC86" s="378"/>
      <c r="BD86" s="378"/>
      <c r="BE86" s="378"/>
      <c r="BF86" s="378"/>
      <c r="BG86" s="378"/>
      <c r="BH86" s="378"/>
      <c r="BI86" s="378"/>
      <c r="BJ86" s="378"/>
      <c r="BK86" s="378"/>
      <c r="BL86" s="378"/>
      <c r="BM86" s="378"/>
      <c r="BN86" s="378"/>
      <c r="BO86" s="378"/>
      <c r="BP86" s="378"/>
      <c r="BQ86" s="378"/>
      <c r="BR86" s="378"/>
      <c r="BS86" s="378"/>
      <c r="BT86" s="378"/>
      <c r="BU86" s="378"/>
      <c r="BV86" s="378"/>
      <c r="BW86" s="378"/>
      <c r="BX86" s="378"/>
      <c r="BY86" s="378"/>
      <c r="BZ86" s="378"/>
      <c r="CA86" s="378"/>
      <c r="CB86" s="378"/>
      <c r="CC86" s="378"/>
      <c r="CD86" s="378"/>
      <c r="CE86" s="378"/>
      <c r="CF86" s="378"/>
      <c r="CG86" s="378"/>
      <c r="CH86" s="378"/>
      <c r="CI86" s="378"/>
      <c r="CJ86" s="378"/>
    </row>
    <row r="87" spans="1:88" ht="15.75" customHeight="1" x14ac:dyDescent="0.25">
      <c r="A87" s="1945"/>
      <c r="B87" s="774" t="s">
        <v>646</v>
      </c>
      <c r="C87" s="775"/>
      <c r="D87" s="775"/>
      <c r="E87" s="775"/>
      <c r="F87" s="776"/>
      <c r="G87" s="1465">
        <f>SUM('3 INDICADORES'!B190:E190)</f>
        <v>0</v>
      </c>
      <c r="H87" s="1481">
        <v>0.7</v>
      </c>
      <c r="I87" s="1485">
        <f>+'3 INDICADORES'!C192</f>
        <v>0</v>
      </c>
      <c r="J87" s="430">
        <v>0.7</v>
      </c>
      <c r="L87" s="427"/>
      <c r="M87" s="427"/>
      <c r="N87" s="427"/>
      <c r="O87" s="427"/>
      <c r="P87" s="427"/>
      <c r="Q87" s="427"/>
      <c r="R87" s="378"/>
      <c r="S87" s="378"/>
      <c r="T87" s="378"/>
      <c r="U87" s="378"/>
      <c r="V87" s="378"/>
      <c r="W87" s="378"/>
      <c r="X87" s="378"/>
      <c r="Y87" s="378"/>
      <c r="Z87" s="378"/>
      <c r="AA87" s="378"/>
      <c r="AB87" s="378"/>
      <c r="AC87" s="378"/>
      <c r="AD87" s="378"/>
      <c r="AE87" s="378"/>
      <c r="AF87" s="378"/>
      <c r="AG87" s="378"/>
      <c r="AH87" s="378"/>
      <c r="AI87" s="378"/>
      <c r="AJ87" s="378"/>
      <c r="AK87" s="378"/>
      <c r="AL87" s="378"/>
      <c r="AM87" s="378"/>
      <c r="AN87" s="378"/>
      <c r="AO87" s="378"/>
      <c r="AP87" s="378"/>
      <c r="AQ87" s="378"/>
      <c r="AR87" s="378"/>
      <c r="AS87" s="378"/>
      <c r="AT87" s="378"/>
      <c r="AU87" s="378"/>
      <c r="AV87" s="378"/>
      <c r="AW87" s="378"/>
      <c r="AX87" s="378"/>
      <c r="AY87" s="378"/>
      <c r="AZ87" s="378"/>
      <c r="BA87" s="378"/>
      <c r="BB87" s="378"/>
      <c r="BC87" s="378"/>
      <c r="BD87" s="378"/>
      <c r="BE87" s="378"/>
      <c r="BF87" s="378"/>
      <c r="BG87" s="378"/>
      <c r="BH87" s="378"/>
      <c r="BI87" s="378"/>
      <c r="BJ87" s="378"/>
      <c r="BK87" s="378"/>
      <c r="BL87" s="378"/>
      <c r="BM87" s="378"/>
      <c r="BN87" s="378"/>
      <c r="BO87" s="378"/>
      <c r="BP87" s="378"/>
      <c r="BQ87" s="378"/>
      <c r="BR87" s="378"/>
      <c r="BS87" s="378"/>
      <c r="BT87" s="378"/>
      <c r="BU87" s="378"/>
      <c r="BV87" s="378"/>
      <c r="BW87" s="378"/>
      <c r="BX87" s="378"/>
      <c r="BY87" s="378"/>
      <c r="BZ87" s="378"/>
      <c r="CA87" s="378"/>
      <c r="CB87" s="378"/>
      <c r="CC87" s="378"/>
      <c r="CD87" s="378"/>
      <c r="CE87" s="378"/>
      <c r="CF87" s="378"/>
      <c r="CG87" s="378"/>
      <c r="CH87" s="378"/>
      <c r="CI87" s="378"/>
      <c r="CJ87" s="378"/>
    </row>
    <row r="88" spans="1:88" x14ac:dyDescent="0.25">
      <c r="A88" s="1945"/>
      <c r="B88" s="793" t="s">
        <v>647</v>
      </c>
      <c r="C88" s="794"/>
      <c r="D88" s="794"/>
      <c r="E88" s="794"/>
      <c r="F88" s="795"/>
      <c r="G88" s="1464">
        <f>'3 INDICADORES'!C197</f>
        <v>0</v>
      </c>
      <c r="H88" s="1481">
        <v>0.7</v>
      </c>
      <c r="I88" s="1485">
        <f>+'3 INDICADORES'!D197</f>
        <v>0</v>
      </c>
      <c r="J88" s="430">
        <v>0.7</v>
      </c>
      <c r="L88" s="427"/>
      <c r="M88" s="427"/>
      <c r="N88" s="427"/>
      <c r="O88" s="427"/>
      <c r="P88" s="427"/>
      <c r="Q88" s="427"/>
      <c r="R88" s="378"/>
      <c r="S88" s="378"/>
      <c r="T88" s="378"/>
      <c r="U88" s="378"/>
      <c r="V88" s="378"/>
      <c r="W88" s="378"/>
      <c r="X88" s="378"/>
      <c r="Y88" s="378"/>
      <c r="Z88" s="378"/>
      <c r="AA88" s="378"/>
      <c r="AB88" s="378"/>
      <c r="AC88" s="378"/>
      <c r="AD88" s="378"/>
      <c r="AE88" s="378"/>
      <c r="AF88" s="378"/>
      <c r="AG88" s="378"/>
      <c r="AH88" s="378"/>
      <c r="AI88" s="378"/>
      <c r="AJ88" s="378"/>
      <c r="AK88" s="378"/>
      <c r="AL88" s="378"/>
      <c r="AM88" s="378"/>
      <c r="AN88" s="378"/>
      <c r="AO88" s="378"/>
      <c r="AP88" s="378"/>
      <c r="AQ88" s="378"/>
      <c r="AR88" s="378"/>
      <c r="AS88" s="378"/>
      <c r="AT88" s="378"/>
      <c r="AU88" s="378"/>
      <c r="AV88" s="378"/>
      <c r="AW88" s="378"/>
      <c r="AX88" s="378"/>
      <c r="AY88" s="378"/>
      <c r="AZ88" s="378"/>
      <c r="BA88" s="378"/>
      <c r="BB88" s="378"/>
      <c r="BC88" s="378"/>
      <c r="BD88" s="378"/>
      <c r="BE88" s="378"/>
      <c r="BF88" s="378"/>
      <c r="BG88" s="378"/>
      <c r="BH88" s="378"/>
      <c r="BI88" s="378"/>
      <c r="BJ88" s="378"/>
      <c r="BK88" s="378"/>
      <c r="BL88" s="378"/>
      <c r="BM88" s="378"/>
      <c r="BN88" s="378"/>
      <c r="BO88" s="378"/>
      <c r="BP88" s="378"/>
      <c r="BQ88" s="378"/>
      <c r="BR88" s="378"/>
      <c r="BS88" s="378"/>
      <c r="BT88" s="378"/>
      <c r="BU88" s="378"/>
      <c r="BV88" s="378"/>
      <c r="BW88" s="378"/>
      <c r="BX88" s="378"/>
      <c r="BY88" s="378"/>
      <c r="BZ88" s="378"/>
      <c r="CA88" s="378"/>
      <c r="CB88" s="378"/>
      <c r="CC88" s="378"/>
      <c r="CD88" s="378"/>
      <c r="CE88" s="378"/>
      <c r="CF88" s="378"/>
      <c r="CG88" s="378"/>
      <c r="CH88" s="378"/>
      <c r="CI88" s="378"/>
      <c r="CJ88" s="378"/>
    </row>
    <row r="89" spans="1:88" ht="15.75" customHeight="1" x14ac:dyDescent="0.25">
      <c r="A89" s="1945"/>
      <c r="B89" s="774" t="s">
        <v>648</v>
      </c>
      <c r="C89" s="775"/>
      <c r="D89" s="775"/>
      <c r="E89" s="775"/>
      <c r="F89" s="776"/>
      <c r="G89" s="1465">
        <f>'3 INDICADORES'!C204</f>
        <v>0</v>
      </c>
      <c r="H89" s="1481">
        <v>0.7</v>
      </c>
      <c r="I89" s="1485">
        <f>+'3 INDICADORES'!D204</f>
        <v>0</v>
      </c>
      <c r="J89" s="430">
        <v>0.7</v>
      </c>
      <c r="L89" s="427"/>
      <c r="M89" s="427"/>
      <c r="N89" s="427"/>
      <c r="O89" s="427"/>
      <c r="P89" s="427"/>
      <c r="Q89" s="427"/>
      <c r="R89" s="378"/>
      <c r="S89" s="378"/>
      <c r="T89" s="378"/>
      <c r="U89" s="378"/>
      <c r="V89" s="378"/>
      <c r="W89" s="378"/>
      <c r="X89" s="378"/>
      <c r="Y89" s="378"/>
      <c r="Z89" s="378"/>
      <c r="AA89" s="378"/>
      <c r="AB89" s="378"/>
      <c r="AC89" s="378"/>
      <c r="AD89" s="378"/>
      <c r="AE89" s="378"/>
      <c r="AF89" s="378"/>
      <c r="AG89" s="378"/>
      <c r="AH89" s="378"/>
      <c r="AI89" s="378"/>
      <c r="AJ89" s="378"/>
      <c r="AK89" s="378"/>
      <c r="AL89" s="378"/>
      <c r="AM89" s="378"/>
      <c r="AN89" s="378"/>
      <c r="AO89" s="378"/>
      <c r="AP89" s="378"/>
      <c r="AQ89" s="378"/>
      <c r="AR89" s="378"/>
      <c r="AS89" s="378"/>
      <c r="AT89" s="378"/>
      <c r="AU89" s="378"/>
      <c r="AV89" s="378"/>
      <c r="AW89" s="378"/>
      <c r="AX89" s="378"/>
      <c r="AY89" s="378"/>
      <c r="AZ89" s="378"/>
      <c r="BA89" s="378"/>
      <c r="BB89" s="378"/>
      <c r="BC89" s="378"/>
      <c r="BD89" s="378"/>
      <c r="BE89" s="378"/>
      <c r="BF89" s="378"/>
      <c r="BG89" s="378"/>
      <c r="BH89" s="378"/>
      <c r="BI89" s="378"/>
      <c r="BJ89" s="378"/>
      <c r="BK89" s="378"/>
      <c r="BL89" s="378"/>
      <c r="BM89" s="378"/>
      <c r="BN89" s="378"/>
      <c r="BO89" s="378"/>
      <c r="BP89" s="378"/>
      <c r="BQ89" s="378"/>
      <c r="BR89" s="378"/>
      <c r="BS89" s="378"/>
      <c r="BT89" s="378"/>
      <c r="BU89" s="378"/>
      <c r="BV89" s="378"/>
      <c r="BW89" s="378"/>
      <c r="BX89" s="378"/>
      <c r="BY89" s="378"/>
      <c r="BZ89" s="378"/>
      <c r="CA89" s="378"/>
      <c r="CB89" s="378"/>
      <c r="CC89" s="378"/>
      <c r="CD89" s="378"/>
      <c r="CE89" s="378"/>
      <c r="CF89" s="378"/>
      <c r="CG89" s="378"/>
      <c r="CH89" s="378"/>
      <c r="CI89" s="378"/>
      <c r="CJ89" s="378"/>
    </row>
    <row r="90" spans="1:88" ht="15.75" customHeight="1" x14ac:dyDescent="0.25">
      <c r="A90" s="1945"/>
      <c r="B90" s="793" t="s">
        <v>649</v>
      </c>
      <c r="C90" s="794"/>
      <c r="D90" s="794"/>
      <c r="E90" s="794"/>
      <c r="F90" s="795"/>
      <c r="G90" s="1464">
        <f>'3 INDICADORES'!C211</f>
        <v>0</v>
      </c>
      <c r="H90" s="1481">
        <v>0.7</v>
      </c>
      <c r="I90" s="1485">
        <f>+'3 INDICADORES'!D211</f>
        <v>0</v>
      </c>
      <c r="J90" s="430">
        <v>0.7</v>
      </c>
      <c r="L90" s="427"/>
      <c r="M90" s="427"/>
      <c r="N90" s="427"/>
      <c r="O90" s="427"/>
      <c r="P90" s="427"/>
      <c r="Q90" s="427"/>
      <c r="R90" s="378"/>
      <c r="S90" s="378"/>
      <c r="T90" s="378"/>
      <c r="U90" s="378"/>
      <c r="V90" s="378"/>
      <c r="W90" s="378"/>
      <c r="X90" s="378"/>
      <c r="Y90" s="378"/>
      <c r="Z90" s="378"/>
      <c r="AA90" s="378"/>
      <c r="AB90" s="378"/>
      <c r="AC90" s="378"/>
      <c r="AD90" s="378"/>
      <c r="AE90" s="378"/>
      <c r="AF90" s="378"/>
      <c r="AG90" s="378"/>
      <c r="AH90" s="378"/>
      <c r="AI90" s="378"/>
      <c r="AJ90" s="378"/>
      <c r="AK90" s="378"/>
      <c r="AL90" s="378"/>
      <c r="AM90" s="378"/>
      <c r="AN90" s="378"/>
      <c r="AO90" s="378"/>
      <c r="AP90" s="378"/>
      <c r="AQ90" s="378"/>
      <c r="AR90" s="378"/>
      <c r="AS90" s="378"/>
      <c r="AT90" s="378"/>
      <c r="AU90" s="378"/>
      <c r="AV90" s="378"/>
      <c r="AW90" s="378"/>
      <c r="AX90" s="378"/>
      <c r="AY90" s="378"/>
      <c r="AZ90" s="378"/>
      <c r="BA90" s="378"/>
      <c r="BB90" s="378"/>
      <c r="BC90" s="378"/>
      <c r="BD90" s="378"/>
      <c r="BE90" s="378"/>
      <c r="BF90" s="378"/>
      <c r="BG90" s="378"/>
      <c r="BH90" s="378"/>
      <c r="BI90" s="378"/>
      <c r="BJ90" s="378"/>
      <c r="BK90" s="378"/>
      <c r="BL90" s="378"/>
      <c r="BM90" s="378"/>
      <c r="BN90" s="378"/>
      <c r="BO90" s="378"/>
      <c r="BP90" s="378"/>
      <c r="BQ90" s="378"/>
      <c r="BR90" s="378"/>
      <c r="BS90" s="378"/>
      <c r="BT90" s="378"/>
      <c r="BU90" s="378"/>
      <c r="BV90" s="378"/>
      <c r="BW90" s="378"/>
      <c r="BX90" s="378"/>
      <c r="BY90" s="378"/>
      <c r="BZ90" s="378"/>
      <c r="CA90" s="378"/>
      <c r="CB90" s="378"/>
      <c r="CC90" s="378"/>
      <c r="CD90" s="378"/>
      <c r="CE90" s="378"/>
      <c r="CF90" s="378"/>
      <c r="CG90" s="378"/>
      <c r="CH90" s="378"/>
      <c r="CI90" s="378"/>
      <c r="CJ90" s="378"/>
    </row>
    <row r="91" spans="1:88" ht="15.75" customHeight="1" x14ac:dyDescent="0.25">
      <c r="A91" s="1945"/>
      <c r="B91" s="774" t="s">
        <v>650</v>
      </c>
      <c r="C91" s="775"/>
      <c r="D91" s="775"/>
      <c r="E91" s="775"/>
      <c r="F91" s="776"/>
      <c r="G91" s="1465">
        <f>'3 INDICADORES'!C218</f>
        <v>0</v>
      </c>
      <c r="H91" s="1481">
        <v>0.7</v>
      </c>
      <c r="I91" s="1485">
        <f>+'3 INDICADORES'!D218</f>
        <v>0</v>
      </c>
      <c r="J91" s="430">
        <v>0.7</v>
      </c>
      <c r="L91" s="427"/>
      <c r="M91" s="427"/>
      <c r="N91" s="427"/>
      <c r="O91" s="427"/>
      <c r="P91" s="427"/>
      <c r="Q91" s="427"/>
      <c r="R91" s="378"/>
      <c r="S91" s="378"/>
      <c r="T91" s="378"/>
      <c r="U91" s="378"/>
      <c r="V91" s="378"/>
      <c r="W91" s="378"/>
      <c r="X91" s="378"/>
      <c r="Y91" s="378"/>
      <c r="Z91" s="378"/>
      <c r="AA91" s="378"/>
      <c r="AB91" s="378"/>
      <c r="AC91" s="378"/>
      <c r="AD91" s="378"/>
      <c r="AE91" s="378"/>
      <c r="AF91" s="378"/>
      <c r="AG91" s="378"/>
      <c r="AH91" s="378"/>
      <c r="AI91" s="378"/>
      <c r="AJ91" s="378"/>
      <c r="AK91" s="378"/>
      <c r="AL91" s="378"/>
      <c r="AM91" s="378"/>
      <c r="AN91" s="378"/>
      <c r="AO91" s="378"/>
      <c r="AP91" s="378"/>
      <c r="AQ91" s="378"/>
      <c r="AR91" s="378"/>
      <c r="AS91" s="378"/>
      <c r="AT91" s="378"/>
      <c r="AU91" s="378"/>
      <c r="AV91" s="378"/>
      <c r="AW91" s="378"/>
      <c r="AX91" s="378"/>
      <c r="AY91" s="378"/>
      <c r="AZ91" s="378"/>
      <c r="BA91" s="378"/>
      <c r="BB91" s="378"/>
      <c r="BC91" s="378"/>
      <c r="BD91" s="378"/>
      <c r="BE91" s="378"/>
      <c r="BF91" s="378"/>
      <c r="BG91" s="378"/>
      <c r="BH91" s="378"/>
      <c r="BI91" s="378"/>
      <c r="BJ91" s="378"/>
      <c r="BK91" s="378"/>
      <c r="BL91" s="378"/>
      <c r="BM91" s="378"/>
      <c r="BN91" s="378"/>
      <c r="BO91" s="378"/>
      <c r="BP91" s="378"/>
      <c r="BQ91" s="378"/>
      <c r="BR91" s="378"/>
      <c r="BS91" s="378"/>
      <c r="BT91" s="378"/>
      <c r="BU91" s="378"/>
      <c r="BV91" s="378"/>
      <c r="BW91" s="378"/>
      <c r="BX91" s="378"/>
      <c r="BY91" s="378"/>
      <c r="BZ91" s="378"/>
      <c r="CA91" s="378"/>
      <c r="CB91" s="378"/>
      <c r="CC91" s="378"/>
      <c r="CD91" s="378"/>
      <c r="CE91" s="378"/>
      <c r="CF91" s="378"/>
      <c r="CG91" s="378"/>
      <c r="CH91" s="378"/>
      <c r="CI91" s="378"/>
      <c r="CJ91" s="378"/>
    </row>
    <row r="92" spans="1:88" ht="15.75" customHeight="1" x14ac:dyDescent="0.25">
      <c r="A92" s="1945"/>
      <c r="B92" s="793" t="s">
        <v>651</v>
      </c>
      <c r="C92" s="794"/>
      <c r="D92" s="794"/>
      <c r="E92" s="794"/>
      <c r="F92" s="795"/>
      <c r="G92" s="1464">
        <f>'3 INDICADORES'!C225</f>
        <v>0</v>
      </c>
      <c r="H92" s="1481">
        <v>0.7</v>
      </c>
      <c r="I92" s="1485">
        <f>+'3 INDICADORES'!D225</f>
        <v>0</v>
      </c>
      <c r="J92" s="430">
        <v>0.7</v>
      </c>
      <c r="L92" s="427"/>
      <c r="M92" s="427"/>
      <c r="N92" s="427"/>
      <c r="O92" s="427"/>
      <c r="P92" s="427"/>
      <c r="Q92" s="427"/>
      <c r="R92" s="378"/>
      <c r="S92" s="378"/>
      <c r="T92" s="378"/>
      <c r="U92" s="378"/>
      <c r="V92" s="378"/>
      <c r="W92" s="378"/>
      <c r="X92" s="378"/>
      <c r="Y92" s="378"/>
      <c r="Z92" s="378"/>
      <c r="AA92" s="378"/>
      <c r="AB92" s="378"/>
      <c r="AC92" s="378"/>
      <c r="AD92" s="378"/>
      <c r="AE92" s="378"/>
      <c r="AF92" s="378"/>
      <c r="AG92" s="378"/>
      <c r="AH92" s="378"/>
      <c r="AI92" s="378"/>
      <c r="AJ92" s="378"/>
      <c r="AK92" s="378"/>
      <c r="AL92" s="378"/>
      <c r="AM92" s="378"/>
      <c r="AN92" s="378"/>
      <c r="AO92" s="378"/>
      <c r="AP92" s="378"/>
      <c r="AQ92" s="378"/>
      <c r="AR92" s="378"/>
      <c r="AS92" s="378"/>
      <c r="AT92" s="378"/>
      <c r="AU92" s="378"/>
      <c r="AV92" s="378"/>
      <c r="AW92" s="378"/>
      <c r="AX92" s="378"/>
      <c r="AY92" s="378"/>
      <c r="AZ92" s="378"/>
      <c r="BA92" s="378"/>
      <c r="BB92" s="378"/>
      <c r="BC92" s="378"/>
      <c r="BD92" s="378"/>
      <c r="BE92" s="378"/>
      <c r="BF92" s="378"/>
      <c r="BG92" s="378"/>
      <c r="BH92" s="378"/>
      <c r="BI92" s="378"/>
      <c r="BJ92" s="378"/>
      <c r="BK92" s="378"/>
      <c r="BL92" s="378"/>
      <c r="BM92" s="378"/>
      <c r="BN92" s="378"/>
      <c r="BO92" s="378"/>
      <c r="BP92" s="378"/>
      <c r="BQ92" s="378"/>
      <c r="BR92" s="378"/>
      <c r="BS92" s="378"/>
      <c r="BT92" s="378"/>
      <c r="BU92" s="378"/>
      <c r="BV92" s="378"/>
      <c r="BW92" s="378"/>
      <c r="BX92" s="378"/>
      <c r="BY92" s="378"/>
      <c r="BZ92" s="378"/>
      <c r="CA92" s="378"/>
      <c r="CB92" s="378"/>
      <c r="CC92" s="378"/>
      <c r="CD92" s="378"/>
      <c r="CE92" s="378"/>
      <c r="CF92" s="378"/>
      <c r="CG92" s="378"/>
      <c r="CH92" s="378"/>
      <c r="CI92" s="378"/>
      <c r="CJ92" s="378"/>
    </row>
    <row r="93" spans="1:88" ht="15" customHeight="1" x14ac:dyDescent="0.25">
      <c r="A93" s="1945"/>
      <c r="B93" s="774" t="s">
        <v>652</v>
      </c>
      <c r="C93" s="775"/>
      <c r="D93" s="775"/>
      <c r="E93" s="775"/>
      <c r="F93" s="776"/>
      <c r="G93" s="1465">
        <f>'3 INDICADORES'!C232</f>
        <v>0</v>
      </c>
      <c r="H93" s="1481">
        <v>0.7</v>
      </c>
      <c r="I93" s="1485">
        <f>+'3 INDICADORES'!D232</f>
        <v>0</v>
      </c>
      <c r="J93" s="430">
        <v>0.7</v>
      </c>
      <c r="K93" s="427"/>
      <c r="L93" s="427"/>
      <c r="M93" s="427"/>
      <c r="N93" s="427"/>
      <c r="O93" s="427"/>
      <c r="P93" s="427"/>
      <c r="Q93" s="427"/>
      <c r="R93" s="378"/>
      <c r="S93" s="378"/>
      <c r="T93" s="378"/>
      <c r="U93" s="378"/>
      <c r="V93" s="378"/>
      <c r="W93" s="378"/>
      <c r="X93" s="378"/>
      <c r="Y93" s="378"/>
      <c r="Z93" s="378"/>
      <c r="AA93" s="378"/>
      <c r="AB93" s="378"/>
      <c r="AC93" s="378"/>
      <c r="AD93" s="378"/>
      <c r="AE93" s="378"/>
      <c r="AF93" s="378"/>
      <c r="AG93" s="378"/>
      <c r="AH93" s="378"/>
      <c r="AI93" s="378"/>
      <c r="AJ93" s="378"/>
      <c r="AK93" s="378"/>
      <c r="AL93" s="378"/>
      <c r="AM93" s="378"/>
      <c r="AN93" s="378"/>
      <c r="AO93" s="378"/>
      <c r="AP93" s="378"/>
      <c r="AQ93" s="378"/>
      <c r="AR93" s="378"/>
      <c r="AS93" s="378"/>
      <c r="AT93" s="378"/>
      <c r="AU93" s="378"/>
      <c r="AV93" s="378"/>
      <c r="AW93" s="378"/>
      <c r="AX93" s="378"/>
      <c r="AY93" s="378"/>
      <c r="AZ93" s="378"/>
      <c r="BA93" s="378"/>
      <c r="BB93" s="378"/>
      <c r="BC93" s="378"/>
      <c r="BD93" s="378"/>
      <c r="BE93" s="378"/>
      <c r="BF93" s="378"/>
      <c r="BG93" s="378"/>
      <c r="BH93" s="378"/>
      <c r="BI93" s="378"/>
      <c r="BJ93" s="378"/>
      <c r="BK93" s="378"/>
      <c r="BL93" s="378"/>
      <c r="BM93" s="378"/>
      <c r="BN93" s="378"/>
      <c r="BO93" s="378"/>
      <c r="BP93" s="378"/>
      <c r="BQ93" s="378"/>
      <c r="BR93" s="378"/>
      <c r="BS93" s="378"/>
      <c r="BT93" s="378"/>
      <c r="BU93" s="378"/>
      <c r="BV93" s="378"/>
      <c r="BW93" s="378"/>
      <c r="BX93" s="378"/>
      <c r="BY93" s="378"/>
      <c r="BZ93" s="378"/>
      <c r="CA93" s="378"/>
      <c r="CB93" s="378"/>
      <c r="CC93" s="378"/>
      <c r="CD93" s="378"/>
      <c r="CE93" s="378"/>
      <c r="CF93" s="378"/>
      <c r="CG93" s="378"/>
      <c r="CH93" s="378"/>
      <c r="CI93" s="378"/>
      <c r="CJ93" s="378"/>
    </row>
    <row r="94" spans="1:88" x14ac:dyDescent="0.25">
      <c r="A94" s="1946"/>
      <c r="B94" s="793" t="s">
        <v>653</v>
      </c>
      <c r="C94" s="794"/>
      <c r="D94" s="794"/>
      <c r="E94" s="794"/>
      <c r="F94" s="795"/>
      <c r="G94" s="1464">
        <f>'3 INDICADORES'!C239</f>
        <v>0</v>
      </c>
      <c r="H94" s="1481">
        <v>0.7</v>
      </c>
      <c r="I94" s="1485">
        <f>+'3 INDICADORES'!C241</f>
        <v>0</v>
      </c>
      <c r="J94" s="430">
        <v>0.7</v>
      </c>
    </row>
    <row r="95" spans="1:88" x14ac:dyDescent="0.25">
      <c r="G95" s="1441"/>
    </row>
    <row r="96" spans="1:88" x14ac:dyDescent="0.25">
      <c r="G96" s="1441"/>
    </row>
    <row r="97" spans="2:10" hidden="1" x14ac:dyDescent="0.25">
      <c r="G97" s="1441"/>
    </row>
    <row r="98" spans="2:10" x14ac:dyDescent="0.25">
      <c r="B98" s="1026" t="s">
        <v>654</v>
      </c>
      <c r="G98" s="1441"/>
    </row>
    <row r="99" spans="2:10" x14ac:dyDescent="0.25">
      <c r="B99" s="855" t="s">
        <v>655</v>
      </c>
      <c r="C99" s="850"/>
      <c r="D99" s="850"/>
      <c r="E99" s="850"/>
      <c r="F99" s="850"/>
      <c r="G99" s="1466">
        <f>('1 QUESTIONÁRIO'!C17+('1 QUESTIONÁRIO'!D17/100)+('1 QUESTIONÁRIO'!E17/10000))</f>
        <v>0</v>
      </c>
    </row>
    <row r="100" spans="2:10" x14ac:dyDescent="0.25">
      <c r="B100" s="858" t="s">
        <v>656</v>
      </c>
      <c r="C100" s="851"/>
      <c r="D100" s="851"/>
      <c r="E100" s="851"/>
      <c r="F100" s="851"/>
      <c r="G100" s="1467">
        <f>('1 QUESTIONÁRIO'!C18+('1 QUESTIONÁRIO'!D18/100)+('1 QUESTIONÁRIO'!E18/10000))</f>
        <v>0</v>
      </c>
    </row>
    <row r="101" spans="2:10" x14ac:dyDescent="0.25">
      <c r="B101" s="1024" t="s">
        <v>657</v>
      </c>
      <c r="C101" s="850"/>
      <c r="D101" s="850"/>
      <c r="E101" s="850"/>
      <c r="F101" s="850"/>
      <c r="G101" s="1468" t="str">
        <f>IF('1 QUESTIONÁRIO'!E31="x",'1 QUESTIONÁRIO'!B31,"não é proprietário")</f>
        <v>não é proprietário</v>
      </c>
      <c r="H101" s="832"/>
      <c r="I101" s="832"/>
      <c r="J101" s="832"/>
    </row>
    <row r="102" spans="2:10" x14ac:dyDescent="0.25">
      <c r="B102" s="1025" t="s">
        <v>658</v>
      </c>
      <c r="C102" s="851"/>
      <c r="D102" s="851"/>
      <c r="E102" s="851"/>
      <c r="F102" s="851"/>
      <c r="G102" s="1469" t="str">
        <f>IF('1 QUESTIONÁRIO'!F50="x","Agricultura Familiar","Patronal")</f>
        <v>Patronal</v>
      </c>
      <c r="H102" s="839"/>
      <c r="I102" s="837"/>
      <c r="J102" s="837"/>
    </row>
    <row r="103" spans="2:10" x14ac:dyDescent="0.25">
      <c r="B103" s="852" t="s">
        <v>659</v>
      </c>
      <c r="C103" s="854"/>
      <c r="D103" s="854"/>
      <c r="E103" s="854"/>
      <c r="F103" s="854"/>
      <c r="G103" s="1470">
        <f>'1 QUESTIONÁRIO'!E36</f>
        <v>0</v>
      </c>
    </row>
    <row r="104" spans="2:10" x14ac:dyDescent="0.25">
      <c r="B104" s="855" t="s">
        <v>660</v>
      </c>
      <c r="C104" s="850"/>
      <c r="D104" s="850"/>
      <c r="E104" s="850"/>
      <c r="F104" s="850"/>
      <c r="G104" s="1471">
        <f>+'3 INDICADORES'!D87</f>
        <v>0</v>
      </c>
    </row>
    <row r="105" spans="2:10" x14ac:dyDescent="0.25">
      <c r="B105" s="857" t="s">
        <v>661</v>
      </c>
      <c r="C105" s="831"/>
      <c r="D105" s="831"/>
      <c r="E105" s="831"/>
      <c r="F105" s="831"/>
      <c r="G105" s="1472">
        <f>+'1 QUESTIONÁRIO'!E61+'1 QUESTIONÁRIO'!E63</f>
        <v>0</v>
      </c>
    </row>
    <row r="106" spans="2:10" x14ac:dyDescent="0.25">
      <c r="B106" s="858" t="s">
        <v>662</v>
      </c>
      <c r="C106" s="851"/>
      <c r="D106" s="851"/>
      <c r="E106" s="851"/>
      <c r="F106" s="851"/>
      <c r="G106" s="1473">
        <f>+'1 QUESTIONÁRIO'!E62</f>
        <v>0</v>
      </c>
    </row>
    <row r="107" spans="2:10" x14ac:dyDescent="0.25">
      <c r="B107" s="855" t="s">
        <v>663</v>
      </c>
      <c r="C107" s="856"/>
      <c r="D107" s="856"/>
      <c r="E107" s="856"/>
      <c r="F107" s="856"/>
      <c r="G107" s="1474">
        <f>SUM('1 QUESTIONÁRIO'!G132:H137)</f>
        <v>1E-4</v>
      </c>
      <c r="H107" s="427"/>
      <c r="I107" s="427"/>
    </row>
    <row r="108" spans="2:10" x14ac:dyDescent="0.25">
      <c r="B108" s="857" t="s">
        <v>664</v>
      </c>
      <c r="C108" s="845"/>
      <c r="D108" s="845"/>
      <c r="E108" s="845"/>
      <c r="F108" s="845"/>
      <c r="G108" s="1475">
        <f>'4 RELATÓRIO'!G107/12</f>
        <v>8.3333333333333337E-6</v>
      </c>
      <c r="H108" s="427"/>
      <c r="I108" s="427"/>
    </row>
    <row r="109" spans="2:10" x14ac:dyDescent="0.25">
      <c r="B109" s="857" t="s">
        <v>665</v>
      </c>
      <c r="C109" s="845"/>
      <c r="D109" s="845"/>
      <c r="E109" s="845"/>
      <c r="F109" s="845"/>
      <c r="G109" s="1475" t="e">
        <f>+G107/('1 QUESTIONÁRIO'!F43+'1 QUESTIONÁRIO'!F44+'1 QUESTIONÁRIO'!F45+'1 QUESTIONÁRIO'!F54+'1 QUESTIONÁRIO'!F55+'1 QUESTIONÁRIO'!F56)</f>
        <v>#DIV/0!</v>
      </c>
      <c r="H109" s="427"/>
      <c r="I109" s="427"/>
    </row>
    <row r="110" spans="2:10" x14ac:dyDescent="0.25">
      <c r="B110" s="857" t="s">
        <v>666</v>
      </c>
      <c r="C110" s="845"/>
      <c r="D110" s="845"/>
      <c r="E110" s="845"/>
      <c r="F110" s="845"/>
      <c r="G110" s="1476">
        <f>+('1 QUESTIONÁRIO'!D141+'1 QUESTIONÁRIO'!I141)/12</f>
        <v>0</v>
      </c>
      <c r="H110" s="427"/>
      <c r="I110" s="427"/>
    </row>
    <row r="111" spans="2:10" x14ac:dyDescent="0.25">
      <c r="B111" s="857" t="s">
        <v>667</v>
      </c>
      <c r="C111" s="859"/>
      <c r="D111" s="859"/>
      <c r="E111" s="859"/>
      <c r="F111" s="859"/>
      <c r="G111" s="1477">
        <f>+G110+G108</f>
        <v>8.3333333333333337E-6</v>
      </c>
      <c r="H111" s="427"/>
      <c r="I111" s="427"/>
    </row>
    <row r="112" spans="2:10" x14ac:dyDescent="0.25">
      <c r="B112" s="852" t="s">
        <v>668</v>
      </c>
      <c r="C112" s="853"/>
      <c r="D112" s="853"/>
      <c r="E112" s="853"/>
      <c r="F112" s="853"/>
      <c r="G112" s="1478" t="str">
        <f>+'1 QUESTIONÁRIO'!I132</f>
        <v/>
      </c>
      <c r="H112" s="1947">
        <f>+'1 QUESTIONÁRIO'!B132</f>
        <v>0</v>
      </c>
      <c r="I112" s="1947"/>
    </row>
    <row r="113" spans="2:9" x14ac:dyDescent="0.25">
      <c r="B113" s="855" t="s">
        <v>669</v>
      </c>
      <c r="C113" s="856"/>
      <c r="D113" s="856"/>
      <c r="E113" s="856"/>
      <c r="F113" s="856"/>
      <c r="G113" s="1479">
        <f>+'1 QUESTIONÁRIO'!E157</f>
        <v>0</v>
      </c>
      <c r="H113" s="1947"/>
      <c r="I113" s="1947"/>
    </row>
    <row r="114" spans="2:9" x14ac:dyDescent="0.25">
      <c r="B114" s="857" t="s">
        <v>670</v>
      </c>
      <c r="C114" s="845"/>
      <c r="D114" s="845"/>
      <c r="E114" s="845"/>
      <c r="F114" s="845"/>
      <c r="G114" s="1476">
        <f>+'1 QUESTIONÁRIO'!E173</f>
        <v>0</v>
      </c>
      <c r="H114" s="1947"/>
      <c r="I114" s="1947"/>
    </row>
    <row r="115" spans="2:9" x14ac:dyDescent="0.25">
      <c r="B115" s="858" t="s">
        <v>671</v>
      </c>
      <c r="C115" s="859"/>
      <c r="D115" s="859"/>
      <c r="E115" s="859"/>
      <c r="F115" s="859"/>
      <c r="G115" s="1477">
        <f>+'1 QUESTIONÁRIO'!F191</f>
        <v>1E-3</v>
      </c>
      <c r="H115" s="967"/>
      <c r="I115" s="967"/>
    </row>
    <row r="116" spans="2:9" x14ac:dyDescent="0.25">
      <c r="B116" s="855" t="s">
        <v>672</v>
      </c>
      <c r="C116" s="856"/>
      <c r="D116" s="856"/>
      <c r="E116" s="856"/>
      <c r="F116" s="856"/>
      <c r="G116" s="1479">
        <f>+'1 QUESTIONÁRIO'!G203</f>
        <v>0</v>
      </c>
    </row>
    <row r="117" spans="2:9" x14ac:dyDescent="0.25">
      <c r="B117" s="858" t="s">
        <v>673</v>
      </c>
      <c r="C117" s="859"/>
      <c r="D117" s="859"/>
      <c r="E117" s="859"/>
      <c r="F117" s="859"/>
      <c r="G117" s="1476" t="e">
        <f>'1 QUESTIONÁRIO'!G207</f>
        <v>#DIV/0!</v>
      </c>
    </row>
    <row r="118" spans="2:9" x14ac:dyDescent="0.25">
      <c r="B118" s="855" t="s">
        <v>674</v>
      </c>
      <c r="C118" s="856"/>
      <c r="D118" s="856"/>
      <c r="E118" s="856"/>
      <c r="F118" s="856"/>
      <c r="G118" s="1451" t="e">
        <f>+'GUIA DE APLICAÇÃO'!H558/'1 QUESTIONÁRIO'!F125</f>
        <v>#DIV/0!</v>
      </c>
      <c r="H118" s="427"/>
      <c r="I118" s="427"/>
    </row>
    <row r="119" spans="2:9" x14ac:dyDescent="0.25">
      <c r="B119" s="858" t="s">
        <v>675</v>
      </c>
      <c r="C119" s="859"/>
      <c r="D119" s="859"/>
      <c r="E119" s="859"/>
      <c r="F119" s="859"/>
      <c r="G119" s="1453" t="e">
        <f>+'GUIA DE APLICAÇÃO'!H556/'1 QUESTIONÁRIO'!F125</f>
        <v>#DIV/0!</v>
      </c>
      <c r="H119" s="4"/>
      <c r="I119" s="4"/>
    </row>
    <row r="120" spans="2:9" x14ac:dyDescent="0.25">
      <c r="B120" s="858" t="s">
        <v>676</v>
      </c>
      <c r="C120" s="859"/>
      <c r="D120" s="859"/>
      <c r="E120" s="859"/>
      <c r="F120" s="859"/>
      <c r="G120" s="1480" t="str">
        <f>'GUIA DE APLICAÇÃO'!D1104</f>
        <v/>
      </c>
    </row>
    <row r="121" spans="2:9" x14ac:dyDescent="0.25">
      <c r="G121" s="1441"/>
      <c r="I121" s="1027"/>
    </row>
  </sheetData>
  <mergeCells count="9">
    <mergeCell ref="A86:A94"/>
    <mergeCell ref="H112:I114"/>
    <mergeCell ref="I24:J24"/>
    <mergeCell ref="B1:B3"/>
    <mergeCell ref="C1:F2"/>
    <mergeCell ref="A26:A32"/>
    <mergeCell ref="A33:A43"/>
    <mergeCell ref="A55:A58"/>
    <mergeCell ref="A44:A53"/>
  </mergeCells>
  <conditionalFormatting sqref="G33:G43">
    <cfRule type="cellIs" dxfId="7" priority="94" operator="lessThan">
      <formula>0.698</formula>
    </cfRule>
    <cfRule type="cellIs" dxfId="6" priority="95" operator="greaterThan">
      <formula>0.699</formula>
    </cfRule>
  </conditionalFormatting>
  <conditionalFormatting sqref="G44:G53">
    <cfRule type="cellIs" dxfId="5" priority="92" operator="lessThan">
      <formula>0.698</formula>
    </cfRule>
    <cfRule type="cellIs" dxfId="4" priority="93" operator="greaterThan">
      <formula>0.669</formula>
    </cfRule>
  </conditionalFormatting>
  <conditionalFormatting sqref="G33:G53">
    <cfRule type="cellIs" dxfId="3" priority="91" operator="greaterThan">
      <formula>0.695</formula>
    </cfRule>
  </conditionalFormatting>
  <conditionalFormatting sqref="G33:G53">
    <cfRule type="cellIs" dxfId="2" priority="90" operator="lessThan">
      <formula>0.694</formula>
    </cfRule>
  </conditionalFormatting>
  <pageMargins left="0.51181102362204722" right="0.51181102362204722" top="0.78740157480314965" bottom="0.78740157480314965" header="0.31496062992125984" footer="0.31496062992125984"/>
  <pageSetup paperSize="9" orientation="landscape"/>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
  <sheetViews>
    <sheetView workbookViewId="0"/>
  </sheetViews>
  <sheetFormatPr defaultColWidth="8.85546875" defaultRowHeight="15" x14ac:dyDescent="0.25"/>
  <sheetData/>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
  <sheetViews>
    <sheetView workbookViewId="0">
      <selection activeCell="J27" sqref="J27"/>
    </sheetView>
  </sheetViews>
  <sheetFormatPr defaultColWidth="8.85546875" defaultRowHeight="15" x14ac:dyDescent="0.25"/>
  <sheetData/>
  <pageMargins left="0.7" right="0.7" top="0.75" bottom="0.75" header="0.3" footer="0.3"/>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
  <sheetViews>
    <sheetView workbookViewId="0"/>
  </sheetViews>
  <sheetFormatPr defaultColWidth="8.85546875" defaultRowHeight="15" x14ac:dyDescent="0.25"/>
  <sheetData/>
  <pageMargins left="0.7" right="0.7" top="0.75" bottom="0.75" header="0.3" footer="0.3"/>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
  <sheetViews>
    <sheetView workbookViewId="0"/>
  </sheetViews>
  <sheetFormatPr defaultColWidth="8.85546875" defaultRowHeight="15" x14ac:dyDescent="0.25"/>
  <sheetData/>
  <pageMargins left="0.7" right="0.7" top="0.75" bottom="0.75" header="0.3" footer="0.3"/>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dimension ref="A1"/>
  <sheetViews>
    <sheetView workbookViewId="0">
      <selection activeCell="L20" sqref="L20"/>
    </sheetView>
  </sheetViews>
  <sheetFormatPr defaultColWidth="8.85546875" defaultRowHeight="15" x14ac:dyDescent="0.25"/>
  <sheetData/>
  <pageMargins left="0.7" right="0.7" top="0.75" bottom="0.75" header="0.3" footer="0.3"/>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4</vt:i4>
      </vt:variant>
    </vt:vector>
  </HeadingPairs>
  <TitlesOfParts>
    <vt:vector size="16" baseType="lpstr">
      <vt:lpstr>1 QUESTIONÁRIO</vt:lpstr>
      <vt:lpstr>2 GEOPROCESSAMENTO</vt:lpstr>
      <vt:lpstr>3 INDICADORES</vt:lpstr>
      <vt:lpstr>4 RELATÓRIO</vt:lpstr>
      <vt:lpstr>Plan1</vt:lpstr>
      <vt:lpstr>Sheet3</vt:lpstr>
      <vt:lpstr>Sheet4</vt:lpstr>
      <vt:lpstr>Sheet5</vt:lpstr>
      <vt:lpstr>Sheet6</vt:lpstr>
      <vt:lpstr>Relatório de Assist (2)</vt:lpstr>
      <vt:lpstr>GUIA DE APLICAÇÃO</vt:lpstr>
      <vt:lpstr>Banco de dados</vt:lpstr>
      <vt:lpstr>Cerrado___Cerradão</vt:lpstr>
      <vt:lpstr>Floresta_estacional_semidecidual</vt:lpstr>
      <vt:lpstr>GráficoValorPago</vt:lpstr>
      <vt:lpstr>Terraço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Diego</dc:creator>
  <cp:keywords/>
  <dc:description/>
  <cp:lastModifiedBy>Eugenio Fonseca</cp:lastModifiedBy>
  <cp:revision/>
  <dcterms:created xsi:type="dcterms:W3CDTF">2009-08-20T14:30:44Z</dcterms:created>
  <dcterms:modified xsi:type="dcterms:W3CDTF">2021-05-05T13:47:53Z</dcterms:modified>
  <cp:category/>
  <cp:contentStatus/>
</cp:coreProperties>
</file>